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prg\Power Portfolio\"/>
    </mc:Choice>
  </mc:AlternateContent>
  <xr:revisionPtr revIDLastSave="0" documentId="12_ncr:500000_{A333ADD2-44D2-4A2A-A483-CE0643A8A520}" xr6:coauthVersionLast="31" xr6:coauthVersionMax="31" xr10:uidLastSave="{00000000-0000-0000-0000-000000000000}"/>
  <bookViews>
    <workbookView xWindow="33503" yWindow="5843" windowWidth="30818" windowHeight="17040" tabRatio="648" xr2:uid="{00000000-000D-0000-FFFF-FFFF00000000}"/>
  </bookViews>
  <sheets>
    <sheet name="Trans" sheetId="4" r:id="rId1"/>
    <sheet name="Securities" sheetId="1" r:id="rId2"/>
    <sheet name="GenQuotes" sheetId="13" r:id="rId3"/>
    <sheet name="AllAccount" sheetId="2" r:id="rId4"/>
    <sheet name="Currencies" sheetId="12" r:id="rId5"/>
    <sheet name="Misc" sheetId="11" r:id="rId6"/>
    <sheet name="Configs" sheetId="3" r:id="rId7"/>
    <sheet name="Settings" sheetId="10" r:id="rId8"/>
  </sheets>
  <definedNames>
    <definedName name="ACCOUNTLIST">Accounts[AccountName]</definedName>
    <definedName name="ASSESTCLASSLIST">AssestClasses[AssestClass]</definedName>
    <definedName name="CURRLIST">Currencys[Code]</definedName>
    <definedName name="SECTORLIST">Sectors[Sector]</definedName>
    <definedName name="SECURTYPELIST">SecuTypes[SecuType]</definedName>
    <definedName name="SYMBOLLIST">Symbols[Symbol]</definedName>
    <definedName name="Trans_Date_without_Header" localSheetId="0">Transactions[Date]</definedName>
    <definedName name="TRANSTYPELIST">TransTypes[TransType]</definedName>
    <definedName name="TT_COL_AmntSign">Configs!$G$2</definedName>
    <definedName name="TT_COL_BookValueSign">Configs!$D$2</definedName>
    <definedName name="TT_COL_CLOSEOROPEN">Configs!$K$2</definedName>
    <definedName name="TT_COL_DepositTransSign">Configs!$P$2</definedName>
    <definedName name="TT_COL_DESC">Configs!$B$2</definedName>
    <definedName name="TT_COL_DividendFlag">Configs!$Q$2</definedName>
    <definedName name="TT_COL_FeeSign">Configs!$F$2</definedName>
    <definedName name="TT_COL_ForexTradeFlag">Configs!$M$2</definedName>
    <definedName name="TT_COL_GLFlag">Configs!$L$2</definedName>
    <definedName name="TT_COL_ID">Configs!$A$2</definedName>
    <definedName name="TT_COL_IgnoreFXrate">Configs!$I$2</definedName>
    <definedName name="TT_COL_IGNOREPRICE">Configs!$V$2</definedName>
    <definedName name="TT_COL_IgnoreQty">Configs!$E$2</definedName>
    <definedName name="TT_COL_LONGORSHORT">Configs!$C$2</definedName>
    <definedName name="TT_COL_OCItoBCISign">Configs!$J$2</definedName>
    <definedName name="TT_COL_QtySign">Configs!$H$2</definedName>
    <definedName name="TT_COL_ReturnOfCaptialFlag">Configs!$N$2</definedName>
    <definedName name="TT_COL_ShareTransferFlag">Configs!$O$2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 i="3" l="1"/>
  <c r="S2" i="3"/>
  <c r="T2" i="3"/>
  <c r="U2" i="3"/>
  <c r="L1892" i="4" l="1"/>
  <c r="L1893" i="4"/>
  <c r="L1894" i="4"/>
  <c r="R1892" i="4"/>
  <c r="R1893" i="4"/>
  <c r="R1894" i="4"/>
  <c r="Y1892" i="4"/>
  <c r="Y1893" i="4"/>
  <c r="Y1894" i="4"/>
  <c r="L1879" i="4"/>
  <c r="L1880" i="4"/>
  <c r="L1881" i="4"/>
  <c r="L1882" i="4"/>
  <c r="L1883" i="4"/>
  <c r="L1884" i="4"/>
  <c r="L1885" i="4"/>
  <c r="L1886" i="4"/>
  <c r="L1887" i="4"/>
  <c r="L1888" i="4"/>
  <c r="L1889" i="4"/>
  <c r="L1890" i="4"/>
  <c r="L1891" i="4"/>
  <c r="R1879" i="4"/>
  <c r="R1880" i="4"/>
  <c r="R1881" i="4"/>
  <c r="R1882" i="4"/>
  <c r="R1883" i="4"/>
  <c r="R1884" i="4"/>
  <c r="R1885" i="4"/>
  <c r="R1886" i="4"/>
  <c r="R1887" i="4"/>
  <c r="R1888" i="4"/>
  <c r="R1889" i="4"/>
  <c r="R1890" i="4"/>
  <c r="R1891" i="4"/>
  <c r="Y1879" i="4"/>
  <c r="Y1880" i="4"/>
  <c r="Y1881" i="4"/>
  <c r="Y1882" i="4"/>
  <c r="Y1883" i="4"/>
  <c r="Y1884" i="4"/>
  <c r="Y1885" i="4"/>
  <c r="Y1886" i="4"/>
  <c r="Y1887" i="4"/>
  <c r="Y1888" i="4"/>
  <c r="Y1889" i="4"/>
  <c r="Y1890" i="4"/>
  <c r="Y1891" i="4"/>
  <c r="L1872" i="4" l="1"/>
  <c r="L1873" i="4"/>
  <c r="L1874" i="4"/>
  <c r="L1875" i="4"/>
  <c r="L1876" i="4"/>
  <c r="L1877" i="4"/>
  <c r="L1878" i="4"/>
  <c r="R1872" i="4"/>
  <c r="R1873" i="4"/>
  <c r="R1874" i="4"/>
  <c r="R1875" i="4"/>
  <c r="R1876" i="4"/>
  <c r="R1877" i="4"/>
  <c r="R1878" i="4"/>
  <c r="Y1872" i="4"/>
  <c r="Y1873" i="4"/>
  <c r="Y1874" i="4"/>
  <c r="Y1875" i="4"/>
  <c r="Y1876" i="4"/>
  <c r="Y1877" i="4"/>
  <c r="Y1878" i="4"/>
  <c r="L1866" i="4"/>
  <c r="L1867" i="4"/>
  <c r="L1868" i="4"/>
  <c r="L1869" i="4"/>
  <c r="L1870" i="4"/>
  <c r="L1871" i="4"/>
  <c r="R1866" i="4"/>
  <c r="R1867" i="4"/>
  <c r="R1868" i="4"/>
  <c r="R1869" i="4"/>
  <c r="R1870" i="4"/>
  <c r="R1871" i="4"/>
  <c r="Y1866" i="4"/>
  <c r="Y1867" i="4"/>
  <c r="Y1868" i="4"/>
  <c r="Y1869" i="4"/>
  <c r="Y1870" i="4"/>
  <c r="Y1871" i="4"/>
  <c r="L1849" i="4"/>
  <c r="L1850" i="4"/>
  <c r="L1851" i="4"/>
  <c r="L1852" i="4"/>
  <c r="L1853" i="4"/>
  <c r="L1854" i="4"/>
  <c r="L1855" i="4"/>
  <c r="L1856" i="4"/>
  <c r="L1857" i="4"/>
  <c r="L1858" i="4"/>
  <c r="L1859" i="4"/>
  <c r="L1860" i="4"/>
  <c r="L1861" i="4"/>
  <c r="L1862" i="4"/>
  <c r="L1863" i="4"/>
  <c r="L1864" i="4"/>
  <c r="L1865" i="4"/>
  <c r="R1849" i="4"/>
  <c r="R1850" i="4"/>
  <c r="R1851" i="4"/>
  <c r="R1852" i="4"/>
  <c r="R1853" i="4"/>
  <c r="R1854" i="4"/>
  <c r="R1855" i="4"/>
  <c r="R1856" i="4"/>
  <c r="R1857" i="4"/>
  <c r="R1858" i="4"/>
  <c r="R1859" i="4"/>
  <c r="R1860" i="4"/>
  <c r="R1861" i="4"/>
  <c r="R1862" i="4"/>
  <c r="R1863" i="4"/>
  <c r="R1864" i="4"/>
  <c r="R1865" i="4"/>
  <c r="Y1849" i="4"/>
  <c r="Y1850" i="4"/>
  <c r="Y1851" i="4"/>
  <c r="Y1852" i="4"/>
  <c r="Y1853" i="4"/>
  <c r="Y1854" i="4"/>
  <c r="Y1855" i="4"/>
  <c r="Y1856" i="4"/>
  <c r="Y1857" i="4"/>
  <c r="Y1858" i="4"/>
  <c r="Y1859" i="4"/>
  <c r="Y1860" i="4"/>
  <c r="Y1861" i="4"/>
  <c r="Y1862" i="4"/>
  <c r="Y1863" i="4"/>
  <c r="Y1864" i="4"/>
  <c r="Y1865" i="4"/>
  <c r="L1839" i="4" l="1"/>
  <c r="L1840" i="4"/>
  <c r="L1841" i="4"/>
  <c r="L1842" i="4"/>
  <c r="L1843" i="4"/>
  <c r="L1844" i="4"/>
  <c r="L1845" i="4"/>
  <c r="L1846" i="4"/>
  <c r="L1847" i="4"/>
  <c r="L1848" i="4"/>
  <c r="R1839" i="4"/>
  <c r="R1840" i="4"/>
  <c r="R1841" i="4"/>
  <c r="R1842" i="4"/>
  <c r="R1843" i="4"/>
  <c r="R1844" i="4"/>
  <c r="R1845" i="4"/>
  <c r="R1846" i="4"/>
  <c r="R1847" i="4"/>
  <c r="R1848" i="4"/>
  <c r="Y1839" i="4"/>
  <c r="Y1840" i="4"/>
  <c r="Y1841" i="4"/>
  <c r="Y1842" i="4"/>
  <c r="Y1843" i="4"/>
  <c r="Y1844" i="4"/>
  <c r="Y1845" i="4"/>
  <c r="Y1846" i="4"/>
  <c r="Y1847" i="4"/>
  <c r="Y1848" i="4"/>
  <c r="L1826" i="4" l="1"/>
  <c r="L1827" i="4"/>
  <c r="L1828" i="4"/>
  <c r="L1829" i="4"/>
  <c r="L1830" i="4"/>
  <c r="L1831" i="4"/>
  <c r="L1832" i="4"/>
  <c r="L1833" i="4"/>
  <c r="L1834" i="4"/>
  <c r="L1835" i="4"/>
  <c r="L1836" i="4"/>
  <c r="L1837" i="4"/>
  <c r="L1838" i="4"/>
  <c r="R1826" i="4"/>
  <c r="R1827" i="4"/>
  <c r="R1828" i="4"/>
  <c r="R1829" i="4"/>
  <c r="R1830" i="4"/>
  <c r="R1831" i="4"/>
  <c r="R1832" i="4"/>
  <c r="R1833" i="4"/>
  <c r="R1834" i="4"/>
  <c r="R1835" i="4"/>
  <c r="R1836" i="4"/>
  <c r="R1837" i="4"/>
  <c r="R1838" i="4"/>
  <c r="Y1826" i="4"/>
  <c r="Y1827" i="4"/>
  <c r="Y1828" i="4"/>
  <c r="Y1829" i="4"/>
  <c r="Y1830" i="4"/>
  <c r="Y1831" i="4"/>
  <c r="Y1832" i="4"/>
  <c r="Y1833" i="4"/>
  <c r="Y1834" i="4"/>
  <c r="Y1835" i="4"/>
  <c r="Y1836" i="4"/>
  <c r="Y1837" i="4"/>
  <c r="Y1838" i="4"/>
  <c r="L1825" i="4" l="1"/>
  <c r="R1825" i="4"/>
  <c r="Y1825" i="4"/>
  <c r="L1824" i="4"/>
  <c r="R1824" i="4"/>
  <c r="Y1824" i="4"/>
  <c r="L782" i="4" l="1"/>
  <c r="R782" i="4"/>
  <c r="Y782" i="4"/>
  <c r="G1413" i="4"/>
  <c r="G1394" i="4"/>
  <c r="G1336" i="4"/>
  <c r="G1812" i="4" l="1"/>
  <c r="G1801" i="4"/>
  <c r="G1755" i="4"/>
  <c r="G1709" i="4"/>
  <c r="G1696" i="4"/>
  <c r="G1690" i="4"/>
  <c r="G1684" i="4"/>
  <c r="G1675" i="4"/>
  <c r="G1671" i="4"/>
  <c r="G1668" i="4"/>
  <c r="G1664" i="4"/>
  <c r="G1622" i="4"/>
  <c r="G1602" i="4"/>
  <c r="G1596" i="4"/>
  <c r="G1585" i="4"/>
  <c r="G1579" i="4"/>
  <c r="G1562" i="4"/>
  <c r="G1526" i="4"/>
  <c r="G1509" i="4"/>
  <c r="G1488" i="4"/>
  <c r="G1470" i="4"/>
  <c r="G1423" i="4"/>
  <c r="G1721" i="4"/>
  <c r="L942" i="4"/>
  <c r="R942" i="4"/>
  <c r="Y942" i="4"/>
  <c r="L927" i="4"/>
  <c r="R927" i="4"/>
  <c r="Y927" i="4"/>
  <c r="L874" i="4"/>
  <c r="R874" i="4"/>
  <c r="Y874" i="4"/>
  <c r="G849" i="4"/>
  <c r="G795" i="4"/>
  <c r="G774" i="4"/>
  <c r="G769" i="4"/>
  <c r="L761" i="4"/>
  <c r="L762" i="4"/>
  <c r="L763" i="4"/>
  <c r="L764" i="4"/>
  <c r="L765" i="4"/>
  <c r="L766" i="4"/>
  <c r="L767" i="4"/>
  <c r="L768" i="4"/>
  <c r="L769" i="4"/>
  <c r="L770" i="4"/>
  <c r="L771" i="4"/>
  <c r="L772" i="4"/>
  <c r="L773" i="4"/>
  <c r="L774" i="4"/>
  <c r="L775" i="4"/>
  <c r="L776" i="4"/>
  <c r="L777" i="4"/>
  <c r="L778" i="4"/>
  <c r="L779" i="4"/>
  <c r="L780" i="4"/>
  <c r="L781"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8" i="4"/>
  <c r="L929" i="4"/>
  <c r="L930" i="4"/>
  <c r="L931" i="4"/>
  <c r="L932" i="4"/>
  <c r="L933" i="4"/>
  <c r="L934" i="4"/>
  <c r="L935" i="4"/>
  <c r="L936" i="4"/>
  <c r="L937" i="4"/>
  <c r="L938" i="4"/>
  <c r="L939" i="4"/>
  <c r="L940" i="4"/>
  <c r="L941"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1010" i="4"/>
  <c r="L1011" i="4"/>
  <c r="L1012" i="4"/>
  <c r="L1013" i="4"/>
  <c r="L1014" i="4"/>
  <c r="L1015" i="4"/>
  <c r="L1016" i="4"/>
  <c r="L1017" i="4"/>
  <c r="L1018" i="4"/>
  <c r="L1019" i="4"/>
  <c r="L1020" i="4"/>
  <c r="L1021" i="4"/>
  <c r="L1022" i="4"/>
  <c r="L1023" i="4"/>
  <c r="L1024" i="4"/>
  <c r="L1025" i="4"/>
  <c r="L1026" i="4"/>
  <c r="L1027" i="4"/>
  <c r="L1028" i="4"/>
  <c r="L1029" i="4"/>
  <c r="L1030" i="4"/>
  <c r="L1031" i="4"/>
  <c r="L1032" i="4"/>
  <c r="L1033" i="4"/>
  <c r="L1034" i="4"/>
  <c r="L1035" i="4"/>
  <c r="L1036" i="4"/>
  <c r="L1037" i="4"/>
  <c r="L1038" i="4"/>
  <c r="L1039" i="4"/>
  <c r="L1040" i="4"/>
  <c r="L1041" i="4"/>
  <c r="L1042" i="4"/>
  <c r="L1043" i="4"/>
  <c r="L1044" i="4"/>
  <c r="L1045" i="4"/>
  <c r="L1046" i="4"/>
  <c r="L1047" i="4"/>
  <c r="L1048" i="4"/>
  <c r="L1049" i="4"/>
  <c r="L1050" i="4"/>
  <c r="L1051" i="4"/>
  <c r="L1052" i="4"/>
  <c r="L1053" i="4"/>
  <c r="L1054" i="4"/>
  <c r="L1055" i="4"/>
  <c r="L1056" i="4"/>
  <c r="L1057" i="4"/>
  <c r="L1058" i="4"/>
  <c r="L1059" i="4"/>
  <c r="L1060" i="4"/>
  <c r="L1061" i="4"/>
  <c r="L1062" i="4"/>
  <c r="L1063" i="4"/>
  <c r="L1064" i="4"/>
  <c r="L1065" i="4"/>
  <c r="L1066" i="4"/>
  <c r="L1067" i="4"/>
  <c r="L1068" i="4"/>
  <c r="L1069" i="4"/>
  <c r="L1070" i="4"/>
  <c r="L1071" i="4"/>
  <c r="L1072" i="4"/>
  <c r="L1073" i="4"/>
  <c r="L1074" i="4"/>
  <c r="L1075" i="4"/>
  <c r="L1076" i="4"/>
  <c r="L1077" i="4"/>
  <c r="L1078" i="4"/>
  <c r="L1079" i="4"/>
  <c r="L1080" i="4"/>
  <c r="L1081" i="4"/>
  <c r="L1082" i="4"/>
  <c r="L1083" i="4"/>
  <c r="L1084" i="4"/>
  <c r="L1085" i="4"/>
  <c r="L1086" i="4"/>
  <c r="L1087" i="4"/>
  <c r="L1088" i="4"/>
  <c r="L1089" i="4"/>
  <c r="L1090" i="4"/>
  <c r="L1091" i="4"/>
  <c r="L1092" i="4"/>
  <c r="L1093" i="4"/>
  <c r="L1094" i="4"/>
  <c r="L1095" i="4"/>
  <c r="L1096" i="4"/>
  <c r="L1097" i="4"/>
  <c r="L1098" i="4"/>
  <c r="L1099" i="4"/>
  <c r="L1100" i="4"/>
  <c r="L1101" i="4"/>
  <c r="L1102" i="4"/>
  <c r="L1103" i="4"/>
  <c r="L1104" i="4"/>
  <c r="L1105" i="4"/>
  <c r="L1106" i="4"/>
  <c r="L1107" i="4"/>
  <c r="L1108" i="4"/>
  <c r="L1109" i="4"/>
  <c r="L1110" i="4"/>
  <c r="L1111" i="4"/>
  <c r="L1112" i="4"/>
  <c r="L1113" i="4"/>
  <c r="L1114" i="4"/>
  <c r="L1115" i="4"/>
  <c r="L1116" i="4"/>
  <c r="L1117" i="4"/>
  <c r="L1118" i="4"/>
  <c r="L1119" i="4"/>
  <c r="L1120" i="4"/>
  <c r="L1121" i="4"/>
  <c r="L1122" i="4"/>
  <c r="L1123" i="4"/>
  <c r="L1124" i="4"/>
  <c r="L1125" i="4"/>
  <c r="L1126" i="4"/>
  <c r="L1127" i="4"/>
  <c r="L1128" i="4"/>
  <c r="L1129" i="4"/>
  <c r="L1130" i="4"/>
  <c r="L1131" i="4"/>
  <c r="L1132" i="4"/>
  <c r="L1133" i="4"/>
  <c r="L1134" i="4"/>
  <c r="L1135" i="4"/>
  <c r="L1136" i="4"/>
  <c r="L1137" i="4"/>
  <c r="L1138" i="4"/>
  <c r="L1139" i="4"/>
  <c r="L1140" i="4"/>
  <c r="L1141" i="4"/>
  <c r="L1142" i="4"/>
  <c r="L1143" i="4"/>
  <c r="L1144" i="4"/>
  <c r="L1145" i="4"/>
  <c r="L1146" i="4"/>
  <c r="L1147" i="4"/>
  <c r="L1148" i="4"/>
  <c r="L1149" i="4"/>
  <c r="L1150" i="4"/>
  <c r="L1151" i="4"/>
  <c r="L1152" i="4"/>
  <c r="L1153" i="4"/>
  <c r="L1154" i="4"/>
  <c r="L1155" i="4"/>
  <c r="L1156" i="4"/>
  <c r="L1157" i="4"/>
  <c r="L1158" i="4"/>
  <c r="L1159" i="4"/>
  <c r="L1160" i="4"/>
  <c r="L1161" i="4"/>
  <c r="L1162" i="4"/>
  <c r="L1163" i="4"/>
  <c r="L1164" i="4"/>
  <c r="L1165" i="4"/>
  <c r="L1166" i="4"/>
  <c r="L1167" i="4"/>
  <c r="L1168" i="4"/>
  <c r="L1169" i="4"/>
  <c r="L1170" i="4"/>
  <c r="L1171" i="4"/>
  <c r="L1172" i="4"/>
  <c r="L1173" i="4"/>
  <c r="L1174" i="4"/>
  <c r="L1175" i="4"/>
  <c r="L1176" i="4"/>
  <c r="L1177" i="4"/>
  <c r="L1178" i="4"/>
  <c r="L1179" i="4"/>
  <c r="L1180" i="4"/>
  <c r="L1181" i="4"/>
  <c r="L1182" i="4"/>
  <c r="L1183" i="4"/>
  <c r="L1184" i="4"/>
  <c r="L1185" i="4"/>
  <c r="L1186" i="4"/>
  <c r="L1187" i="4"/>
  <c r="L1188" i="4"/>
  <c r="L1189" i="4"/>
  <c r="L1190" i="4"/>
  <c r="L1191" i="4"/>
  <c r="L1192" i="4"/>
  <c r="L1193" i="4"/>
  <c r="L1194" i="4"/>
  <c r="L1195" i="4"/>
  <c r="L1196" i="4"/>
  <c r="L1197" i="4"/>
  <c r="L1198" i="4"/>
  <c r="L1199" i="4"/>
  <c r="L1200" i="4"/>
  <c r="L1201" i="4"/>
  <c r="L1202" i="4"/>
  <c r="L1203" i="4"/>
  <c r="L1204" i="4"/>
  <c r="L1205" i="4"/>
  <c r="L1206" i="4"/>
  <c r="L1207" i="4"/>
  <c r="L1208" i="4"/>
  <c r="L1209" i="4"/>
  <c r="L1210" i="4"/>
  <c r="L1211" i="4"/>
  <c r="L1212" i="4"/>
  <c r="L1213" i="4"/>
  <c r="L1214" i="4"/>
  <c r="L1215" i="4"/>
  <c r="L1216" i="4"/>
  <c r="L1217" i="4"/>
  <c r="L1218" i="4"/>
  <c r="L1219" i="4"/>
  <c r="L1220" i="4"/>
  <c r="L1221" i="4"/>
  <c r="L1222" i="4"/>
  <c r="L1223" i="4"/>
  <c r="L1224" i="4"/>
  <c r="L1225" i="4"/>
  <c r="L1226" i="4"/>
  <c r="L1227" i="4"/>
  <c r="L1228" i="4"/>
  <c r="L1229" i="4"/>
  <c r="L1230" i="4"/>
  <c r="L1231" i="4"/>
  <c r="L1232" i="4"/>
  <c r="L1233" i="4"/>
  <c r="L1234" i="4"/>
  <c r="L1235" i="4"/>
  <c r="L1236" i="4"/>
  <c r="L1237" i="4"/>
  <c r="L1238" i="4"/>
  <c r="L1239" i="4"/>
  <c r="L1240" i="4"/>
  <c r="L1241" i="4"/>
  <c r="L1242" i="4"/>
  <c r="L1243" i="4"/>
  <c r="L1244" i="4"/>
  <c r="L1245" i="4"/>
  <c r="L1246" i="4"/>
  <c r="L1247" i="4"/>
  <c r="L1248" i="4"/>
  <c r="L1249" i="4"/>
  <c r="L1250" i="4"/>
  <c r="L1251" i="4"/>
  <c r="L1252" i="4"/>
  <c r="L1253" i="4"/>
  <c r="L1254" i="4"/>
  <c r="L1255" i="4"/>
  <c r="L1256" i="4"/>
  <c r="L1257" i="4"/>
  <c r="L1258" i="4"/>
  <c r="L1259" i="4"/>
  <c r="L1260" i="4"/>
  <c r="L1261" i="4"/>
  <c r="L1262" i="4"/>
  <c r="L1263" i="4"/>
  <c r="L1264" i="4"/>
  <c r="L1265" i="4"/>
  <c r="L1266" i="4"/>
  <c r="L1267" i="4"/>
  <c r="L1268" i="4"/>
  <c r="L1269" i="4"/>
  <c r="L1270" i="4"/>
  <c r="L1271" i="4"/>
  <c r="L1272" i="4"/>
  <c r="L1273" i="4"/>
  <c r="L1274" i="4"/>
  <c r="L1275" i="4"/>
  <c r="L1276" i="4"/>
  <c r="L1277" i="4"/>
  <c r="L1278" i="4"/>
  <c r="L1279" i="4"/>
  <c r="L1280" i="4"/>
  <c r="L1281" i="4"/>
  <c r="L1282" i="4"/>
  <c r="L1283" i="4"/>
  <c r="L1284" i="4"/>
  <c r="L1285" i="4"/>
  <c r="L1286" i="4"/>
  <c r="L1287" i="4"/>
  <c r="L1288" i="4"/>
  <c r="L1289" i="4"/>
  <c r="L1290" i="4"/>
  <c r="L1291" i="4"/>
  <c r="L1292" i="4"/>
  <c r="L1293" i="4"/>
  <c r="L1294" i="4"/>
  <c r="L1295" i="4"/>
  <c r="L1296" i="4"/>
  <c r="L1297" i="4"/>
  <c r="L1298" i="4"/>
  <c r="L1299" i="4"/>
  <c r="L1300" i="4"/>
  <c r="L1301" i="4"/>
  <c r="L1302" i="4"/>
  <c r="L1303" i="4"/>
  <c r="L1304" i="4"/>
  <c r="L1305" i="4"/>
  <c r="L1306" i="4"/>
  <c r="L1307" i="4"/>
  <c r="L1308" i="4"/>
  <c r="L1309" i="4"/>
  <c r="L1310" i="4"/>
  <c r="L1311" i="4"/>
  <c r="L1312" i="4"/>
  <c r="L1313" i="4"/>
  <c r="L1314" i="4"/>
  <c r="L1315" i="4"/>
  <c r="L1316" i="4"/>
  <c r="L1317" i="4"/>
  <c r="L1318" i="4"/>
  <c r="L1319" i="4"/>
  <c r="L1320" i="4"/>
  <c r="L1321" i="4"/>
  <c r="L1322" i="4"/>
  <c r="L1323" i="4"/>
  <c r="L1324" i="4"/>
  <c r="L1325" i="4"/>
  <c r="L1326" i="4"/>
  <c r="L1327" i="4"/>
  <c r="L1328" i="4"/>
  <c r="L1329" i="4"/>
  <c r="L1330" i="4"/>
  <c r="L1331" i="4"/>
  <c r="L1332" i="4"/>
  <c r="L1333" i="4"/>
  <c r="L1334" i="4"/>
  <c r="L1335" i="4"/>
  <c r="L1336" i="4"/>
  <c r="L1337" i="4"/>
  <c r="L1338" i="4"/>
  <c r="L1339" i="4"/>
  <c r="L1340" i="4"/>
  <c r="L1341" i="4"/>
  <c r="L1342" i="4"/>
  <c r="L1343" i="4"/>
  <c r="L1344" i="4"/>
  <c r="L1345" i="4"/>
  <c r="L1346" i="4"/>
  <c r="L1347" i="4"/>
  <c r="L1348" i="4"/>
  <c r="L1349" i="4"/>
  <c r="L1350" i="4"/>
  <c r="L1351" i="4"/>
  <c r="L1352" i="4"/>
  <c r="L1353" i="4"/>
  <c r="L1354" i="4"/>
  <c r="L1355" i="4"/>
  <c r="L1356" i="4"/>
  <c r="L1357" i="4"/>
  <c r="L1358" i="4"/>
  <c r="L1359" i="4"/>
  <c r="L1360" i="4"/>
  <c r="L1361" i="4"/>
  <c r="L1362" i="4"/>
  <c r="L1363" i="4"/>
  <c r="L1364" i="4"/>
  <c r="L1365" i="4"/>
  <c r="L1366" i="4"/>
  <c r="L1367" i="4"/>
  <c r="L1368" i="4"/>
  <c r="L1369" i="4"/>
  <c r="L1370" i="4"/>
  <c r="L1371" i="4"/>
  <c r="L1372" i="4"/>
  <c r="L1373" i="4"/>
  <c r="L1374" i="4"/>
  <c r="L1375" i="4"/>
  <c r="L1376" i="4"/>
  <c r="L1377" i="4"/>
  <c r="L1378" i="4"/>
  <c r="L1379" i="4"/>
  <c r="L1380" i="4"/>
  <c r="L1381" i="4"/>
  <c r="L1382" i="4"/>
  <c r="L1383" i="4"/>
  <c r="L1384" i="4"/>
  <c r="L1385" i="4"/>
  <c r="L1386" i="4"/>
  <c r="L1387" i="4"/>
  <c r="L1388" i="4"/>
  <c r="L1389" i="4"/>
  <c r="L1390" i="4"/>
  <c r="L1391" i="4"/>
  <c r="L1392" i="4"/>
  <c r="L1393" i="4"/>
  <c r="L1394" i="4"/>
  <c r="L1395" i="4"/>
  <c r="L1396" i="4"/>
  <c r="L1397" i="4"/>
  <c r="L1398" i="4"/>
  <c r="L1399" i="4"/>
  <c r="L1400" i="4"/>
  <c r="L1401" i="4"/>
  <c r="L1402" i="4"/>
  <c r="L1403" i="4"/>
  <c r="L1404" i="4"/>
  <c r="L1405" i="4"/>
  <c r="L1406" i="4"/>
  <c r="L1407" i="4"/>
  <c r="L1408" i="4"/>
  <c r="L1409" i="4"/>
  <c r="L1410" i="4"/>
  <c r="L1411" i="4"/>
  <c r="L1412" i="4"/>
  <c r="L1413" i="4"/>
  <c r="L1414" i="4"/>
  <c r="L1415" i="4"/>
  <c r="L1416" i="4"/>
  <c r="L1417" i="4"/>
  <c r="L1418" i="4"/>
  <c r="L1419" i="4"/>
  <c r="L1420" i="4"/>
  <c r="L1421" i="4"/>
  <c r="L1422" i="4"/>
  <c r="L1423" i="4"/>
  <c r="L1424" i="4"/>
  <c r="L1425" i="4"/>
  <c r="L1426" i="4"/>
  <c r="L1427" i="4"/>
  <c r="L1428" i="4"/>
  <c r="L1429" i="4"/>
  <c r="L1430" i="4"/>
  <c r="L1431" i="4"/>
  <c r="L1432" i="4"/>
  <c r="L1433" i="4"/>
  <c r="L1434" i="4"/>
  <c r="L1435" i="4"/>
  <c r="L1436" i="4"/>
  <c r="L1437" i="4"/>
  <c r="L1438" i="4"/>
  <c r="L1439" i="4"/>
  <c r="L1440" i="4"/>
  <c r="L1441" i="4"/>
  <c r="L1442" i="4"/>
  <c r="L1443" i="4"/>
  <c r="L1444" i="4"/>
  <c r="L1445" i="4"/>
  <c r="L1446" i="4"/>
  <c r="L1447" i="4"/>
  <c r="L1448" i="4"/>
  <c r="L1449" i="4"/>
  <c r="L1450" i="4"/>
  <c r="L1451" i="4"/>
  <c r="L1452" i="4"/>
  <c r="L1453" i="4"/>
  <c r="L1454" i="4"/>
  <c r="L1455" i="4"/>
  <c r="L1456" i="4"/>
  <c r="L1457" i="4"/>
  <c r="L1458" i="4"/>
  <c r="L1459" i="4"/>
  <c r="L1460" i="4"/>
  <c r="L1461" i="4"/>
  <c r="L1462" i="4"/>
  <c r="L1463" i="4"/>
  <c r="L1464" i="4"/>
  <c r="L1465" i="4"/>
  <c r="L1466" i="4"/>
  <c r="L1467" i="4"/>
  <c r="L1468" i="4"/>
  <c r="L1469" i="4"/>
  <c r="L1470" i="4"/>
  <c r="L1471" i="4"/>
  <c r="L1472" i="4"/>
  <c r="L1473" i="4"/>
  <c r="L1474" i="4"/>
  <c r="L1475" i="4"/>
  <c r="L1476" i="4"/>
  <c r="L1477" i="4"/>
  <c r="L1478" i="4"/>
  <c r="L1479" i="4"/>
  <c r="L1480" i="4"/>
  <c r="L1481" i="4"/>
  <c r="L1482" i="4"/>
  <c r="L1483" i="4"/>
  <c r="L1484" i="4"/>
  <c r="L1485" i="4"/>
  <c r="L1486" i="4"/>
  <c r="L1487" i="4"/>
  <c r="L1488" i="4"/>
  <c r="L1489" i="4"/>
  <c r="L1490" i="4"/>
  <c r="L1491" i="4"/>
  <c r="L1492" i="4"/>
  <c r="L1493" i="4"/>
  <c r="L1494" i="4"/>
  <c r="L1495" i="4"/>
  <c r="L1496" i="4"/>
  <c r="L1497" i="4"/>
  <c r="L1498" i="4"/>
  <c r="L1499" i="4"/>
  <c r="L1500" i="4"/>
  <c r="L1501" i="4"/>
  <c r="L1502" i="4"/>
  <c r="L1503" i="4"/>
  <c r="L1504" i="4"/>
  <c r="L1505" i="4"/>
  <c r="L1506" i="4"/>
  <c r="L1507" i="4"/>
  <c r="L1508" i="4"/>
  <c r="L1509" i="4"/>
  <c r="L1510" i="4"/>
  <c r="L1511" i="4"/>
  <c r="L1512" i="4"/>
  <c r="L1513" i="4"/>
  <c r="L1514" i="4"/>
  <c r="L1515" i="4"/>
  <c r="L1516" i="4"/>
  <c r="L1517" i="4"/>
  <c r="L1518" i="4"/>
  <c r="L1519" i="4"/>
  <c r="L1520" i="4"/>
  <c r="L1521" i="4"/>
  <c r="L1522" i="4"/>
  <c r="L1523" i="4"/>
  <c r="L1524" i="4"/>
  <c r="L1525" i="4"/>
  <c r="L1526" i="4"/>
  <c r="L1527" i="4"/>
  <c r="L1528" i="4"/>
  <c r="L1529" i="4"/>
  <c r="L1530" i="4"/>
  <c r="L1531" i="4"/>
  <c r="L1532" i="4"/>
  <c r="L1533" i="4"/>
  <c r="L1534" i="4"/>
  <c r="L1535" i="4"/>
  <c r="L1536" i="4"/>
  <c r="L1537" i="4"/>
  <c r="L1538" i="4"/>
  <c r="L1539" i="4"/>
  <c r="L1540" i="4"/>
  <c r="L1541" i="4"/>
  <c r="L1542" i="4"/>
  <c r="L1543" i="4"/>
  <c r="L1544" i="4"/>
  <c r="L1545" i="4"/>
  <c r="L1546" i="4"/>
  <c r="L1547" i="4"/>
  <c r="L1548" i="4"/>
  <c r="L1549" i="4"/>
  <c r="L1550" i="4"/>
  <c r="L1551" i="4"/>
  <c r="L1552" i="4"/>
  <c r="L1553" i="4"/>
  <c r="L1554" i="4"/>
  <c r="L1555" i="4"/>
  <c r="L1556" i="4"/>
  <c r="L1557" i="4"/>
  <c r="L1558" i="4"/>
  <c r="L1559" i="4"/>
  <c r="L1560" i="4"/>
  <c r="L1561" i="4"/>
  <c r="L1562" i="4"/>
  <c r="L1563" i="4"/>
  <c r="L1564" i="4"/>
  <c r="L1565" i="4"/>
  <c r="L1566" i="4"/>
  <c r="L1567" i="4"/>
  <c r="L1568" i="4"/>
  <c r="L1569" i="4"/>
  <c r="L1570" i="4"/>
  <c r="L1571" i="4"/>
  <c r="L1572" i="4"/>
  <c r="L1573" i="4"/>
  <c r="L1574" i="4"/>
  <c r="L1575" i="4"/>
  <c r="L1576" i="4"/>
  <c r="L1577" i="4"/>
  <c r="L1578" i="4"/>
  <c r="L1579" i="4"/>
  <c r="L1580" i="4"/>
  <c r="L1581" i="4"/>
  <c r="L1582" i="4"/>
  <c r="L1583" i="4"/>
  <c r="L1584" i="4"/>
  <c r="L1585" i="4"/>
  <c r="L1586" i="4"/>
  <c r="L1587" i="4"/>
  <c r="L1588" i="4"/>
  <c r="L1589" i="4"/>
  <c r="L1590" i="4"/>
  <c r="L1591" i="4"/>
  <c r="L1592" i="4"/>
  <c r="L1593" i="4"/>
  <c r="L1594" i="4"/>
  <c r="L1595" i="4"/>
  <c r="L1596" i="4"/>
  <c r="L1597" i="4"/>
  <c r="L1598" i="4"/>
  <c r="L1599" i="4"/>
  <c r="L1600" i="4"/>
  <c r="L1601" i="4"/>
  <c r="L1602" i="4"/>
  <c r="L1603" i="4"/>
  <c r="L1604" i="4"/>
  <c r="L1605" i="4"/>
  <c r="L1606" i="4"/>
  <c r="L1607" i="4"/>
  <c r="L1608" i="4"/>
  <c r="L1609" i="4"/>
  <c r="L1610" i="4"/>
  <c r="L1611" i="4"/>
  <c r="L1612" i="4"/>
  <c r="L1613" i="4"/>
  <c r="L1614" i="4"/>
  <c r="L1615" i="4"/>
  <c r="L1616" i="4"/>
  <c r="L1617" i="4"/>
  <c r="L1618" i="4"/>
  <c r="L1619" i="4"/>
  <c r="L1620" i="4"/>
  <c r="L1621" i="4"/>
  <c r="L1622" i="4"/>
  <c r="L1623" i="4"/>
  <c r="L1624" i="4"/>
  <c r="L1625" i="4"/>
  <c r="L1626" i="4"/>
  <c r="L1627" i="4"/>
  <c r="L1628" i="4"/>
  <c r="L1629" i="4"/>
  <c r="L1630" i="4"/>
  <c r="L1631" i="4"/>
  <c r="L1632" i="4"/>
  <c r="L1633" i="4"/>
  <c r="L1634" i="4"/>
  <c r="L1635" i="4"/>
  <c r="L1636" i="4"/>
  <c r="L1637" i="4"/>
  <c r="L1638" i="4"/>
  <c r="L1639" i="4"/>
  <c r="L1640" i="4"/>
  <c r="L1641" i="4"/>
  <c r="L1642" i="4"/>
  <c r="L1643" i="4"/>
  <c r="L1644" i="4"/>
  <c r="L1645" i="4"/>
  <c r="L1646" i="4"/>
  <c r="L1647" i="4"/>
  <c r="L1648" i="4"/>
  <c r="L1649" i="4"/>
  <c r="L1650" i="4"/>
  <c r="L1651" i="4"/>
  <c r="L1652" i="4"/>
  <c r="L1653" i="4"/>
  <c r="L1654" i="4"/>
  <c r="L1655" i="4"/>
  <c r="L1656" i="4"/>
  <c r="L1657" i="4"/>
  <c r="L1658" i="4"/>
  <c r="L1659" i="4"/>
  <c r="L1660" i="4"/>
  <c r="L1661" i="4"/>
  <c r="L1662" i="4"/>
  <c r="L1663" i="4"/>
  <c r="L1664" i="4"/>
  <c r="L1665" i="4"/>
  <c r="L1666" i="4"/>
  <c r="L1667" i="4"/>
  <c r="L1668" i="4"/>
  <c r="L1669" i="4"/>
  <c r="L1670" i="4"/>
  <c r="L1671" i="4"/>
  <c r="L1672" i="4"/>
  <c r="L1673" i="4"/>
  <c r="L1674" i="4"/>
  <c r="L1675" i="4"/>
  <c r="L1676" i="4"/>
  <c r="L1677" i="4"/>
  <c r="L1678" i="4"/>
  <c r="L1679" i="4"/>
  <c r="L1680" i="4"/>
  <c r="L1681" i="4"/>
  <c r="L1682" i="4"/>
  <c r="L1683" i="4"/>
  <c r="L1684" i="4"/>
  <c r="L1685" i="4"/>
  <c r="L1686" i="4"/>
  <c r="L1687" i="4"/>
  <c r="L1688" i="4"/>
  <c r="L1689" i="4"/>
  <c r="L1690" i="4"/>
  <c r="L1691" i="4"/>
  <c r="L1692" i="4"/>
  <c r="L1693" i="4"/>
  <c r="L1694" i="4"/>
  <c r="L1695" i="4"/>
  <c r="L1696" i="4"/>
  <c r="L1697" i="4"/>
  <c r="L1698" i="4"/>
  <c r="L1699" i="4"/>
  <c r="L1700" i="4"/>
  <c r="L1701" i="4"/>
  <c r="L1702" i="4"/>
  <c r="L1703" i="4"/>
  <c r="L1704" i="4"/>
  <c r="L1705" i="4"/>
  <c r="L1706" i="4"/>
  <c r="L1707" i="4"/>
  <c r="L1708" i="4"/>
  <c r="L1709" i="4"/>
  <c r="L1710" i="4"/>
  <c r="L1711" i="4"/>
  <c r="L1712" i="4"/>
  <c r="L1713" i="4"/>
  <c r="L1714" i="4"/>
  <c r="L1715" i="4"/>
  <c r="L1716" i="4"/>
  <c r="L1717" i="4"/>
  <c r="L1718" i="4"/>
  <c r="L1719" i="4"/>
  <c r="L1720" i="4"/>
  <c r="L1721" i="4"/>
  <c r="L1722" i="4"/>
  <c r="L1723" i="4"/>
  <c r="L1724" i="4"/>
  <c r="L1725" i="4"/>
  <c r="L1726" i="4"/>
  <c r="L1727" i="4"/>
  <c r="L1728" i="4"/>
  <c r="L1729" i="4"/>
  <c r="L1730" i="4"/>
  <c r="L1731" i="4"/>
  <c r="L1732" i="4"/>
  <c r="L1733" i="4"/>
  <c r="L1734" i="4"/>
  <c r="L1735" i="4"/>
  <c r="L1736" i="4"/>
  <c r="L1737" i="4"/>
  <c r="L1738" i="4"/>
  <c r="L1739" i="4"/>
  <c r="L1740" i="4"/>
  <c r="L1741" i="4"/>
  <c r="L1742" i="4"/>
  <c r="L1743" i="4"/>
  <c r="L1744" i="4"/>
  <c r="L1745" i="4"/>
  <c r="L1746" i="4"/>
  <c r="L1747" i="4"/>
  <c r="L1748" i="4"/>
  <c r="L1749" i="4"/>
  <c r="L1750" i="4"/>
  <c r="L1751" i="4"/>
  <c r="L1752" i="4"/>
  <c r="L1753" i="4"/>
  <c r="L1754" i="4"/>
  <c r="L1755" i="4"/>
  <c r="L1756" i="4"/>
  <c r="L1757" i="4"/>
  <c r="L1758" i="4"/>
  <c r="L1759" i="4"/>
  <c r="L1760" i="4"/>
  <c r="L1761" i="4"/>
  <c r="L1762" i="4"/>
  <c r="L1763" i="4"/>
  <c r="L1764" i="4"/>
  <c r="L1765" i="4"/>
  <c r="L1766" i="4"/>
  <c r="L1767" i="4"/>
  <c r="L1768" i="4"/>
  <c r="L1769" i="4"/>
  <c r="L1770" i="4"/>
  <c r="L1771" i="4"/>
  <c r="L1772" i="4"/>
  <c r="L1773" i="4"/>
  <c r="L1774" i="4"/>
  <c r="L1775" i="4"/>
  <c r="L1776" i="4"/>
  <c r="L1777" i="4"/>
  <c r="L1778" i="4"/>
  <c r="L1779" i="4"/>
  <c r="L1780" i="4"/>
  <c r="L1781" i="4"/>
  <c r="L1782" i="4"/>
  <c r="L1783" i="4"/>
  <c r="L1784" i="4"/>
  <c r="L1785" i="4"/>
  <c r="L1786" i="4"/>
  <c r="L1787" i="4"/>
  <c r="L1788" i="4"/>
  <c r="L1789" i="4"/>
  <c r="L1790" i="4"/>
  <c r="L1791" i="4"/>
  <c r="L1792" i="4"/>
  <c r="L1793" i="4"/>
  <c r="L1794" i="4"/>
  <c r="L1795" i="4"/>
  <c r="L1796" i="4"/>
  <c r="L1797" i="4"/>
  <c r="L1798" i="4"/>
  <c r="L1799" i="4"/>
  <c r="L1800" i="4"/>
  <c r="L1801" i="4"/>
  <c r="L1802" i="4"/>
  <c r="L1803" i="4"/>
  <c r="L1804" i="4"/>
  <c r="L1805" i="4"/>
  <c r="L1806" i="4"/>
  <c r="L1807" i="4"/>
  <c r="L1808" i="4"/>
  <c r="L1809" i="4"/>
  <c r="L1810" i="4"/>
  <c r="L1811" i="4"/>
  <c r="L1812" i="4"/>
  <c r="L1813" i="4"/>
  <c r="L1814" i="4"/>
  <c r="L1815" i="4"/>
  <c r="L1816" i="4"/>
  <c r="L1817" i="4"/>
  <c r="L1818" i="4"/>
  <c r="L1819" i="4"/>
  <c r="L1820" i="4"/>
  <c r="L1821" i="4"/>
  <c r="L1822" i="4"/>
  <c r="L1823" i="4"/>
  <c r="N770" i="4"/>
  <c r="N771" i="4"/>
  <c r="N772" i="4"/>
  <c r="N775" i="4"/>
  <c r="N778" i="4"/>
  <c r="N779" i="4"/>
  <c r="N796" i="4"/>
  <c r="N807" i="4"/>
  <c r="N849" i="4"/>
  <c r="N851" i="4"/>
  <c r="N852" i="4"/>
  <c r="N853" i="4"/>
  <c r="N879" i="4"/>
  <c r="N881" i="4"/>
  <c r="N981" i="4"/>
  <c r="N982" i="4"/>
  <c r="N983" i="4"/>
  <c r="N989" i="4"/>
  <c r="N991" i="4"/>
  <c r="N1070" i="4"/>
  <c r="N1071" i="4"/>
  <c r="N1128" i="4"/>
  <c r="N1131" i="4"/>
  <c r="N1144" i="4"/>
  <c r="N1146" i="4"/>
  <c r="N1178" i="4"/>
  <c r="N1179" i="4"/>
  <c r="N1196" i="4"/>
  <c r="N1198" i="4"/>
  <c r="N1307" i="4"/>
  <c r="N1308" i="4"/>
  <c r="N1337" i="4"/>
  <c r="N1338" i="4"/>
  <c r="N1394" i="4"/>
  <c r="N1396" i="4"/>
  <c r="N1413" i="4"/>
  <c r="N1415" i="4"/>
  <c r="N1423" i="4"/>
  <c r="N1425" i="4"/>
  <c r="N1471" i="4"/>
  <c r="N1472" i="4"/>
  <c r="N1479" i="4"/>
  <c r="N1486" i="4"/>
  <c r="N1487" i="4"/>
  <c r="N1488" i="4"/>
  <c r="N1510" i="4"/>
  <c r="N1511" i="4"/>
  <c r="N1525" i="4"/>
  <c r="N1526" i="4"/>
  <c r="N1561" i="4"/>
  <c r="N1562" i="4"/>
  <c r="N1579" i="4"/>
  <c r="N1581" i="4"/>
  <c r="N1582" i="4"/>
  <c r="N1585" i="4"/>
  <c r="N1587" i="4"/>
  <c r="N1588" i="4"/>
  <c r="N1596" i="4"/>
  <c r="N1598" i="4"/>
  <c r="N1599" i="4"/>
  <c r="N1602" i="4"/>
  <c r="N1604" i="4"/>
  <c r="N1621" i="4"/>
  <c r="N1622" i="4"/>
  <c r="N1663" i="4"/>
  <c r="N1665" i="4"/>
  <c r="N1667" i="4"/>
  <c r="N1668" i="4"/>
  <c r="N1670" i="4"/>
  <c r="N1671" i="4"/>
  <c r="N1674" i="4"/>
  <c r="N1676" i="4"/>
  <c r="N1682" i="4"/>
  <c r="N1683" i="4"/>
  <c r="N1684" i="4"/>
  <c r="N1688" i="4"/>
  <c r="N1689" i="4"/>
  <c r="N1690" i="4"/>
  <c r="N1694" i="4"/>
  <c r="N1695" i="4"/>
  <c r="N1696" i="4"/>
  <c r="N1708" i="4"/>
  <c r="N1709" i="4"/>
  <c r="N1720" i="4"/>
  <c r="N1722" i="4"/>
  <c r="N1733" i="4"/>
  <c r="N1754" i="4"/>
  <c r="N1755" i="4"/>
  <c r="N1800" i="4"/>
  <c r="N1801" i="4"/>
  <c r="N1811" i="4"/>
  <c r="N1812" i="4"/>
  <c r="R761" i="4"/>
  <c r="R762" i="4"/>
  <c r="R763" i="4"/>
  <c r="R764" i="4"/>
  <c r="R765" i="4"/>
  <c r="R766" i="4"/>
  <c r="R767" i="4"/>
  <c r="R768" i="4"/>
  <c r="R769" i="4"/>
  <c r="R770" i="4"/>
  <c r="R771" i="4"/>
  <c r="R772" i="4"/>
  <c r="R773" i="4"/>
  <c r="R774" i="4"/>
  <c r="R775" i="4"/>
  <c r="R776" i="4"/>
  <c r="R777" i="4"/>
  <c r="R778" i="4"/>
  <c r="R779" i="4"/>
  <c r="R780" i="4"/>
  <c r="R781"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8" i="4"/>
  <c r="R929" i="4"/>
  <c r="R930" i="4"/>
  <c r="R931" i="4"/>
  <c r="R932" i="4"/>
  <c r="R933" i="4"/>
  <c r="R934" i="4"/>
  <c r="R935" i="4"/>
  <c r="R936" i="4"/>
  <c r="R937" i="4"/>
  <c r="R938" i="4"/>
  <c r="R939" i="4"/>
  <c r="R940" i="4"/>
  <c r="R941"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1002" i="4"/>
  <c r="R1003" i="4"/>
  <c r="R1004" i="4"/>
  <c r="R1005" i="4"/>
  <c r="R1006" i="4"/>
  <c r="R1007" i="4"/>
  <c r="R1008" i="4"/>
  <c r="R1009" i="4"/>
  <c r="R1010" i="4"/>
  <c r="R1011" i="4"/>
  <c r="R1012" i="4"/>
  <c r="R1013" i="4"/>
  <c r="R1014" i="4"/>
  <c r="R1015" i="4"/>
  <c r="R1016" i="4"/>
  <c r="R1017" i="4"/>
  <c r="R1018" i="4"/>
  <c r="R1019" i="4"/>
  <c r="R1020" i="4"/>
  <c r="R1021" i="4"/>
  <c r="R1022" i="4"/>
  <c r="R1023" i="4"/>
  <c r="R1024" i="4"/>
  <c r="R1025" i="4"/>
  <c r="R1026" i="4"/>
  <c r="R1027" i="4"/>
  <c r="R1028" i="4"/>
  <c r="R1029" i="4"/>
  <c r="R1030" i="4"/>
  <c r="R1031" i="4"/>
  <c r="R1032" i="4"/>
  <c r="R1033" i="4"/>
  <c r="R1034" i="4"/>
  <c r="R1035" i="4"/>
  <c r="R1036" i="4"/>
  <c r="R1037" i="4"/>
  <c r="R1038" i="4"/>
  <c r="R1039" i="4"/>
  <c r="R1040" i="4"/>
  <c r="R1041" i="4"/>
  <c r="R1042" i="4"/>
  <c r="R1043" i="4"/>
  <c r="R1044" i="4"/>
  <c r="R1045" i="4"/>
  <c r="R1046" i="4"/>
  <c r="R1047" i="4"/>
  <c r="R1048" i="4"/>
  <c r="R1049" i="4"/>
  <c r="R1050" i="4"/>
  <c r="R1051" i="4"/>
  <c r="R1052" i="4"/>
  <c r="R1053" i="4"/>
  <c r="R1054" i="4"/>
  <c r="R1055" i="4"/>
  <c r="R1056" i="4"/>
  <c r="R1057" i="4"/>
  <c r="R1058" i="4"/>
  <c r="R1059" i="4"/>
  <c r="R1060" i="4"/>
  <c r="R1061" i="4"/>
  <c r="R1062" i="4"/>
  <c r="R1063" i="4"/>
  <c r="R1064" i="4"/>
  <c r="R1065" i="4"/>
  <c r="R1066" i="4"/>
  <c r="R1067" i="4"/>
  <c r="R1068" i="4"/>
  <c r="R1069" i="4"/>
  <c r="R1070" i="4"/>
  <c r="R1071" i="4"/>
  <c r="R1072" i="4"/>
  <c r="R1073" i="4"/>
  <c r="R1074" i="4"/>
  <c r="R1075" i="4"/>
  <c r="R1076" i="4"/>
  <c r="R1077" i="4"/>
  <c r="R1078" i="4"/>
  <c r="R1079" i="4"/>
  <c r="R1080" i="4"/>
  <c r="R1081" i="4"/>
  <c r="R1082" i="4"/>
  <c r="R1083" i="4"/>
  <c r="R1084" i="4"/>
  <c r="R1085" i="4"/>
  <c r="R1086" i="4"/>
  <c r="R1087" i="4"/>
  <c r="R1088" i="4"/>
  <c r="R1089" i="4"/>
  <c r="R1090" i="4"/>
  <c r="R1091" i="4"/>
  <c r="R1092" i="4"/>
  <c r="R1093" i="4"/>
  <c r="R1094" i="4"/>
  <c r="R1095" i="4"/>
  <c r="R1096" i="4"/>
  <c r="R1097" i="4"/>
  <c r="R1098" i="4"/>
  <c r="R1099" i="4"/>
  <c r="R1100" i="4"/>
  <c r="R1101" i="4"/>
  <c r="R1102" i="4"/>
  <c r="R1103" i="4"/>
  <c r="R1104" i="4"/>
  <c r="R1105" i="4"/>
  <c r="R1106" i="4"/>
  <c r="R1107" i="4"/>
  <c r="R1108" i="4"/>
  <c r="R1109" i="4"/>
  <c r="R1110" i="4"/>
  <c r="R1111" i="4"/>
  <c r="R1112" i="4"/>
  <c r="R1113" i="4"/>
  <c r="R1114" i="4"/>
  <c r="R1115" i="4"/>
  <c r="R1116" i="4"/>
  <c r="R1117" i="4"/>
  <c r="R1118" i="4"/>
  <c r="R1119" i="4"/>
  <c r="R1120" i="4"/>
  <c r="R1121" i="4"/>
  <c r="R1122" i="4"/>
  <c r="R1123" i="4"/>
  <c r="R1124" i="4"/>
  <c r="R1125" i="4"/>
  <c r="R1126" i="4"/>
  <c r="R1127" i="4"/>
  <c r="R1128" i="4"/>
  <c r="R1129" i="4"/>
  <c r="R1130" i="4"/>
  <c r="R1131" i="4"/>
  <c r="R1132" i="4"/>
  <c r="R1133" i="4"/>
  <c r="R1134" i="4"/>
  <c r="R1135" i="4"/>
  <c r="R1136" i="4"/>
  <c r="R1137" i="4"/>
  <c r="R1138" i="4"/>
  <c r="R1139" i="4"/>
  <c r="R1140" i="4"/>
  <c r="R1141" i="4"/>
  <c r="R1142" i="4"/>
  <c r="R1143" i="4"/>
  <c r="R1144" i="4"/>
  <c r="R1145" i="4"/>
  <c r="R1146" i="4"/>
  <c r="R1147" i="4"/>
  <c r="R1148" i="4"/>
  <c r="R1149" i="4"/>
  <c r="R1150" i="4"/>
  <c r="R1151" i="4"/>
  <c r="R1152" i="4"/>
  <c r="R1153" i="4"/>
  <c r="R1154" i="4"/>
  <c r="R1155" i="4"/>
  <c r="R1156" i="4"/>
  <c r="R1157" i="4"/>
  <c r="R1158" i="4"/>
  <c r="R1159" i="4"/>
  <c r="R1160" i="4"/>
  <c r="R1161" i="4"/>
  <c r="R1162" i="4"/>
  <c r="R1163" i="4"/>
  <c r="R1164" i="4"/>
  <c r="R1165" i="4"/>
  <c r="R1166" i="4"/>
  <c r="R1167" i="4"/>
  <c r="R1168" i="4"/>
  <c r="R1169" i="4"/>
  <c r="R1170" i="4"/>
  <c r="R1171" i="4"/>
  <c r="R1172" i="4"/>
  <c r="R1173" i="4"/>
  <c r="R1174" i="4"/>
  <c r="R1175" i="4"/>
  <c r="R1176" i="4"/>
  <c r="R1177" i="4"/>
  <c r="R1178" i="4"/>
  <c r="R1179" i="4"/>
  <c r="R1180" i="4"/>
  <c r="R1181" i="4"/>
  <c r="R1182" i="4"/>
  <c r="R1183" i="4"/>
  <c r="R1184" i="4"/>
  <c r="R1185" i="4"/>
  <c r="R1186" i="4"/>
  <c r="R1187" i="4"/>
  <c r="R1188" i="4"/>
  <c r="R1189" i="4"/>
  <c r="R1190" i="4"/>
  <c r="R1191" i="4"/>
  <c r="R1192" i="4"/>
  <c r="R1193" i="4"/>
  <c r="R1194" i="4"/>
  <c r="R1195" i="4"/>
  <c r="R1196" i="4"/>
  <c r="R1197" i="4"/>
  <c r="R1198" i="4"/>
  <c r="R1199" i="4"/>
  <c r="R1200" i="4"/>
  <c r="R1201" i="4"/>
  <c r="R1202" i="4"/>
  <c r="R1203" i="4"/>
  <c r="R1204" i="4"/>
  <c r="R1205" i="4"/>
  <c r="R1206" i="4"/>
  <c r="R1207" i="4"/>
  <c r="R1208" i="4"/>
  <c r="R1209" i="4"/>
  <c r="R1210" i="4"/>
  <c r="R1211" i="4"/>
  <c r="R1212" i="4"/>
  <c r="R1213" i="4"/>
  <c r="R1214" i="4"/>
  <c r="R1215" i="4"/>
  <c r="R1216" i="4"/>
  <c r="R1217" i="4"/>
  <c r="R1218" i="4"/>
  <c r="R1219" i="4"/>
  <c r="R1220" i="4"/>
  <c r="R1221" i="4"/>
  <c r="R1222" i="4"/>
  <c r="R1223" i="4"/>
  <c r="R1224" i="4"/>
  <c r="R1225" i="4"/>
  <c r="R1226" i="4"/>
  <c r="R1227" i="4"/>
  <c r="R1228" i="4"/>
  <c r="R1229" i="4"/>
  <c r="R1230" i="4"/>
  <c r="R1231" i="4"/>
  <c r="R1232" i="4"/>
  <c r="R1233" i="4"/>
  <c r="R1234" i="4"/>
  <c r="R1235" i="4"/>
  <c r="R1236" i="4"/>
  <c r="R1237" i="4"/>
  <c r="R1238" i="4"/>
  <c r="R1239" i="4"/>
  <c r="R1240" i="4"/>
  <c r="R1241" i="4"/>
  <c r="R1242" i="4"/>
  <c r="R1243" i="4"/>
  <c r="R1244" i="4"/>
  <c r="R1245" i="4"/>
  <c r="R1246" i="4"/>
  <c r="R1247" i="4"/>
  <c r="R1248" i="4"/>
  <c r="R1249" i="4"/>
  <c r="R1250" i="4"/>
  <c r="R1251" i="4"/>
  <c r="R1252" i="4"/>
  <c r="R1253" i="4"/>
  <c r="R1254" i="4"/>
  <c r="R1255" i="4"/>
  <c r="R1256" i="4"/>
  <c r="R1257" i="4"/>
  <c r="R1258" i="4"/>
  <c r="R1259" i="4"/>
  <c r="R1260" i="4"/>
  <c r="R1261" i="4"/>
  <c r="R1262" i="4"/>
  <c r="R1263" i="4"/>
  <c r="R1264" i="4"/>
  <c r="R1265" i="4"/>
  <c r="R1266" i="4"/>
  <c r="R1267" i="4"/>
  <c r="R1268" i="4"/>
  <c r="R1269" i="4"/>
  <c r="R1270" i="4"/>
  <c r="R1271" i="4"/>
  <c r="R1272" i="4"/>
  <c r="R1273" i="4"/>
  <c r="R1274" i="4"/>
  <c r="R1275" i="4"/>
  <c r="R1276" i="4"/>
  <c r="R1277" i="4"/>
  <c r="R1278" i="4"/>
  <c r="R1279" i="4"/>
  <c r="R1280" i="4"/>
  <c r="R1281" i="4"/>
  <c r="R1282" i="4"/>
  <c r="R1283" i="4"/>
  <c r="R1284" i="4"/>
  <c r="R1285" i="4"/>
  <c r="R1286" i="4"/>
  <c r="R1287" i="4"/>
  <c r="R1288" i="4"/>
  <c r="R1289" i="4"/>
  <c r="R1290" i="4"/>
  <c r="R1291" i="4"/>
  <c r="R1292" i="4"/>
  <c r="R1293" i="4"/>
  <c r="R1294" i="4"/>
  <c r="R1295" i="4"/>
  <c r="R1296" i="4"/>
  <c r="R1297" i="4"/>
  <c r="R1298" i="4"/>
  <c r="R1299" i="4"/>
  <c r="R1300" i="4"/>
  <c r="R1301" i="4"/>
  <c r="R1302" i="4"/>
  <c r="R1303" i="4"/>
  <c r="R1304" i="4"/>
  <c r="R1305" i="4"/>
  <c r="R1306" i="4"/>
  <c r="R1307" i="4"/>
  <c r="R1308" i="4"/>
  <c r="R1309" i="4"/>
  <c r="R1310" i="4"/>
  <c r="R1311" i="4"/>
  <c r="R1312" i="4"/>
  <c r="R1313" i="4"/>
  <c r="R1314" i="4"/>
  <c r="R1315" i="4"/>
  <c r="R1316" i="4"/>
  <c r="R1317" i="4"/>
  <c r="R1318" i="4"/>
  <c r="R1319" i="4"/>
  <c r="R1320" i="4"/>
  <c r="R1321" i="4"/>
  <c r="R1322" i="4"/>
  <c r="R1323" i="4"/>
  <c r="R1324" i="4"/>
  <c r="R1325" i="4"/>
  <c r="R1326" i="4"/>
  <c r="R1327" i="4"/>
  <c r="R1328" i="4"/>
  <c r="R1329" i="4"/>
  <c r="R1330" i="4"/>
  <c r="R1331" i="4"/>
  <c r="R1332" i="4"/>
  <c r="R1333" i="4"/>
  <c r="R1334" i="4"/>
  <c r="R1335" i="4"/>
  <c r="R1336" i="4"/>
  <c r="R1337" i="4"/>
  <c r="R1338" i="4"/>
  <c r="R1339" i="4"/>
  <c r="R1340" i="4"/>
  <c r="R1341" i="4"/>
  <c r="R1342" i="4"/>
  <c r="R1343" i="4"/>
  <c r="R1344" i="4"/>
  <c r="R1345" i="4"/>
  <c r="R1346" i="4"/>
  <c r="R1347" i="4"/>
  <c r="R1348" i="4"/>
  <c r="R1349" i="4"/>
  <c r="R1350" i="4"/>
  <c r="R1351" i="4"/>
  <c r="R1352" i="4"/>
  <c r="R1353" i="4"/>
  <c r="R1354" i="4"/>
  <c r="R1355" i="4"/>
  <c r="R1356" i="4"/>
  <c r="R1357" i="4"/>
  <c r="R1358" i="4"/>
  <c r="R1359" i="4"/>
  <c r="R1360" i="4"/>
  <c r="R1361" i="4"/>
  <c r="R1362" i="4"/>
  <c r="R1363" i="4"/>
  <c r="R1364" i="4"/>
  <c r="R1365" i="4"/>
  <c r="R1366" i="4"/>
  <c r="R1367" i="4"/>
  <c r="R1368" i="4"/>
  <c r="R1369" i="4"/>
  <c r="R1370" i="4"/>
  <c r="R1371" i="4"/>
  <c r="R1372" i="4"/>
  <c r="R1373" i="4"/>
  <c r="R1374" i="4"/>
  <c r="R1375" i="4"/>
  <c r="R1376" i="4"/>
  <c r="R1377" i="4"/>
  <c r="R1378" i="4"/>
  <c r="R1379" i="4"/>
  <c r="R1380" i="4"/>
  <c r="R1381" i="4"/>
  <c r="R1382" i="4"/>
  <c r="R1383" i="4"/>
  <c r="R1384" i="4"/>
  <c r="R1385" i="4"/>
  <c r="R1386" i="4"/>
  <c r="R1387" i="4"/>
  <c r="R1388" i="4"/>
  <c r="R1389" i="4"/>
  <c r="R1390" i="4"/>
  <c r="R1391" i="4"/>
  <c r="R1392" i="4"/>
  <c r="R1393" i="4"/>
  <c r="R1394" i="4"/>
  <c r="R1395" i="4"/>
  <c r="R1396" i="4"/>
  <c r="R1397" i="4"/>
  <c r="R1398" i="4"/>
  <c r="R1399" i="4"/>
  <c r="R1400" i="4"/>
  <c r="R1401" i="4"/>
  <c r="R1402" i="4"/>
  <c r="R1403" i="4"/>
  <c r="R1404" i="4"/>
  <c r="R1405" i="4"/>
  <c r="R1406" i="4"/>
  <c r="R1407" i="4"/>
  <c r="R1408" i="4"/>
  <c r="R1409" i="4"/>
  <c r="R1410" i="4"/>
  <c r="R1411" i="4"/>
  <c r="R1412" i="4"/>
  <c r="R1413" i="4"/>
  <c r="R1414" i="4"/>
  <c r="R1415" i="4"/>
  <c r="R1416" i="4"/>
  <c r="R1417" i="4"/>
  <c r="R1418" i="4"/>
  <c r="R1419" i="4"/>
  <c r="R1420" i="4"/>
  <c r="R1421" i="4"/>
  <c r="R1422" i="4"/>
  <c r="R1423" i="4"/>
  <c r="R1424" i="4"/>
  <c r="R1425" i="4"/>
  <c r="R1426" i="4"/>
  <c r="R1427" i="4"/>
  <c r="R1428" i="4"/>
  <c r="R1429" i="4"/>
  <c r="R1430" i="4"/>
  <c r="R1431" i="4"/>
  <c r="R1432" i="4"/>
  <c r="R1433" i="4"/>
  <c r="R1434" i="4"/>
  <c r="R1435" i="4"/>
  <c r="R1436" i="4"/>
  <c r="R1437" i="4"/>
  <c r="R1438" i="4"/>
  <c r="R1439" i="4"/>
  <c r="R1440" i="4"/>
  <c r="R1441" i="4"/>
  <c r="R1442" i="4"/>
  <c r="R1443" i="4"/>
  <c r="R1444" i="4"/>
  <c r="R1445" i="4"/>
  <c r="R1446" i="4"/>
  <c r="R1447" i="4"/>
  <c r="R1448" i="4"/>
  <c r="R1449" i="4"/>
  <c r="R1450" i="4"/>
  <c r="R1451" i="4"/>
  <c r="R1452" i="4"/>
  <c r="R1453" i="4"/>
  <c r="R1454" i="4"/>
  <c r="R1455" i="4"/>
  <c r="R1456" i="4"/>
  <c r="R1457" i="4"/>
  <c r="R1458" i="4"/>
  <c r="R1459" i="4"/>
  <c r="R1460" i="4"/>
  <c r="R1461" i="4"/>
  <c r="R1462" i="4"/>
  <c r="R1463" i="4"/>
  <c r="R1464" i="4"/>
  <c r="R1465" i="4"/>
  <c r="R1466" i="4"/>
  <c r="R1467" i="4"/>
  <c r="R1468" i="4"/>
  <c r="R1469" i="4"/>
  <c r="R1470" i="4"/>
  <c r="R1471" i="4"/>
  <c r="R1472" i="4"/>
  <c r="R1473" i="4"/>
  <c r="R1474" i="4"/>
  <c r="R1475" i="4"/>
  <c r="R1476" i="4"/>
  <c r="R1477" i="4"/>
  <c r="R1478" i="4"/>
  <c r="R1479" i="4"/>
  <c r="R1480" i="4"/>
  <c r="R1481" i="4"/>
  <c r="R1482" i="4"/>
  <c r="R1483" i="4"/>
  <c r="R1484" i="4"/>
  <c r="R1485" i="4"/>
  <c r="R1486" i="4"/>
  <c r="R1487" i="4"/>
  <c r="R1488" i="4"/>
  <c r="R1489" i="4"/>
  <c r="R1490" i="4"/>
  <c r="R1491" i="4"/>
  <c r="R1492" i="4"/>
  <c r="R1493" i="4"/>
  <c r="R1494" i="4"/>
  <c r="R1495" i="4"/>
  <c r="R1496" i="4"/>
  <c r="R1497" i="4"/>
  <c r="R1498" i="4"/>
  <c r="R1499" i="4"/>
  <c r="R1500" i="4"/>
  <c r="R1501" i="4"/>
  <c r="R1502" i="4"/>
  <c r="R1503" i="4"/>
  <c r="R1504" i="4"/>
  <c r="R1505" i="4"/>
  <c r="R1506" i="4"/>
  <c r="R1507" i="4"/>
  <c r="R1508" i="4"/>
  <c r="R1509" i="4"/>
  <c r="R1510" i="4"/>
  <c r="R1511" i="4"/>
  <c r="R1512" i="4"/>
  <c r="R1513" i="4"/>
  <c r="R1514" i="4"/>
  <c r="R1515" i="4"/>
  <c r="R1516" i="4"/>
  <c r="R1517" i="4"/>
  <c r="R1518" i="4"/>
  <c r="R1519" i="4"/>
  <c r="R1520" i="4"/>
  <c r="R1521" i="4"/>
  <c r="R1522" i="4"/>
  <c r="R1523" i="4"/>
  <c r="R1524" i="4"/>
  <c r="R1525" i="4"/>
  <c r="R1526" i="4"/>
  <c r="R1527" i="4"/>
  <c r="R1528" i="4"/>
  <c r="R1529" i="4"/>
  <c r="R1530" i="4"/>
  <c r="R1531" i="4"/>
  <c r="R1532" i="4"/>
  <c r="R1533" i="4"/>
  <c r="R1534" i="4"/>
  <c r="R1535" i="4"/>
  <c r="R1536" i="4"/>
  <c r="R1537" i="4"/>
  <c r="R1538" i="4"/>
  <c r="R1539" i="4"/>
  <c r="R1540" i="4"/>
  <c r="R1541" i="4"/>
  <c r="R1542" i="4"/>
  <c r="R1543" i="4"/>
  <c r="R1544" i="4"/>
  <c r="R1545" i="4"/>
  <c r="R1546" i="4"/>
  <c r="R1547" i="4"/>
  <c r="R1548" i="4"/>
  <c r="R1549" i="4"/>
  <c r="R1550" i="4"/>
  <c r="R1551" i="4"/>
  <c r="R1552" i="4"/>
  <c r="R1553" i="4"/>
  <c r="R1554" i="4"/>
  <c r="R1555" i="4"/>
  <c r="R1556" i="4"/>
  <c r="R1557" i="4"/>
  <c r="R1558" i="4"/>
  <c r="R1559" i="4"/>
  <c r="R1560" i="4"/>
  <c r="R1561" i="4"/>
  <c r="R1562" i="4"/>
  <c r="R1563" i="4"/>
  <c r="R1564" i="4"/>
  <c r="R1565" i="4"/>
  <c r="R1566" i="4"/>
  <c r="R1567" i="4"/>
  <c r="R1568" i="4"/>
  <c r="R1569" i="4"/>
  <c r="R1570" i="4"/>
  <c r="R1571" i="4"/>
  <c r="R1572" i="4"/>
  <c r="R1573" i="4"/>
  <c r="R1574" i="4"/>
  <c r="R1575" i="4"/>
  <c r="R1576" i="4"/>
  <c r="R1577" i="4"/>
  <c r="R1578" i="4"/>
  <c r="R1579" i="4"/>
  <c r="R1580" i="4"/>
  <c r="R1581" i="4"/>
  <c r="R1582" i="4"/>
  <c r="R1583" i="4"/>
  <c r="R1584" i="4"/>
  <c r="R1585" i="4"/>
  <c r="R1586" i="4"/>
  <c r="R1587" i="4"/>
  <c r="R1588" i="4"/>
  <c r="R1589" i="4"/>
  <c r="R1590" i="4"/>
  <c r="R1591" i="4"/>
  <c r="R1592" i="4"/>
  <c r="R1593" i="4"/>
  <c r="R1594" i="4"/>
  <c r="R1595" i="4"/>
  <c r="R1596" i="4"/>
  <c r="R1597" i="4"/>
  <c r="R1598" i="4"/>
  <c r="R1599" i="4"/>
  <c r="R1600" i="4"/>
  <c r="R1601" i="4"/>
  <c r="R1602" i="4"/>
  <c r="R1603" i="4"/>
  <c r="R1604" i="4"/>
  <c r="R1605" i="4"/>
  <c r="R1606" i="4"/>
  <c r="R1607" i="4"/>
  <c r="R1608" i="4"/>
  <c r="R1609" i="4"/>
  <c r="R1610" i="4"/>
  <c r="R1611" i="4"/>
  <c r="R1612" i="4"/>
  <c r="R1613" i="4"/>
  <c r="R1614" i="4"/>
  <c r="R1615" i="4"/>
  <c r="R1616" i="4"/>
  <c r="R1617" i="4"/>
  <c r="R1618" i="4"/>
  <c r="R1619" i="4"/>
  <c r="R1620" i="4"/>
  <c r="R1621" i="4"/>
  <c r="R1622" i="4"/>
  <c r="R1623" i="4"/>
  <c r="R1624" i="4"/>
  <c r="R1625" i="4"/>
  <c r="R1626" i="4"/>
  <c r="R1627" i="4"/>
  <c r="R1628" i="4"/>
  <c r="R1629" i="4"/>
  <c r="R1630" i="4"/>
  <c r="R1631" i="4"/>
  <c r="R1632" i="4"/>
  <c r="R1633" i="4"/>
  <c r="R1634" i="4"/>
  <c r="R1635" i="4"/>
  <c r="R1636" i="4"/>
  <c r="R1637" i="4"/>
  <c r="R1638" i="4"/>
  <c r="R1639" i="4"/>
  <c r="R1640" i="4"/>
  <c r="R1641" i="4"/>
  <c r="R1642" i="4"/>
  <c r="R1643" i="4"/>
  <c r="R1644" i="4"/>
  <c r="R1645" i="4"/>
  <c r="R1646" i="4"/>
  <c r="R1647" i="4"/>
  <c r="R1648" i="4"/>
  <c r="R1649" i="4"/>
  <c r="R1650" i="4"/>
  <c r="R1651" i="4"/>
  <c r="R1652" i="4"/>
  <c r="R1653" i="4"/>
  <c r="R1654" i="4"/>
  <c r="R1655" i="4"/>
  <c r="R1656" i="4"/>
  <c r="R1657" i="4"/>
  <c r="R1658" i="4"/>
  <c r="R1659" i="4"/>
  <c r="R1660" i="4"/>
  <c r="R1661" i="4"/>
  <c r="R1662" i="4"/>
  <c r="R1663" i="4"/>
  <c r="R1664" i="4"/>
  <c r="R1665" i="4"/>
  <c r="R1666" i="4"/>
  <c r="R1667" i="4"/>
  <c r="R1668" i="4"/>
  <c r="R1669" i="4"/>
  <c r="R1670" i="4"/>
  <c r="R1671" i="4"/>
  <c r="R1672" i="4"/>
  <c r="R1673" i="4"/>
  <c r="R1674" i="4"/>
  <c r="R1675" i="4"/>
  <c r="R1676" i="4"/>
  <c r="R1677" i="4"/>
  <c r="R1678" i="4"/>
  <c r="R1679" i="4"/>
  <c r="R1680" i="4"/>
  <c r="R1681" i="4"/>
  <c r="R1682" i="4"/>
  <c r="R1683" i="4"/>
  <c r="R1684" i="4"/>
  <c r="R1685" i="4"/>
  <c r="R1686" i="4"/>
  <c r="R1687" i="4"/>
  <c r="R1688" i="4"/>
  <c r="R1689" i="4"/>
  <c r="R1690" i="4"/>
  <c r="R1691" i="4"/>
  <c r="R1692" i="4"/>
  <c r="R1693" i="4"/>
  <c r="R1694" i="4"/>
  <c r="R1695" i="4"/>
  <c r="R1696" i="4"/>
  <c r="R1697" i="4"/>
  <c r="R1698" i="4"/>
  <c r="R1699" i="4"/>
  <c r="R1700" i="4"/>
  <c r="R1701" i="4"/>
  <c r="R1702" i="4"/>
  <c r="R1703" i="4"/>
  <c r="R1704" i="4"/>
  <c r="R1705" i="4"/>
  <c r="R1706" i="4"/>
  <c r="R1707" i="4"/>
  <c r="R1708" i="4"/>
  <c r="R1709" i="4"/>
  <c r="R1710" i="4"/>
  <c r="R1711" i="4"/>
  <c r="R1712" i="4"/>
  <c r="R1713" i="4"/>
  <c r="R1714" i="4"/>
  <c r="R1715" i="4"/>
  <c r="R1716" i="4"/>
  <c r="R1717" i="4"/>
  <c r="R1718" i="4"/>
  <c r="R1719" i="4"/>
  <c r="R1720" i="4"/>
  <c r="R1721" i="4"/>
  <c r="R1722" i="4"/>
  <c r="R1723" i="4"/>
  <c r="R1724" i="4"/>
  <c r="R1725" i="4"/>
  <c r="R1726" i="4"/>
  <c r="R1727" i="4"/>
  <c r="R1728" i="4"/>
  <c r="R1729" i="4"/>
  <c r="R1730" i="4"/>
  <c r="R1731" i="4"/>
  <c r="R1732" i="4"/>
  <c r="R1733" i="4"/>
  <c r="R1734" i="4"/>
  <c r="R1735" i="4"/>
  <c r="R1736" i="4"/>
  <c r="R1737" i="4"/>
  <c r="R1738" i="4"/>
  <c r="R1739" i="4"/>
  <c r="R1740" i="4"/>
  <c r="R1741" i="4"/>
  <c r="R1742" i="4"/>
  <c r="R1743" i="4"/>
  <c r="R1744" i="4"/>
  <c r="R1745" i="4"/>
  <c r="R1746" i="4"/>
  <c r="R1747" i="4"/>
  <c r="R1748" i="4"/>
  <c r="R1749" i="4"/>
  <c r="R1750" i="4"/>
  <c r="R1751" i="4"/>
  <c r="R1752" i="4"/>
  <c r="R1753" i="4"/>
  <c r="R1754" i="4"/>
  <c r="R1755" i="4"/>
  <c r="R1756" i="4"/>
  <c r="R1757" i="4"/>
  <c r="R1758" i="4"/>
  <c r="R1759" i="4"/>
  <c r="R1760" i="4"/>
  <c r="R1761" i="4"/>
  <c r="R1762" i="4"/>
  <c r="R1763" i="4"/>
  <c r="R1764" i="4"/>
  <c r="R1765" i="4"/>
  <c r="R1766" i="4"/>
  <c r="R1767" i="4"/>
  <c r="R1768" i="4"/>
  <c r="R1769" i="4"/>
  <c r="R1770" i="4"/>
  <c r="R1771" i="4"/>
  <c r="R1772" i="4"/>
  <c r="R1773" i="4"/>
  <c r="R1774" i="4"/>
  <c r="R1775" i="4"/>
  <c r="R1776" i="4"/>
  <c r="R1777" i="4"/>
  <c r="R1778" i="4"/>
  <c r="R1779" i="4"/>
  <c r="R1780" i="4"/>
  <c r="R1781" i="4"/>
  <c r="R1782" i="4"/>
  <c r="R1783" i="4"/>
  <c r="R1784" i="4"/>
  <c r="R1785" i="4"/>
  <c r="R1786" i="4"/>
  <c r="R1787" i="4"/>
  <c r="R1788" i="4"/>
  <c r="R1789" i="4"/>
  <c r="R1790" i="4"/>
  <c r="R1791" i="4"/>
  <c r="R1792" i="4"/>
  <c r="R1793" i="4"/>
  <c r="R1794" i="4"/>
  <c r="R1795" i="4"/>
  <c r="R1796" i="4"/>
  <c r="R1797" i="4"/>
  <c r="R1798" i="4"/>
  <c r="R1799" i="4"/>
  <c r="R1800" i="4"/>
  <c r="R1801" i="4"/>
  <c r="R1802" i="4"/>
  <c r="R1803" i="4"/>
  <c r="R1804" i="4"/>
  <c r="R1805" i="4"/>
  <c r="R1806" i="4"/>
  <c r="R1807" i="4"/>
  <c r="R1808" i="4"/>
  <c r="R1809" i="4"/>
  <c r="R1810" i="4"/>
  <c r="R1811" i="4"/>
  <c r="R1812" i="4"/>
  <c r="R1813" i="4"/>
  <c r="R1814" i="4"/>
  <c r="R1815" i="4"/>
  <c r="R1816" i="4"/>
  <c r="R1817" i="4"/>
  <c r="R1818" i="4"/>
  <c r="R1819" i="4"/>
  <c r="R1820" i="4"/>
  <c r="R1821" i="4"/>
  <c r="R1822" i="4"/>
  <c r="R1823" i="4"/>
  <c r="Y761" i="4"/>
  <c r="Y762" i="4"/>
  <c r="Y763" i="4"/>
  <c r="Y764" i="4"/>
  <c r="Y765" i="4"/>
  <c r="Y766" i="4"/>
  <c r="Y767" i="4"/>
  <c r="Y768" i="4"/>
  <c r="Y769" i="4"/>
  <c r="Y770" i="4"/>
  <c r="Y771" i="4"/>
  <c r="Y772" i="4"/>
  <c r="Y773" i="4"/>
  <c r="Y774" i="4"/>
  <c r="Y775" i="4"/>
  <c r="Y776" i="4"/>
  <c r="Y777" i="4"/>
  <c r="Y778" i="4"/>
  <c r="Y779" i="4"/>
  <c r="Y780" i="4"/>
  <c r="Y781" i="4"/>
  <c r="Y783" i="4"/>
  <c r="Y784" i="4"/>
  <c r="Y785" i="4"/>
  <c r="Y786" i="4"/>
  <c r="Y787" i="4"/>
  <c r="Y788" i="4"/>
  <c r="Y789" i="4"/>
  <c r="Y790" i="4"/>
  <c r="Y791" i="4"/>
  <c r="Y792" i="4"/>
  <c r="Y793" i="4"/>
  <c r="Y794" i="4"/>
  <c r="Y795" i="4"/>
  <c r="Y796" i="4"/>
  <c r="Y797" i="4"/>
  <c r="Y798" i="4"/>
  <c r="Y799" i="4"/>
  <c r="Y800" i="4"/>
  <c r="Y801" i="4"/>
  <c r="Y802" i="4"/>
  <c r="Y803" i="4"/>
  <c r="Y804" i="4"/>
  <c r="Y805" i="4"/>
  <c r="Y806" i="4"/>
  <c r="Y807" i="4"/>
  <c r="Y808" i="4"/>
  <c r="Y809" i="4"/>
  <c r="Y810" i="4"/>
  <c r="Y811" i="4"/>
  <c r="Y812" i="4"/>
  <c r="Y813" i="4"/>
  <c r="Y814" i="4"/>
  <c r="Y815" i="4"/>
  <c r="Y816" i="4"/>
  <c r="Y817" i="4"/>
  <c r="Y818" i="4"/>
  <c r="Y819" i="4"/>
  <c r="Y820" i="4"/>
  <c r="Y821" i="4"/>
  <c r="Y822" i="4"/>
  <c r="Y823" i="4"/>
  <c r="Y824" i="4"/>
  <c r="Y825" i="4"/>
  <c r="Y826" i="4"/>
  <c r="Y827" i="4"/>
  <c r="Y828" i="4"/>
  <c r="Y829" i="4"/>
  <c r="Y830" i="4"/>
  <c r="Y831" i="4"/>
  <c r="Y832" i="4"/>
  <c r="Y833" i="4"/>
  <c r="Y834" i="4"/>
  <c r="Y835" i="4"/>
  <c r="Y836" i="4"/>
  <c r="Y837" i="4"/>
  <c r="Y838" i="4"/>
  <c r="Y839" i="4"/>
  <c r="Y840" i="4"/>
  <c r="Y841" i="4"/>
  <c r="Y842" i="4"/>
  <c r="Y843" i="4"/>
  <c r="Y844" i="4"/>
  <c r="Y845" i="4"/>
  <c r="Y846" i="4"/>
  <c r="Y847" i="4"/>
  <c r="Y848" i="4"/>
  <c r="Y849" i="4"/>
  <c r="Y850" i="4"/>
  <c r="Y851" i="4"/>
  <c r="Y852" i="4"/>
  <c r="Y853" i="4"/>
  <c r="Y854" i="4"/>
  <c r="Y855" i="4"/>
  <c r="Y856" i="4"/>
  <c r="Y857" i="4"/>
  <c r="Y858" i="4"/>
  <c r="Y859" i="4"/>
  <c r="Y860" i="4"/>
  <c r="Y861" i="4"/>
  <c r="Y862" i="4"/>
  <c r="Y863" i="4"/>
  <c r="Y864" i="4"/>
  <c r="Y865" i="4"/>
  <c r="Y866" i="4"/>
  <c r="Y867" i="4"/>
  <c r="Y868" i="4"/>
  <c r="Y869" i="4"/>
  <c r="Y870" i="4"/>
  <c r="Y871" i="4"/>
  <c r="Y872" i="4"/>
  <c r="Y873" i="4"/>
  <c r="Y875" i="4"/>
  <c r="Y876" i="4"/>
  <c r="Y877" i="4"/>
  <c r="Y878" i="4"/>
  <c r="Y879" i="4"/>
  <c r="Y880" i="4"/>
  <c r="Y881" i="4"/>
  <c r="Y882" i="4"/>
  <c r="Y883" i="4"/>
  <c r="Y884" i="4"/>
  <c r="Y885" i="4"/>
  <c r="Y886" i="4"/>
  <c r="Y887" i="4"/>
  <c r="Y888" i="4"/>
  <c r="Y889" i="4"/>
  <c r="Y890" i="4"/>
  <c r="Y891" i="4"/>
  <c r="Y892" i="4"/>
  <c r="Y893" i="4"/>
  <c r="Y894" i="4"/>
  <c r="Y895" i="4"/>
  <c r="Y896" i="4"/>
  <c r="Y897" i="4"/>
  <c r="Y898" i="4"/>
  <c r="Y899" i="4"/>
  <c r="Y900" i="4"/>
  <c r="Y901" i="4"/>
  <c r="Y902" i="4"/>
  <c r="Y903" i="4"/>
  <c r="Y904" i="4"/>
  <c r="Y905" i="4"/>
  <c r="Y906" i="4"/>
  <c r="Y907" i="4"/>
  <c r="Y908" i="4"/>
  <c r="Y909" i="4"/>
  <c r="Y910" i="4"/>
  <c r="Y911" i="4"/>
  <c r="Y912" i="4"/>
  <c r="Y913" i="4"/>
  <c r="Y914" i="4"/>
  <c r="Y915" i="4"/>
  <c r="Y916" i="4"/>
  <c r="Y917" i="4"/>
  <c r="Y918" i="4"/>
  <c r="Y919" i="4"/>
  <c r="Y920" i="4"/>
  <c r="Y921" i="4"/>
  <c r="Y922" i="4"/>
  <c r="Y923" i="4"/>
  <c r="Y924" i="4"/>
  <c r="Y925" i="4"/>
  <c r="Y926" i="4"/>
  <c r="Y928" i="4"/>
  <c r="Y929" i="4"/>
  <c r="Y930" i="4"/>
  <c r="Y931" i="4"/>
  <c r="Y932" i="4"/>
  <c r="Y933" i="4"/>
  <c r="Y934" i="4"/>
  <c r="Y935" i="4"/>
  <c r="Y936" i="4"/>
  <c r="Y937" i="4"/>
  <c r="Y938" i="4"/>
  <c r="Y939" i="4"/>
  <c r="Y940" i="4"/>
  <c r="Y941" i="4"/>
  <c r="Y943" i="4"/>
  <c r="Y944" i="4"/>
  <c r="Y945" i="4"/>
  <c r="Y946" i="4"/>
  <c r="Y947" i="4"/>
  <c r="Y948" i="4"/>
  <c r="Y949" i="4"/>
  <c r="Y950" i="4"/>
  <c r="Y951" i="4"/>
  <c r="Y952" i="4"/>
  <c r="Y953" i="4"/>
  <c r="Y954" i="4"/>
  <c r="Y955" i="4"/>
  <c r="Y956" i="4"/>
  <c r="Y957" i="4"/>
  <c r="Y958" i="4"/>
  <c r="Y959" i="4"/>
  <c r="Y960" i="4"/>
  <c r="Y961" i="4"/>
  <c r="Y962" i="4"/>
  <c r="Y963" i="4"/>
  <c r="Y964" i="4"/>
  <c r="Y965" i="4"/>
  <c r="Y966" i="4"/>
  <c r="Y967" i="4"/>
  <c r="Y968" i="4"/>
  <c r="Y969" i="4"/>
  <c r="Y970" i="4"/>
  <c r="Y971" i="4"/>
  <c r="Y972" i="4"/>
  <c r="Y973" i="4"/>
  <c r="Y974" i="4"/>
  <c r="Y975" i="4"/>
  <c r="Y976" i="4"/>
  <c r="Y977" i="4"/>
  <c r="Y978" i="4"/>
  <c r="Y979" i="4"/>
  <c r="Y980" i="4"/>
  <c r="Y981" i="4"/>
  <c r="Y982" i="4"/>
  <c r="Y983" i="4"/>
  <c r="Y984" i="4"/>
  <c r="Y985" i="4"/>
  <c r="Y986" i="4"/>
  <c r="Y987" i="4"/>
  <c r="Y988" i="4"/>
  <c r="Y989" i="4"/>
  <c r="Y990" i="4"/>
  <c r="Y991" i="4"/>
  <c r="Y992" i="4"/>
  <c r="Y993" i="4"/>
  <c r="Y994" i="4"/>
  <c r="Y995" i="4"/>
  <c r="Y996" i="4"/>
  <c r="Y997" i="4"/>
  <c r="Y998" i="4"/>
  <c r="Y999" i="4"/>
  <c r="Y1000" i="4"/>
  <c r="Y1001" i="4"/>
  <c r="Y1002" i="4"/>
  <c r="Y1003" i="4"/>
  <c r="Y1004" i="4"/>
  <c r="Y1005" i="4"/>
  <c r="Y1006" i="4"/>
  <c r="Y1007" i="4"/>
  <c r="Y1008" i="4"/>
  <c r="Y1009" i="4"/>
  <c r="Y1010" i="4"/>
  <c r="Y1011" i="4"/>
  <c r="Y1012" i="4"/>
  <c r="Y1013" i="4"/>
  <c r="Y1014" i="4"/>
  <c r="Y1015" i="4"/>
  <c r="Y1016" i="4"/>
  <c r="Y1017" i="4"/>
  <c r="Y1018" i="4"/>
  <c r="Y1019" i="4"/>
  <c r="Y1020" i="4"/>
  <c r="Y1021" i="4"/>
  <c r="Y1022" i="4"/>
  <c r="Y1023" i="4"/>
  <c r="Y1024" i="4"/>
  <c r="Y1025" i="4"/>
  <c r="Y1026" i="4"/>
  <c r="Y1027" i="4"/>
  <c r="Y1028" i="4"/>
  <c r="Y1029" i="4"/>
  <c r="Y1030" i="4"/>
  <c r="Y1031" i="4"/>
  <c r="Y1032" i="4"/>
  <c r="Y1033" i="4"/>
  <c r="Y1034" i="4"/>
  <c r="Y1035" i="4"/>
  <c r="Y1036" i="4"/>
  <c r="Y1037" i="4"/>
  <c r="Y1038" i="4"/>
  <c r="Y1039" i="4"/>
  <c r="Y1040" i="4"/>
  <c r="Y1041" i="4"/>
  <c r="Y1042" i="4"/>
  <c r="Y1043" i="4"/>
  <c r="Y1044" i="4"/>
  <c r="Y1045" i="4"/>
  <c r="Y1046" i="4"/>
  <c r="Y1047" i="4"/>
  <c r="Y1048" i="4"/>
  <c r="Y1049" i="4"/>
  <c r="Y1050" i="4"/>
  <c r="Y1051" i="4"/>
  <c r="Y1052" i="4"/>
  <c r="Y1053" i="4"/>
  <c r="Y1054" i="4"/>
  <c r="Y1055" i="4"/>
  <c r="Y1056" i="4"/>
  <c r="Y1057" i="4"/>
  <c r="Y1058" i="4"/>
  <c r="Y1059" i="4"/>
  <c r="Y1060" i="4"/>
  <c r="Y1061" i="4"/>
  <c r="Y1062" i="4"/>
  <c r="Y1063" i="4"/>
  <c r="Y1064" i="4"/>
  <c r="Y1065" i="4"/>
  <c r="Y1066" i="4"/>
  <c r="Y1067" i="4"/>
  <c r="Y1068" i="4"/>
  <c r="Y1069" i="4"/>
  <c r="Y1070" i="4"/>
  <c r="Y1071" i="4"/>
  <c r="Y1072" i="4"/>
  <c r="Y1073" i="4"/>
  <c r="Y1074" i="4"/>
  <c r="Y1075" i="4"/>
  <c r="Y1076" i="4"/>
  <c r="Y1077" i="4"/>
  <c r="Y1078" i="4"/>
  <c r="Y1079" i="4"/>
  <c r="Y1080" i="4"/>
  <c r="Y1081" i="4"/>
  <c r="Y1082" i="4"/>
  <c r="Y1083" i="4"/>
  <c r="Y1084" i="4"/>
  <c r="Y1085" i="4"/>
  <c r="Y1086" i="4"/>
  <c r="Y1087" i="4"/>
  <c r="Y1088" i="4"/>
  <c r="Y1089" i="4"/>
  <c r="Y1090" i="4"/>
  <c r="Y1091" i="4"/>
  <c r="Y1092" i="4"/>
  <c r="Y1093" i="4"/>
  <c r="Y1094" i="4"/>
  <c r="Y1095" i="4"/>
  <c r="Y1096" i="4"/>
  <c r="Y1097" i="4"/>
  <c r="Y1098" i="4"/>
  <c r="Y1099" i="4"/>
  <c r="Y1100" i="4"/>
  <c r="Y1101" i="4"/>
  <c r="Y1102" i="4"/>
  <c r="Y1103" i="4"/>
  <c r="Y1104" i="4"/>
  <c r="Y1105" i="4"/>
  <c r="Y1106" i="4"/>
  <c r="Y1107" i="4"/>
  <c r="Y1108" i="4"/>
  <c r="Y1109" i="4"/>
  <c r="Y1110" i="4"/>
  <c r="Y1111" i="4"/>
  <c r="Y1112" i="4"/>
  <c r="Y1113" i="4"/>
  <c r="Y1114" i="4"/>
  <c r="Y1115" i="4"/>
  <c r="Y1116" i="4"/>
  <c r="Y1117" i="4"/>
  <c r="Y1118" i="4"/>
  <c r="Y1119" i="4"/>
  <c r="Y1120" i="4"/>
  <c r="Y1121" i="4"/>
  <c r="Y1122" i="4"/>
  <c r="Y1123" i="4"/>
  <c r="Y1124" i="4"/>
  <c r="Y1125" i="4"/>
  <c r="Y1126" i="4"/>
  <c r="Y1127" i="4"/>
  <c r="Y1128" i="4"/>
  <c r="Y1129" i="4"/>
  <c r="Y1130" i="4"/>
  <c r="Y1131" i="4"/>
  <c r="Y1132" i="4"/>
  <c r="Y1133" i="4"/>
  <c r="Y1134" i="4"/>
  <c r="Y1135" i="4"/>
  <c r="Y1136" i="4"/>
  <c r="Y1137" i="4"/>
  <c r="Y1138" i="4"/>
  <c r="Y1139" i="4"/>
  <c r="Y1140" i="4"/>
  <c r="Y1141" i="4"/>
  <c r="Y1142" i="4"/>
  <c r="Y1143" i="4"/>
  <c r="Y1144" i="4"/>
  <c r="Y1145" i="4"/>
  <c r="Y1146" i="4"/>
  <c r="Y1147" i="4"/>
  <c r="Y1148" i="4"/>
  <c r="Y1149" i="4"/>
  <c r="Y1150" i="4"/>
  <c r="Y1151" i="4"/>
  <c r="Y1152" i="4"/>
  <c r="Y1153" i="4"/>
  <c r="Y1154" i="4"/>
  <c r="Y1155" i="4"/>
  <c r="Y1156" i="4"/>
  <c r="Y1157" i="4"/>
  <c r="Y1158" i="4"/>
  <c r="Y1159" i="4"/>
  <c r="Y1160" i="4"/>
  <c r="Y1161" i="4"/>
  <c r="Y1162" i="4"/>
  <c r="Y1163" i="4"/>
  <c r="Y1164" i="4"/>
  <c r="Y1165" i="4"/>
  <c r="Y1166" i="4"/>
  <c r="Y1167" i="4"/>
  <c r="Y1168" i="4"/>
  <c r="Y1169" i="4"/>
  <c r="Y1170" i="4"/>
  <c r="Y1171" i="4"/>
  <c r="Y1172" i="4"/>
  <c r="Y1173" i="4"/>
  <c r="Y1174" i="4"/>
  <c r="Y1175" i="4"/>
  <c r="Y1176" i="4"/>
  <c r="Y1177" i="4"/>
  <c r="Y1178" i="4"/>
  <c r="Y1179" i="4"/>
  <c r="Y1180" i="4"/>
  <c r="Y1181" i="4"/>
  <c r="Y1182" i="4"/>
  <c r="Y1183" i="4"/>
  <c r="Y1184" i="4"/>
  <c r="Y1185" i="4"/>
  <c r="Y1186" i="4"/>
  <c r="Y1187" i="4"/>
  <c r="Y1188" i="4"/>
  <c r="Y1189" i="4"/>
  <c r="Y1190" i="4"/>
  <c r="Y1191" i="4"/>
  <c r="Y1192" i="4"/>
  <c r="Y1193" i="4"/>
  <c r="Y1194" i="4"/>
  <c r="Y1195" i="4"/>
  <c r="Y1196" i="4"/>
  <c r="Y1197" i="4"/>
  <c r="Y1198" i="4"/>
  <c r="Y1199" i="4"/>
  <c r="Y1200" i="4"/>
  <c r="Y1201" i="4"/>
  <c r="Y1202" i="4"/>
  <c r="Y1203" i="4"/>
  <c r="Y1204" i="4"/>
  <c r="Y1205" i="4"/>
  <c r="Y1206" i="4"/>
  <c r="Y1207" i="4"/>
  <c r="Y1208" i="4"/>
  <c r="Y1209" i="4"/>
  <c r="Y1210" i="4"/>
  <c r="Y1211" i="4"/>
  <c r="Y1212" i="4"/>
  <c r="Y1213" i="4"/>
  <c r="Y1214" i="4"/>
  <c r="Y1215" i="4"/>
  <c r="Y1216" i="4"/>
  <c r="Y1217" i="4"/>
  <c r="Y1218" i="4"/>
  <c r="Y1219" i="4"/>
  <c r="Y1220" i="4"/>
  <c r="Y1221" i="4"/>
  <c r="Y1222" i="4"/>
  <c r="Y1223" i="4"/>
  <c r="Y1224" i="4"/>
  <c r="Y1225" i="4"/>
  <c r="Y1226" i="4"/>
  <c r="Y1227" i="4"/>
  <c r="Y1228" i="4"/>
  <c r="Y1229" i="4"/>
  <c r="Y1230" i="4"/>
  <c r="Y1231" i="4"/>
  <c r="Y1232" i="4"/>
  <c r="Y1233" i="4"/>
  <c r="Y1234" i="4"/>
  <c r="Y1235" i="4"/>
  <c r="Y1236" i="4"/>
  <c r="Y1237" i="4"/>
  <c r="Y1238" i="4"/>
  <c r="Y1239" i="4"/>
  <c r="Y1240" i="4"/>
  <c r="Y1241" i="4"/>
  <c r="Y1242" i="4"/>
  <c r="Y1243" i="4"/>
  <c r="Y1244" i="4"/>
  <c r="Y1245" i="4"/>
  <c r="Y1246" i="4"/>
  <c r="Y1247" i="4"/>
  <c r="Y1248" i="4"/>
  <c r="Y1249" i="4"/>
  <c r="Y1250" i="4"/>
  <c r="Y1251" i="4"/>
  <c r="Y1252" i="4"/>
  <c r="Y1253" i="4"/>
  <c r="Y1254" i="4"/>
  <c r="Y1255" i="4"/>
  <c r="Y1256" i="4"/>
  <c r="Y1257" i="4"/>
  <c r="Y1258" i="4"/>
  <c r="Y1259" i="4"/>
  <c r="Y1260" i="4"/>
  <c r="Y1261" i="4"/>
  <c r="Y1262" i="4"/>
  <c r="Y1263" i="4"/>
  <c r="Y1264" i="4"/>
  <c r="Y1265" i="4"/>
  <c r="Y1266" i="4"/>
  <c r="Y1267" i="4"/>
  <c r="Y1268" i="4"/>
  <c r="Y1269" i="4"/>
  <c r="Y1270" i="4"/>
  <c r="Y1271" i="4"/>
  <c r="Y1272" i="4"/>
  <c r="Y1273" i="4"/>
  <c r="Y1274" i="4"/>
  <c r="Y1275" i="4"/>
  <c r="Y1276" i="4"/>
  <c r="Y1277" i="4"/>
  <c r="Y1278" i="4"/>
  <c r="Y1279" i="4"/>
  <c r="Y1280" i="4"/>
  <c r="Y1281" i="4"/>
  <c r="Y1282" i="4"/>
  <c r="Y1283" i="4"/>
  <c r="Y1284" i="4"/>
  <c r="Y1285" i="4"/>
  <c r="Y1286" i="4"/>
  <c r="Y1287" i="4"/>
  <c r="Y1288" i="4"/>
  <c r="Y1289" i="4"/>
  <c r="Y1290" i="4"/>
  <c r="Y1291" i="4"/>
  <c r="Y1292" i="4"/>
  <c r="Y1293" i="4"/>
  <c r="Y1294" i="4"/>
  <c r="Y1295" i="4"/>
  <c r="Y1296" i="4"/>
  <c r="Y1297" i="4"/>
  <c r="Y1298" i="4"/>
  <c r="Y1299" i="4"/>
  <c r="Y1300" i="4"/>
  <c r="Y1301" i="4"/>
  <c r="Y1302" i="4"/>
  <c r="Y1303" i="4"/>
  <c r="Y1304" i="4"/>
  <c r="Y1305" i="4"/>
  <c r="Y1306" i="4"/>
  <c r="Y1307" i="4"/>
  <c r="Y1308" i="4"/>
  <c r="Y1309" i="4"/>
  <c r="Y1310" i="4"/>
  <c r="Y1311" i="4"/>
  <c r="Y1312" i="4"/>
  <c r="Y1313" i="4"/>
  <c r="Y1314" i="4"/>
  <c r="Y1315" i="4"/>
  <c r="Y1316" i="4"/>
  <c r="Y1317" i="4"/>
  <c r="Y1318" i="4"/>
  <c r="Y1319" i="4"/>
  <c r="Y1320" i="4"/>
  <c r="Y1321" i="4"/>
  <c r="Y1322" i="4"/>
  <c r="Y1323" i="4"/>
  <c r="Y1324" i="4"/>
  <c r="Y1325" i="4"/>
  <c r="Y1326" i="4"/>
  <c r="Y1327" i="4"/>
  <c r="Y1328" i="4"/>
  <c r="Y1329" i="4"/>
  <c r="Y1330" i="4"/>
  <c r="Y1331" i="4"/>
  <c r="Y1332" i="4"/>
  <c r="Y1333" i="4"/>
  <c r="Y1334" i="4"/>
  <c r="Y1335" i="4"/>
  <c r="Y1336" i="4"/>
  <c r="Y1337" i="4"/>
  <c r="Y1338" i="4"/>
  <c r="Y1339" i="4"/>
  <c r="Y1340" i="4"/>
  <c r="Y1341" i="4"/>
  <c r="Y1342" i="4"/>
  <c r="Y1343" i="4"/>
  <c r="Y1344" i="4"/>
  <c r="Y1345" i="4"/>
  <c r="Y1346" i="4"/>
  <c r="Y1347" i="4"/>
  <c r="Y1348" i="4"/>
  <c r="Y1349" i="4"/>
  <c r="Y1350" i="4"/>
  <c r="Y1351" i="4"/>
  <c r="Y1352" i="4"/>
  <c r="Y1353" i="4"/>
  <c r="Y1354" i="4"/>
  <c r="Y1355" i="4"/>
  <c r="Y1356" i="4"/>
  <c r="Y1357" i="4"/>
  <c r="Y1358" i="4"/>
  <c r="Y1359" i="4"/>
  <c r="Y1360" i="4"/>
  <c r="Y1361" i="4"/>
  <c r="Y1362" i="4"/>
  <c r="Y1363" i="4"/>
  <c r="Y1364" i="4"/>
  <c r="Y1365" i="4"/>
  <c r="Y1366" i="4"/>
  <c r="Y1367" i="4"/>
  <c r="Y1368" i="4"/>
  <c r="Y1369" i="4"/>
  <c r="Y1370" i="4"/>
  <c r="Y1371" i="4"/>
  <c r="Y1372" i="4"/>
  <c r="Y1373" i="4"/>
  <c r="Y1374" i="4"/>
  <c r="Y1375" i="4"/>
  <c r="Y1376" i="4"/>
  <c r="Y1377" i="4"/>
  <c r="Y1378" i="4"/>
  <c r="Y1379" i="4"/>
  <c r="Y1380" i="4"/>
  <c r="Y1381" i="4"/>
  <c r="Y1382" i="4"/>
  <c r="Y1383" i="4"/>
  <c r="Y1384" i="4"/>
  <c r="Y1385" i="4"/>
  <c r="Y1386" i="4"/>
  <c r="Y1387" i="4"/>
  <c r="Y1388" i="4"/>
  <c r="Y1389" i="4"/>
  <c r="Y1390" i="4"/>
  <c r="Y1391" i="4"/>
  <c r="Y1392" i="4"/>
  <c r="Y1393" i="4"/>
  <c r="Y1394" i="4"/>
  <c r="Y1395" i="4"/>
  <c r="Y1396" i="4"/>
  <c r="Y1397" i="4"/>
  <c r="Y1398" i="4"/>
  <c r="Y1399" i="4"/>
  <c r="Y1400" i="4"/>
  <c r="Y1401" i="4"/>
  <c r="Y1402" i="4"/>
  <c r="Y1403" i="4"/>
  <c r="Y1404" i="4"/>
  <c r="Y1405" i="4"/>
  <c r="Y1406" i="4"/>
  <c r="Y1407" i="4"/>
  <c r="Y1408" i="4"/>
  <c r="Y1409" i="4"/>
  <c r="Y1410" i="4"/>
  <c r="Y1411" i="4"/>
  <c r="Y1412" i="4"/>
  <c r="Y1413" i="4"/>
  <c r="Y1414" i="4"/>
  <c r="Y1415" i="4"/>
  <c r="Y1416" i="4"/>
  <c r="Y1417" i="4"/>
  <c r="Y1418" i="4"/>
  <c r="Y1419" i="4"/>
  <c r="Y1420" i="4"/>
  <c r="Y1421" i="4"/>
  <c r="Y1422" i="4"/>
  <c r="Y1423" i="4"/>
  <c r="Y1424" i="4"/>
  <c r="Y1425" i="4"/>
  <c r="Y1426" i="4"/>
  <c r="Y1427" i="4"/>
  <c r="Y1428" i="4"/>
  <c r="Y1429" i="4"/>
  <c r="Y1430" i="4"/>
  <c r="Y1431" i="4"/>
  <c r="Y1432" i="4"/>
  <c r="Y1433" i="4"/>
  <c r="Y1434" i="4"/>
  <c r="Y1435" i="4"/>
  <c r="Y1436" i="4"/>
  <c r="Y1437" i="4"/>
  <c r="Y1438" i="4"/>
  <c r="Y1439" i="4"/>
  <c r="Y1440" i="4"/>
  <c r="Y1441" i="4"/>
  <c r="Y1442" i="4"/>
  <c r="Y1443" i="4"/>
  <c r="Y1444" i="4"/>
  <c r="Y1445" i="4"/>
  <c r="Y1446" i="4"/>
  <c r="Y1447" i="4"/>
  <c r="Y1448" i="4"/>
  <c r="Y1449" i="4"/>
  <c r="Y1450" i="4"/>
  <c r="Y1451" i="4"/>
  <c r="Y1452" i="4"/>
  <c r="Y1453" i="4"/>
  <c r="Y1454" i="4"/>
  <c r="Y1455" i="4"/>
  <c r="Y1456" i="4"/>
  <c r="Y1457" i="4"/>
  <c r="Y1458" i="4"/>
  <c r="Y1459" i="4"/>
  <c r="Y1460" i="4"/>
  <c r="Y1461" i="4"/>
  <c r="Y1462" i="4"/>
  <c r="Y1463" i="4"/>
  <c r="Y1464" i="4"/>
  <c r="Y1465" i="4"/>
  <c r="Y1466" i="4"/>
  <c r="Y1467" i="4"/>
  <c r="Y1468" i="4"/>
  <c r="Y1469" i="4"/>
  <c r="Y1470" i="4"/>
  <c r="Y1471" i="4"/>
  <c r="Y1472" i="4"/>
  <c r="Y1473" i="4"/>
  <c r="Y1474" i="4"/>
  <c r="Y1475" i="4"/>
  <c r="Y1476" i="4"/>
  <c r="Y1477" i="4"/>
  <c r="Y1478" i="4"/>
  <c r="Y1479" i="4"/>
  <c r="Y1480" i="4"/>
  <c r="Y1481" i="4"/>
  <c r="Y1482" i="4"/>
  <c r="Y1483" i="4"/>
  <c r="Y1484" i="4"/>
  <c r="Y1485" i="4"/>
  <c r="Y1486" i="4"/>
  <c r="Y1487" i="4"/>
  <c r="Y1488" i="4"/>
  <c r="Y1489" i="4"/>
  <c r="Y1490" i="4"/>
  <c r="Y1491" i="4"/>
  <c r="Y1492" i="4"/>
  <c r="Y1493" i="4"/>
  <c r="Y1494" i="4"/>
  <c r="Y1495" i="4"/>
  <c r="Y1496" i="4"/>
  <c r="Y1497" i="4"/>
  <c r="Y1498" i="4"/>
  <c r="Y1499" i="4"/>
  <c r="Y1500" i="4"/>
  <c r="Y1501" i="4"/>
  <c r="Y1502" i="4"/>
  <c r="Y1503" i="4"/>
  <c r="Y1504" i="4"/>
  <c r="Y1505" i="4"/>
  <c r="Y1506" i="4"/>
  <c r="Y1507" i="4"/>
  <c r="Y1508" i="4"/>
  <c r="Y1509" i="4"/>
  <c r="Y1510" i="4"/>
  <c r="Y1511" i="4"/>
  <c r="Y1512" i="4"/>
  <c r="Y1513" i="4"/>
  <c r="Y1514" i="4"/>
  <c r="Y1515" i="4"/>
  <c r="Y1516" i="4"/>
  <c r="Y1517" i="4"/>
  <c r="Y1518" i="4"/>
  <c r="Y1519" i="4"/>
  <c r="Y1520" i="4"/>
  <c r="Y1521" i="4"/>
  <c r="Y1522" i="4"/>
  <c r="Y1523" i="4"/>
  <c r="Y1524" i="4"/>
  <c r="Y1525" i="4"/>
  <c r="Y1526" i="4"/>
  <c r="Y1527" i="4"/>
  <c r="Y1528" i="4"/>
  <c r="Y1529" i="4"/>
  <c r="Y1530" i="4"/>
  <c r="Y1531" i="4"/>
  <c r="Y1532" i="4"/>
  <c r="Y1533" i="4"/>
  <c r="Y1534" i="4"/>
  <c r="Y1535" i="4"/>
  <c r="Y1536" i="4"/>
  <c r="Y1537" i="4"/>
  <c r="Y1538" i="4"/>
  <c r="Y1539" i="4"/>
  <c r="Y1540" i="4"/>
  <c r="Y1541" i="4"/>
  <c r="Y1542" i="4"/>
  <c r="Y1543" i="4"/>
  <c r="Y1544" i="4"/>
  <c r="Y1545" i="4"/>
  <c r="Y1546" i="4"/>
  <c r="Y1547" i="4"/>
  <c r="Y1548" i="4"/>
  <c r="Y1549" i="4"/>
  <c r="Y1550" i="4"/>
  <c r="Y1551" i="4"/>
  <c r="Y1552" i="4"/>
  <c r="Y1553" i="4"/>
  <c r="Y1554" i="4"/>
  <c r="Y1555" i="4"/>
  <c r="Y1556" i="4"/>
  <c r="Y1557" i="4"/>
  <c r="Y1558" i="4"/>
  <c r="Y1559" i="4"/>
  <c r="Y1560" i="4"/>
  <c r="Y1561" i="4"/>
  <c r="Y1562" i="4"/>
  <c r="Y1563" i="4"/>
  <c r="Y1564" i="4"/>
  <c r="Y1565" i="4"/>
  <c r="Y1566" i="4"/>
  <c r="Y1567" i="4"/>
  <c r="Y1568" i="4"/>
  <c r="Y1569" i="4"/>
  <c r="Y1570" i="4"/>
  <c r="Y1571" i="4"/>
  <c r="Y1572" i="4"/>
  <c r="Y1573" i="4"/>
  <c r="Y1574" i="4"/>
  <c r="Y1575" i="4"/>
  <c r="Y1576" i="4"/>
  <c r="Y1577" i="4"/>
  <c r="Y1578" i="4"/>
  <c r="Y1579" i="4"/>
  <c r="Y1580" i="4"/>
  <c r="Y1581" i="4"/>
  <c r="Y1582" i="4"/>
  <c r="Y1583" i="4"/>
  <c r="Y1584" i="4"/>
  <c r="Y1585" i="4"/>
  <c r="Y1586" i="4"/>
  <c r="Y1587" i="4"/>
  <c r="Y1588" i="4"/>
  <c r="Y1589" i="4"/>
  <c r="Y1590" i="4"/>
  <c r="Y1591" i="4"/>
  <c r="Y1592" i="4"/>
  <c r="Y1593" i="4"/>
  <c r="Y1594" i="4"/>
  <c r="Y1595" i="4"/>
  <c r="Y1596" i="4"/>
  <c r="Y1597" i="4"/>
  <c r="Y1598" i="4"/>
  <c r="Y1599" i="4"/>
  <c r="Y1600" i="4"/>
  <c r="Y1601" i="4"/>
  <c r="Y1602" i="4"/>
  <c r="Y1603" i="4"/>
  <c r="Y1604" i="4"/>
  <c r="Y1605" i="4"/>
  <c r="Y1606" i="4"/>
  <c r="Y1607" i="4"/>
  <c r="Y1608" i="4"/>
  <c r="Y1609" i="4"/>
  <c r="Y1610" i="4"/>
  <c r="Y1611" i="4"/>
  <c r="Y1612" i="4"/>
  <c r="Y1613" i="4"/>
  <c r="Y1614" i="4"/>
  <c r="Y1615" i="4"/>
  <c r="Y1616" i="4"/>
  <c r="Y1617" i="4"/>
  <c r="Y1618" i="4"/>
  <c r="Y1619" i="4"/>
  <c r="Y1620" i="4"/>
  <c r="Y1621" i="4"/>
  <c r="Y1622" i="4"/>
  <c r="Y1623" i="4"/>
  <c r="Y1624" i="4"/>
  <c r="Y1625" i="4"/>
  <c r="Y1626" i="4"/>
  <c r="Y1627" i="4"/>
  <c r="Y1628" i="4"/>
  <c r="Y1629" i="4"/>
  <c r="Y1630" i="4"/>
  <c r="Y1631" i="4"/>
  <c r="Y1632" i="4"/>
  <c r="Y1633" i="4"/>
  <c r="Y1634" i="4"/>
  <c r="Y1635" i="4"/>
  <c r="Y1636" i="4"/>
  <c r="Y1637" i="4"/>
  <c r="Y1638" i="4"/>
  <c r="Y1639" i="4"/>
  <c r="Y1640" i="4"/>
  <c r="Y1641" i="4"/>
  <c r="Y1642" i="4"/>
  <c r="Y1643" i="4"/>
  <c r="Y1644" i="4"/>
  <c r="Y1645" i="4"/>
  <c r="Y1646" i="4"/>
  <c r="Y1647" i="4"/>
  <c r="Y1648" i="4"/>
  <c r="Y1649" i="4"/>
  <c r="Y1650" i="4"/>
  <c r="Y1651" i="4"/>
  <c r="Y1652" i="4"/>
  <c r="Y1653" i="4"/>
  <c r="Y1654" i="4"/>
  <c r="Y1655" i="4"/>
  <c r="Y1656" i="4"/>
  <c r="Y1657" i="4"/>
  <c r="Y1658" i="4"/>
  <c r="Y1659" i="4"/>
  <c r="Y1660" i="4"/>
  <c r="Y1661" i="4"/>
  <c r="Y1662" i="4"/>
  <c r="Y1663" i="4"/>
  <c r="Y1664" i="4"/>
  <c r="Y1665" i="4"/>
  <c r="Y1666" i="4"/>
  <c r="Y1667" i="4"/>
  <c r="Y1668" i="4"/>
  <c r="Y1669" i="4"/>
  <c r="Y1670" i="4"/>
  <c r="Y1671" i="4"/>
  <c r="Y1672" i="4"/>
  <c r="Y1673" i="4"/>
  <c r="Y1674" i="4"/>
  <c r="Y1675" i="4"/>
  <c r="Y1676" i="4"/>
  <c r="Y1677" i="4"/>
  <c r="Y1678" i="4"/>
  <c r="Y1679" i="4"/>
  <c r="Y1680" i="4"/>
  <c r="Y1681" i="4"/>
  <c r="Y1682" i="4"/>
  <c r="Y1683" i="4"/>
  <c r="Y1684" i="4"/>
  <c r="Y1685" i="4"/>
  <c r="Y1686" i="4"/>
  <c r="Y1687" i="4"/>
  <c r="Y1688" i="4"/>
  <c r="Y1689" i="4"/>
  <c r="Y1690" i="4"/>
  <c r="Y1691" i="4"/>
  <c r="Y1692" i="4"/>
  <c r="Y1693" i="4"/>
  <c r="Y1694" i="4"/>
  <c r="Y1695" i="4"/>
  <c r="Y1696" i="4"/>
  <c r="Y1697" i="4"/>
  <c r="Y1698" i="4"/>
  <c r="Y1699" i="4"/>
  <c r="Y1700" i="4"/>
  <c r="Y1701" i="4"/>
  <c r="Y1702" i="4"/>
  <c r="Y1703" i="4"/>
  <c r="Y1704" i="4"/>
  <c r="Y1705" i="4"/>
  <c r="Y1706" i="4"/>
  <c r="Y1707" i="4"/>
  <c r="Y1708" i="4"/>
  <c r="Y1709" i="4"/>
  <c r="Y1710" i="4"/>
  <c r="Y1711" i="4"/>
  <c r="Y1712" i="4"/>
  <c r="Y1713" i="4"/>
  <c r="Y1714" i="4"/>
  <c r="Y1715" i="4"/>
  <c r="Y1716" i="4"/>
  <c r="Y1717" i="4"/>
  <c r="Y1718" i="4"/>
  <c r="Y1719" i="4"/>
  <c r="Y1720" i="4"/>
  <c r="Y1721" i="4"/>
  <c r="Y1722" i="4"/>
  <c r="Y1723" i="4"/>
  <c r="Y1724" i="4"/>
  <c r="Y1725" i="4"/>
  <c r="Y1726" i="4"/>
  <c r="Y1727" i="4"/>
  <c r="Y1728" i="4"/>
  <c r="Y1729" i="4"/>
  <c r="Y1730" i="4"/>
  <c r="Y1731" i="4"/>
  <c r="Y1732" i="4"/>
  <c r="Y1733" i="4"/>
  <c r="Y1734" i="4"/>
  <c r="Y1735" i="4"/>
  <c r="Y1736" i="4"/>
  <c r="Y1737" i="4"/>
  <c r="Y1738" i="4"/>
  <c r="Y1739" i="4"/>
  <c r="Y1740" i="4"/>
  <c r="Y1741" i="4"/>
  <c r="Y1742" i="4"/>
  <c r="Y1743" i="4"/>
  <c r="Y1744" i="4"/>
  <c r="Y1745" i="4"/>
  <c r="Y1746" i="4"/>
  <c r="Y1747" i="4"/>
  <c r="Y1748" i="4"/>
  <c r="Y1749" i="4"/>
  <c r="Y1750" i="4"/>
  <c r="Y1751" i="4"/>
  <c r="Y1752" i="4"/>
  <c r="Y1753" i="4"/>
  <c r="Y1754" i="4"/>
  <c r="Y1755" i="4"/>
  <c r="Y1756" i="4"/>
  <c r="Y1757" i="4"/>
  <c r="Y1758" i="4"/>
  <c r="Y1759" i="4"/>
  <c r="Y1760" i="4"/>
  <c r="Y1761" i="4"/>
  <c r="Y1762" i="4"/>
  <c r="Y1763" i="4"/>
  <c r="Y1764" i="4"/>
  <c r="Y1765" i="4"/>
  <c r="Y1766" i="4"/>
  <c r="Y1767" i="4"/>
  <c r="Y1768" i="4"/>
  <c r="Y1769" i="4"/>
  <c r="Y1770" i="4"/>
  <c r="Y1771" i="4"/>
  <c r="Y1772" i="4"/>
  <c r="Y1773" i="4"/>
  <c r="Y1774" i="4"/>
  <c r="Y1775" i="4"/>
  <c r="Y1776" i="4"/>
  <c r="Y1777" i="4"/>
  <c r="Y1778" i="4"/>
  <c r="Y1779" i="4"/>
  <c r="Y1780" i="4"/>
  <c r="Y1781" i="4"/>
  <c r="Y1782" i="4"/>
  <c r="Y1783" i="4"/>
  <c r="Y1784" i="4"/>
  <c r="Y1785" i="4"/>
  <c r="Y1786" i="4"/>
  <c r="Y1787" i="4"/>
  <c r="Y1788" i="4"/>
  <c r="Y1789" i="4"/>
  <c r="Y1790" i="4"/>
  <c r="Y1791" i="4"/>
  <c r="Y1792" i="4"/>
  <c r="Y1793" i="4"/>
  <c r="Y1794" i="4"/>
  <c r="Y1795" i="4"/>
  <c r="Y1796" i="4"/>
  <c r="Y1797" i="4"/>
  <c r="Y1798" i="4"/>
  <c r="Y1799" i="4"/>
  <c r="Y1800" i="4"/>
  <c r="Y1801" i="4"/>
  <c r="Y1802" i="4"/>
  <c r="Y1803" i="4"/>
  <c r="Y1804" i="4"/>
  <c r="Y1805" i="4"/>
  <c r="Y1806" i="4"/>
  <c r="Y1807" i="4"/>
  <c r="Y1808" i="4"/>
  <c r="Y1809" i="4"/>
  <c r="Y1810" i="4"/>
  <c r="Y1811" i="4"/>
  <c r="Y1812" i="4"/>
  <c r="Y1813" i="4"/>
  <c r="Y1814" i="4"/>
  <c r="Y1815" i="4"/>
  <c r="Y1816" i="4"/>
  <c r="Y1817" i="4"/>
  <c r="Y1818" i="4"/>
  <c r="Y1819" i="4"/>
  <c r="Y1820" i="4"/>
  <c r="Y1821" i="4"/>
  <c r="Y1822" i="4"/>
  <c r="Y1823" i="4"/>
  <c r="L760" i="4" l="1"/>
  <c r="R760" i="4"/>
  <c r="Y760"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Y558" i="4"/>
  <c r="Y559" i="4"/>
  <c r="Y560" i="4"/>
  <c r="Y561" i="4"/>
  <c r="Y562" i="4"/>
  <c r="Y563" i="4"/>
  <c r="Y564" i="4"/>
  <c r="Y565" i="4"/>
  <c r="Y566" i="4"/>
  <c r="Y567" i="4"/>
  <c r="Y568" i="4"/>
  <c r="Y569" i="4"/>
  <c r="Y570" i="4"/>
  <c r="Y571" i="4"/>
  <c r="Y572" i="4"/>
  <c r="Y573" i="4"/>
  <c r="Y574" i="4"/>
  <c r="Y575" i="4"/>
  <c r="Y576" i="4"/>
  <c r="Y577" i="4"/>
  <c r="Y578" i="4"/>
  <c r="Y579" i="4"/>
  <c r="Y580" i="4"/>
  <c r="Y581" i="4"/>
  <c r="Y582" i="4"/>
  <c r="Y583" i="4"/>
  <c r="Y584" i="4"/>
  <c r="Y585" i="4"/>
  <c r="Y586" i="4"/>
  <c r="Y587" i="4"/>
  <c r="Y588" i="4"/>
  <c r="Y589" i="4"/>
  <c r="Y590" i="4"/>
  <c r="Y591" i="4"/>
  <c r="Y592" i="4"/>
  <c r="Y593" i="4"/>
  <c r="Y594" i="4"/>
  <c r="Y595" i="4"/>
  <c r="Y596" i="4"/>
  <c r="Y597" i="4"/>
  <c r="Y598" i="4"/>
  <c r="Y599" i="4"/>
  <c r="Y600" i="4"/>
  <c r="Y601" i="4"/>
  <c r="Y602" i="4"/>
  <c r="Y603" i="4"/>
  <c r="Y604" i="4"/>
  <c r="Y605" i="4"/>
  <c r="Y606" i="4"/>
  <c r="Y607" i="4"/>
  <c r="Y608" i="4"/>
  <c r="Y609" i="4"/>
  <c r="Y610" i="4"/>
  <c r="Y611" i="4"/>
  <c r="Y612" i="4"/>
  <c r="Y613" i="4"/>
  <c r="Y614" i="4"/>
  <c r="Y615" i="4"/>
  <c r="Y616" i="4"/>
  <c r="Y617" i="4"/>
  <c r="Y618" i="4"/>
  <c r="Y619" i="4"/>
  <c r="Y620" i="4"/>
  <c r="Y621" i="4"/>
  <c r="Y622" i="4"/>
  <c r="Y623" i="4"/>
  <c r="Y624" i="4"/>
  <c r="Y625" i="4"/>
  <c r="Y626" i="4"/>
  <c r="Y627" i="4"/>
  <c r="Y628" i="4"/>
  <c r="Y629" i="4"/>
  <c r="Y630" i="4"/>
  <c r="Y631" i="4"/>
  <c r="Y632" i="4"/>
  <c r="Y633" i="4"/>
  <c r="Y634" i="4"/>
  <c r="Y635" i="4"/>
  <c r="Y636" i="4"/>
  <c r="Y637" i="4"/>
  <c r="Y638" i="4"/>
  <c r="Y639" i="4"/>
  <c r="Y640" i="4"/>
  <c r="Y641" i="4"/>
  <c r="Y642" i="4"/>
  <c r="Y643" i="4"/>
  <c r="Y644" i="4"/>
  <c r="Y645" i="4"/>
  <c r="Y646" i="4"/>
  <c r="Y647" i="4"/>
  <c r="Y648" i="4"/>
  <c r="Y649" i="4"/>
  <c r="Y650" i="4"/>
  <c r="Y651" i="4"/>
  <c r="Y652" i="4"/>
  <c r="Y653" i="4"/>
  <c r="Y654" i="4"/>
  <c r="Y655" i="4"/>
  <c r="Y656" i="4"/>
  <c r="Y657" i="4"/>
  <c r="Y658" i="4"/>
  <c r="Y659" i="4"/>
  <c r="Y660" i="4"/>
  <c r="Y661" i="4"/>
  <c r="Y662" i="4"/>
  <c r="Y663" i="4"/>
  <c r="Y664" i="4"/>
  <c r="Y665" i="4"/>
  <c r="Y666" i="4"/>
  <c r="Y667" i="4"/>
  <c r="Y668" i="4"/>
  <c r="Y669" i="4"/>
  <c r="Y670" i="4"/>
  <c r="Y671" i="4"/>
  <c r="Y672" i="4"/>
  <c r="Y673" i="4"/>
  <c r="Y674" i="4"/>
  <c r="Y675" i="4"/>
  <c r="Y676" i="4"/>
  <c r="Y677" i="4"/>
  <c r="Y678" i="4"/>
  <c r="Y679" i="4"/>
  <c r="Y680" i="4"/>
  <c r="Y681" i="4"/>
  <c r="Y682" i="4"/>
  <c r="Y683" i="4"/>
  <c r="Y684" i="4"/>
  <c r="Y685" i="4"/>
  <c r="Y686" i="4"/>
  <c r="Y687" i="4"/>
  <c r="Y688" i="4"/>
  <c r="Y689" i="4"/>
  <c r="Y690" i="4"/>
  <c r="Y691" i="4"/>
  <c r="Y692" i="4"/>
  <c r="Y693" i="4"/>
  <c r="Y694" i="4"/>
  <c r="Y695" i="4"/>
  <c r="Y696" i="4"/>
  <c r="Y697" i="4"/>
  <c r="Y698" i="4"/>
  <c r="Y699" i="4"/>
  <c r="Y700" i="4"/>
  <c r="Y701" i="4"/>
  <c r="Y702" i="4"/>
  <c r="Y703" i="4"/>
  <c r="Y704" i="4"/>
  <c r="Y705" i="4"/>
  <c r="Y706" i="4"/>
  <c r="Y707" i="4"/>
  <c r="Y708" i="4"/>
  <c r="Y709" i="4"/>
  <c r="Y710" i="4"/>
  <c r="Y711" i="4"/>
  <c r="Y712" i="4"/>
  <c r="Y713" i="4"/>
  <c r="Y714" i="4"/>
  <c r="Y715" i="4"/>
  <c r="Y716" i="4"/>
  <c r="Y717" i="4"/>
  <c r="Y718" i="4"/>
  <c r="Y719" i="4"/>
  <c r="Y720" i="4"/>
  <c r="Y721" i="4"/>
  <c r="Y722" i="4"/>
  <c r="Y723" i="4"/>
  <c r="Y724" i="4"/>
  <c r="Y725" i="4"/>
  <c r="Y726" i="4"/>
  <c r="Y727" i="4"/>
  <c r="Y728" i="4"/>
  <c r="Y729" i="4"/>
  <c r="Y730" i="4"/>
  <c r="Y731" i="4"/>
  <c r="Y732" i="4"/>
  <c r="Y733" i="4"/>
  <c r="Y734" i="4"/>
  <c r="Y735" i="4"/>
  <c r="Y736" i="4"/>
  <c r="Y737" i="4"/>
  <c r="Y738" i="4"/>
  <c r="Y739" i="4"/>
  <c r="Y740" i="4"/>
  <c r="Y741" i="4"/>
  <c r="Y742" i="4"/>
  <c r="Y743" i="4"/>
  <c r="Y744" i="4"/>
  <c r="Y745" i="4"/>
  <c r="Y746" i="4"/>
  <c r="Y747" i="4"/>
  <c r="Y748" i="4"/>
  <c r="Y749" i="4"/>
  <c r="Y750" i="4"/>
  <c r="Y751" i="4"/>
  <c r="Y752" i="4"/>
  <c r="Y753" i="4"/>
  <c r="Y754" i="4"/>
  <c r="Y755" i="4"/>
  <c r="Y756" i="4"/>
  <c r="Y757" i="4"/>
  <c r="Y758" i="4"/>
  <c r="Y759" i="4"/>
  <c r="L556" i="4" l="1"/>
  <c r="L557" i="4"/>
  <c r="R556" i="4"/>
  <c r="R557" i="4"/>
  <c r="Y556" i="4"/>
  <c r="Y557" i="4"/>
  <c r="L553" i="4"/>
  <c r="L554" i="4"/>
  <c r="L555" i="4"/>
  <c r="R553" i="4"/>
  <c r="R554" i="4"/>
  <c r="R555" i="4"/>
  <c r="Y553" i="4"/>
  <c r="Y554" i="4"/>
  <c r="Y555" i="4"/>
  <c r="L448" i="4" l="1"/>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Y448" i="4"/>
  <c r="Y449" i="4"/>
  <c r="Y450" i="4"/>
  <c r="Y451" i="4"/>
  <c r="Y452" i="4"/>
  <c r="Y453" i="4"/>
  <c r="Y454" i="4"/>
  <c r="Y455" i="4"/>
  <c r="Y456" i="4"/>
  <c r="Y457" i="4"/>
  <c r="Y458" i="4"/>
  <c r="Y459" i="4"/>
  <c r="Y460" i="4"/>
  <c r="Y461" i="4"/>
  <c r="Y462" i="4"/>
  <c r="Y463" i="4"/>
  <c r="Y464" i="4"/>
  <c r="Y465" i="4"/>
  <c r="Y466" i="4"/>
  <c r="Y467" i="4"/>
  <c r="Y468" i="4"/>
  <c r="Y469" i="4"/>
  <c r="Y470" i="4"/>
  <c r="Y471" i="4"/>
  <c r="Y472" i="4"/>
  <c r="Y473" i="4"/>
  <c r="Y474" i="4"/>
  <c r="Y475" i="4"/>
  <c r="Y476" i="4"/>
  <c r="Y477" i="4"/>
  <c r="Y478" i="4"/>
  <c r="Y479" i="4"/>
  <c r="Y480" i="4"/>
  <c r="Y481" i="4"/>
  <c r="Y482" i="4"/>
  <c r="Y483" i="4"/>
  <c r="Y484" i="4"/>
  <c r="Y485" i="4"/>
  <c r="Y486" i="4"/>
  <c r="Y487" i="4"/>
  <c r="Y488" i="4"/>
  <c r="Y489" i="4"/>
  <c r="Y490" i="4"/>
  <c r="Y491" i="4"/>
  <c r="Y492" i="4"/>
  <c r="Y493" i="4"/>
  <c r="Y494" i="4"/>
  <c r="Y495" i="4"/>
  <c r="Y496" i="4"/>
  <c r="Y497" i="4"/>
  <c r="Y498" i="4"/>
  <c r="Y499" i="4"/>
  <c r="Y500" i="4"/>
  <c r="Y501" i="4"/>
  <c r="Y502" i="4"/>
  <c r="Y503" i="4"/>
  <c r="Y504" i="4"/>
  <c r="Y505" i="4"/>
  <c r="Y506" i="4"/>
  <c r="Y507" i="4"/>
  <c r="Y508" i="4"/>
  <c r="Y509" i="4"/>
  <c r="Y510" i="4"/>
  <c r="Y511" i="4"/>
  <c r="Y512" i="4"/>
  <c r="Y513" i="4"/>
  <c r="Y514" i="4"/>
  <c r="Y515" i="4"/>
  <c r="Y516" i="4"/>
  <c r="Y517" i="4"/>
  <c r="Y518" i="4"/>
  <c r="Y519" i="4"/>
  <c r="Y520" i="4"/>
  <c r="Y521" i="4"/>
  <c r="Y522" i="4"/>
  <c r="Y523" i="4"/>
  <c r="Y524" i="4"/>
  <c r="Y525" i="4"/>
  <c r="Y526" i="4"/>
  <c r="Y527" i="4"/>
  <c r="Y528" i="4"/>
  <c r="Y529" i="4"/>
  <c r="Y530" i="4"/>
  <c r="Y531" i="4"/>
  <c r="Y532" i="4"/>
  <c r="Y533" i="4"/>
  <c r="Y534" i="4"/>
  <c r="Y535" i="4"/>
  <c r="Y536" i="4"/>
  <c r="Y537" i="4"/>
  <c r="Y538" i="4"/>
  <c r="Y539" i="4"/>
  <c r="Y540" i="4"/>
  <c r="Y541" i="4"/>
  <c r="Y542" i="4"/>
  <c r="Y543" i="4"/>
  <c r="Y544" i="4"/>
  <c r="Y545" i="4"/>
  <c r="Y546" i="4"/>
  <c r="Y547" i="4"/>
  <c r="Y548" i="4"/>
  <c r="Y549" i="4"/>
  <c r="Y550" i="4"/>
  <c r="Y551" i="4"/>
  <c r="Y552" i="4"/>
  <c r="L266" i="4" l="1"/>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N275" i="4"/>
  <c r="N276" i="4"/>
  <c r="N277" i="4"/>
  <c r="N286" i="4"/>
  <c r="N290" i="4"/>
  <c r="N294" i="4"/>
  <c r="N305" i="4"/>
  <c r="N306" i="4"/>
  <c r="N307" i="4"/>
  <c r="N322" i="4"/>
  <c r="N326" i="4"/>
  <c r="N328" i="4"/>
  <c r="N336" i="4"/>
  <c r="N338" i="4"/>
  <c r="N339" i="4"/>
  <c r="N340" i="4"/>
  <c r="N351" i="4"/>
  <c r="N359" i="4"/>
  <c r="N369" i="4"/>
  <c r="N394" i="4"/>
  <c r="N396" i="4"/>
  <c r="N397" i="4"/>
  <c r="N400" i="4"/>
  <c r="N407" i="4"/>
  <c r="N414" i="4"/>
  <c r="N417" i="4"/>
  <c r="N428" i="4"/>
  <c r="N433"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Y266" i="4"/>
  <c r="Y267" i="4"/>
  <c r="Y268" i="4"/>
  <c r="Y269" i="4"/>
  <c r="Y270" i="4"/>
  <c r="Y271" i="4"/>
  <c r="Y272" i="4"/>
  <c r="Y273" i="4"/>
  <c r="Y274" i="4"/>
  <c r="Y275" i="4"/>
  <c r="Y276" i="4"/>
  <c r="Y277" i="4"/>
  <c r="Y278" i="4"/>
  <c r="Y279" i="4"/>
  <c r="Y280" i="4"/>
  <c r="Y281" i="4"/>
  <c r="Y282" i="4"/>
  <c r="Y283" i="4"/>
  <c r="Y284" i="4"/>
  <c r="Y285" i="4"/>
  <c r="Y286" i="4"/>
  <c r="Y287" i="4"/>
  <c r="Y288" i="4"/>
  <c r="Y289" i="4"/>
  <c r="Y290" i="4"/>
  <c r="Y291" i="4"/>
  <c r="Y292" i="4"/>
  <c r="Y293" i="4"/>
  <c r="Y294" i="4"/>
  <c r="Y295" i="4"/>
  <c r="Y296" i="4"/>
  <c r="Y297" i="4"/>
  <c r="Y298" i="4"/>
  <c r="Y299" i="4"/>
  <c r="Y300" i="4"/>
  <c r="Y301" i="4"/>
  <c r="Y302" i="4"/>
  <c r="Y303" i="4"/>
  <c r="Y304" i="4"/>
  <c r="Y305" i="4"/>
  <c r="Y306" i="4"/>
  <c r="Y307" i="4"/>
  <c r="Y308" i="4"/>
  <c r="Y309" i="4"/>
  <c r="Y310" i="4"/>
  <c r="Y311" i="4"/>
  <c r="Y312" i="4"/>
  <c r="Y313" i="4"/>
  <c r="Y314" i="4"/>
  <c r="Y315" i="4"/>
  <c r="Y316" i="4"/>
  <c r="Y317" i="4"/>
  <c r="Y318" i="4"/>
  <c r="Y319" i="4"/>
  <c r="Y320" i="4"/>
  <c r="Y321" i="4"/>
  <c r="Y322" i="4"/>
  <c r="Y323" i="4"/>
  <c r="Y324" i="4"/>
  <c r="Y325" i="4"/>
  <c r="Y326" i="4"/>
  <c r="Y327" i="4"/>
  <c r="Y328" i="4"/>
  <c r="Y329" i="4"/>
  <c r="Y330" i="4"/>
  <c r="Y331" i="4"/>
  <c r="Y332" i="4"/>
  <c r="Y333" i="4"/>
  <c r="Y334" i="4"/>
  <c r="Y335" i="4"/>
  <c r="Y336" i="4"/>
  <c r="Y337" i="4"/>
  <c r="Y338" i="4"/>
  <c r="Y339" i="4"/>
  <c r="Y340" i="4"/>
  <c r="Y341" i="4"/>
  <c r="Y342" i="4"/>
  <c r="Y343" i="4"/>
  <c r="Y344" i="4"/>
  <c r="Y345" i="4"/>
  <c r="Y346" i="4"/>
  <c r="Y347" i="4"/>
  <c r="Y348" i="4"/>
  <c r="Y349" i="4"/>
  <c r="Y350" i="4"/>
  <c r="Y351" i="4"/>
  <c r="Y352" i="4"/>
  <c r="Y353" i="4"/>
  <c r="Y354" i="4"/>
  <c r="Y355" i="4"/>
  <c r="Y356" i="4"/>
  <c r="Y357" i="4"/>
  <c r="Y358" i="4"/>
  <c r="Y359" i="4"/>
  <c r="Y360" i="4"/>
  <c r="Y361" i="4"/>
  <c r="Y362" i="4"/>
  <c r="Y363" i="4"/>
  <c r="Y364" i="4"/>
  <c r="Y365" i="4"/>
  <c r="Y366" i="4"/>
  <c r="Y367" i="4"/>
  <c r="Y368" i="4"/>
  <c r="Y369" i="4"/>
  <c r="Y370" i="4"/>
  <c r="Y371" i="4"/>
  <c r="Y372" i="4"/>
  <c r="Y373" i="4"/>
  <c r="Y374" i="4"/>
  <c r="Y375" i="4"/>
  <c r="Y376" i="4"/>
  <c r="Y377" i="4"/>
  <c r="Y378" i="4"/>
  <c r="Y379" i="4"/>
  <c r="Y380" i="4"/>
  <c r="Y381" i="4"/>
  <c r="Y382" i="4"/>
  <c r="Y383" i="4"/>
  <c r="Y384" i="4"/>
  <c r="Y385" i="4"/>
  <c r="Y386" i="4"/>
  <c r="Y387" i="4"/>
  <c r="Y388" i="4"/>
  <c r="Y389" i="4"/>
  <c r="Y390" i="4"/>
  <c r="Y391" i="4"/>
  <c r="Y392" i="4"/>
  <c r="Y393" i="4"/>
  <c r="Y394" i="4"/>
  <c r="Y395" i="4"/>
  <c r="Y396" i="4"/>
  <c r="Y397" i="4"/>
  <c r="Y398" i="4"/>
  <c r="Y399" i="4"/>
  <c r="Y400" i="4"/>
  <c r="Y401" i="4"/>
  <c r="Y402" i="4"/>
  <c r="Y403" i="4"/>
  <c r="Y404" i="4"/>
  <c r="Y405" i="4"/>
  <c r="Y406" i="4"/>
  <c r="Y407" i="4"/>
  <c r="Y408" i="4"/>
  <c r="Y409" i="4"/>
  <c r="Y410" i="4"/>
  <c r="Y411" i="4"/>
  <c r="Y412" i="4"/>
  <c r="Y413" i="4"/>
  <c r="Y414" i="4"/>
  <c r="Y415" i="4"/>
  <c r="Y416" i="4"/>
  <c r="Y417" i="4"/>
  <c r="Y418" i="4"/>
  <c r="Y419" i="4"/>
  <c r="Y420" i="4"/>
  <c r="Y421" i="4"/>
  <c r="Y422" i="4"/>
  <c r="Y423" i="4"/>
  <c r="Y424" i="4"/>
  <c r="Y425" i="4"/>
  <c r="Y426" i="4"/>
  <c r="Y427" i="4"/>
  <c r="Y428" i="4"/>
  <c r="Y429" i="4"/>
  <c r="Y430" i="4"/>
  <c r="Y431" i="4"/>
  <c r="Y432" i="4"/>
  <c r="Y433" i="4"/>
  <c r="Y434" i="4"/>
  <c r="Y435" i="4"/>
  <c r="Y436" i="4"/>
  <c r="Y437" i="4"/>
  <c r="Y438" i="4"/>
  <c r="Y439" i="4"/>
  <c r="Y440" i="4"/>
  <c r="Y441" i="4"/>
  <c r="Y442" i="4"/>
  <c r="Y443" i="4"/>
  <c r="Y444" i="4"/>
  <c r="Y445" i="4"/>
  <c r="Y446" i="4"/>
  <c r="Y447" i="4"/>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N5" i="4"/>
  <c r="N6" i="4"/>
  <c r="N8" i="4"/>
  <c r="N9" i="4"/>
  <c r="N10" i="4"/>
  <c r="N11" i="4"/>
  <c r="N13" i="4"/>
  <c r="N15" i="4"/>
  <c r="N18" i="4"/>
  <c r="N21" i="4"/>
  <c r="N28" i="4"/>
  <c r="N29" i="4"/>
  <c r="N30" i="4"/>
  <c r="N31" i="4"/>
  <c r="N34" i="4"/>
  <c r="N35" i="4"/>
  <c r="N36" i="4"/>
  <c r="N37" i="4"/>
  <c r="N38" i="4"/>
  <c r="N39" i="4"/>
  <c r="N41" i="4"/>
  <c r="N49" i="4"/>
  <c r="N60" i="4"/>
  <c r="N62" i="4"/>
  <c r="N63" i="4"/>
  <c r="N69" i="4"/>
  <c r="N70" i="4"/>
  <c r="N71" i="4"/>
  <c r="N72" i="4"/>
  <c r="N81" i="4"/>
  <c r="N84" i="4"/>
  <c r="N88" i="4"/>
  <c r="N90" i="4"/>
  <c r="N91" i="4"/>
  <c r="N99" i="4"/>
  <c r="N104" i="4"/>
  <c r="N105" i="4"/>
  <c r="N106" i="4"/>
  <c r="N107" i="4"/>
  <c r="N108" i="4"/>
  <c r="N129" i="4"/>
  <c r="N130" i="4"/>
  <c r="N140" i="4"/>
  <c r="N142" i="4"/>
  <c r="N143" i="4"/>
  <c r="N148" i="4"/>
  <c r="N149" i="4"/>
  <c r="N153" i="4"/>
  <c r="N155" i="4"/>
  <c r="N157" i="4"/>
  <c r="N158" i="4"/>
  <c r="N159" i="4"/>
  <c r="N167" i="4"/>
  <c r="N168" i="4"/>
  <c r="N180" i="4"/>
  <c r="N181" i="4"/>
  <c r="N185" i="4"/>
  <c r="N187" i="4"/>
  <c r="N200" i="4"/>
  <c r="N202" i="4"/>
  <c r="N204" i="4"/>
  <c r="N207" i="4"/>
  <c r="N214" i="4"/>
  <c r="N215" i="4"/>
  <c r="N232" i="4"/>
  <c r="N233" i="4"/>
  <c r="N234" i="4"/>
  <c r="N235" i="4"/>
  <c r="N238" i="4"/>
  <c r="N248" i="4"/>
  <c r="N249" i="4"/>
  <c r="N257"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Y139" i="4"/>
  <c r="Y140" i="4"/>
  <c r="Y141" i="4"/>
  <c r="Y142" i="4"/>
  <c r="Y143" i="4"/>
  <c r="Y144" i="4"/>
  <c r="Y145" i="4"/>
  <c r="Y146" i="4"/>
  <c r="Y147" i="4"/>
  <c r="Y148" i="4"/>
  <c r="Y149" i="4"/>
  <c r="Y150" i="4"/>
  <c r="Y151" i="4"/>
  <c r="Y152" i="4"/>
  <c r="Y153" i="4"/>
  <c r="Y154" i="4"/>
  <c r="Y155" i="4"/>
  <c r="Y156" i="4"/>
  <c r="Y157" i="4"/>
  <c r="Y158" i="4"/>
  <c r="Y159" i="4"/>
  <c r="Y160" i="4"/>
  <c r="Y161" i="4"/>
  <c r="Y162" i="4"/>
  <c r="Y163" i="4"/>
  <c r="Y164" i="4"/>
  <c r="Y165" i="4"/>
  <c r="Y166" i="4"/>
  <c r="Y167" i="4"/>
  <c r="Y168" i="4"/>
  <c r="Y169" i="4"/>
  <c r="Y170" i="4"/>
  <c r="Y171" i="4"/>
  <c r="Y172" i="4"/>
  <c r="Y173" i="4"/>
  <c r="Y174" i="4"/>
  <c r="Y175" i="4"/>
  <c r="Y176" i="4"/>
  <c r="Y177" i="4"/>
  <c r="Y178" i="4"/>
  <c r="Y179" i="4"/>
  <c r="Y180" i="4"/>
  <c r="Y181" i="4"/>
  <c r="Y182" i="4"/>
  <c r="Y183" i="4"/>
  <c r="Y184" i="4"/>
  <c r="Y185" i="4"/>
  <c r="Y186" i="4"/>
  <c r="Y187" i="4"/>
  <c r="Y188" i="4"/>
  <c r="Y189" i="4"/>
  <c r="Y190" i="4"/>
  <c r="Y191" i="4"/>
  <c r="Y192" i="4"/>
  <c r="Y193" i="4"/>
  <c r="Y194" i="4"/>
  <c r="Y195" i="4"/>
  <c r="Y196" i="4"/>
  <c r="Y197" i="4"/>
  <c r="Y198" i="4"/>
  <c r="Y199" i="4"/>
  <c r="Y200" i="4"/>
  <c r="Y201" i="4"/>
  <c r="Y202" i="4"/>
  <c r="Y203" i="4"/>
  <c r="Y204" i="4"/>
  <c r="Y205" i="4"/>
  <c r="Y206" i="4"/>
  <c r="Y207" i="4"/>
  <c r="Y208" i="4"/>
  <c r="Y209" i="4"/>
  <c r="Y210" i="4"/>
  <c r="Y211" i="4"/>
  <c r="Y212" i="4"/>
  <c r="Y213" i="4"/>
  <c r="Y214" i="4"/>
  <c r="Y215" i="4"/>
  <c r="Y216" i="4"/>
  <c r="Y217" i="4"/>
  <c r="Y218" i="4"/>
  <c r="Y219" i="4"/>
  <c r="Y220" i="4"/>
  <c r="Y221" i="4"/>
  <c r="Y222" i="4"/>
  <c r="Y223" i="4"/>
  <c r="Y224" i="4"/>
  <c r="Y225" i="4"/>
  <c r="Y226" i="4"/>
  <c r="Y227" i="4"/>
  <c r="Y228" i="4"/>
  <c r="Y229" i="4"/>
  <c r="Y230" i="4"/>
  <c r="Y231" i="4"/>
  <c r="Y232" i="4"/>
  <c r="Y233" i="4"/>
  <c r="Y234" i="4"/>
  <c r="Y235" i="4"/>
  <c r="Y236" i="4"/>
  <c r="Y237" i="4"/>
  <c r="Y238" i="4"/>
  <c r="Y239" i="4"/>
  <c r="Y240" i="4"/>
  <c r="Y241" i="4"/>
  <c r="Y242" i="4"/>
  <c r="Y243" i="4"/>
  <c r="Y244" i="4"/>
  <c r="Y245" i="4"/>
  <c r="Y246" i="4"/>
  <c r="Y247" i="4"/>
  <c r="Y248" i="4"/>
  <c r="Y249" i="4"/>
  <c r="Y250" i="4"/>
  <c r="Y251" i="4"/>
  <c r="Y252" i="4"/>
  <c r="Y253" i="4"/>
  <c r="Y254" i="4"/>
  <c r="Y255" i="4"/>
  <c r="Y256" i="4"/>
  <c r="Y257" i="4"/>
  <c r="Y258" i="4"/>
  <c r="Y259" i="4"/>
  <c r="Y260" i="4"/>
  <c r="Y261" i="4"/>
  <c r="Y262" i="4"/>
  <c r="Y263" i="4"/>
  <c r="Y264" i="4"/>
  <c r="Y265" i="4"/>
  <c r="R2" i="3" l="1"/>
  <c r="Q2" i="3"/>
  <c r="P2" i="3" l="1"/>
  <c r="O2" i="3" l="1"/>
  <c r="N2" i="3"/>
  <c r="Y2" i="4" l="1"/>
  <c r="E2" i="3" l="1"/>
  <c r="F2" i="3"/>
  <c r="G2" i="3"/>
  <c r="H2" i="3"/>
  <c r="I2" i="3"/>
  <c r="J2" i="3"/>
  <c r="K2" i="3"/>
  <c r="L2" i="3"/>
  <c r="M2" i="3"/>
  <c r="D2" i="3"/>
  <c r="C2" i="3"/>
  <c r="B2" i="3"/>
  <c r="A2" i="3"/>
  <c r="V1894" i="4" l="1"/>
  <c r="V1879" i="4"/>
  <c r="V1887" i="4"/>
  <c r="V1883" i="4"/>
  <c r="V1893" i="4"/>
  <c r="V1886" i="4"/>
  <c r="V1885" i="4"/>
  <c r="V1866" i="4"/>
  <c r="V1867" i="4"/>
  <c r="V1880" i="4"/>
  <c r="V1890" i="4"/>
  <c r="V1851" i="4"/>
  <c r="V1877" i="4"/>
  <c r="V1868" i="4"/>
  <c r="M1849" i="4"/>
  <c r="N1849" i="4" s="1"/>
  <c r="V1873" i="4"/>
  <c r="V1852" i="4"/>
  <c r="V1876" i="4"/>
  <c r="V1855" i="4"/>
  <c r="V1878" i="4"/>
  <c r="V1849" i="4"/>
  <c r="V1853" i="4"/>
  <c r="V1850" i="4"/>
  <c r="V1871" i="4"/>
  <c r="V1857" i="4"/>
  <c r="V1870" i="4"/>
  <c r="V1858" i="4"/>
  <c r="V1862" i="4"/>
  <c r="V1860" i="4"/>
  <c r="V1859" i="4"/>
  <c r="V1875" i="4"/>
  <c r="V1854" i="4"/>
  <c r="V1869" i="4"/>
  <c r="P1892" i="4"/>
  <c r="P1880" i="4"/>
  <c r="P1891" i="4"/>
  <c r="P1883" i="4"/>
  <c r="S1883" i="4" s="1"/>
  <c r="P1879" i="4"/>
  <c r="P1888" i="4"/>
  <c r="P1893" i="4"/>
  <c r="Q1893" i="4" s="1"/>
  <c r="P1894" i="4"/>
  <c r="P1887" i="4"/>
  <c r="S1887" i="4" s="1"/>
  <c r="P1886" i="4"/>
  <c r="U1886" i="4" s="1"/>
  <c r="P1884" i="4"/>
  <c r="P1882" i="4"/>
  <c r="P1889" i="4"/>
  <c r="P1890" i="4"/>
  <c r="Q1890" i="4" s="1"/>
  <c r="P1885" i="4"/>
  <c r="S1885" i="4" s="1"/>
  <c r="P1881" i="4"/>
  <c r="P1862" i="4"/>
  <c r="S1862" i="4" s="1"/>
  <c r="P1868" i="4"/>
  <c r="P1872" i="4"/>
  <c r="P1865" i="4"/>
  <c r="P1869" i="4"/>
  <c r="P1852" i="4"/>
  <c r="P1874" i="4"/>
  <c r="P1870" i="4"/>
  <c r="S1870" i="4" s="1"/>
  <c r="P1857" i="4"/>
  <c r="S1857" i="4" s="1"/>
  <c r="P1858" i="4"/>
  <c r="S1858" i="4" s="1"/>
  <c r="P1861" i="4"/>
  <c r="P1871" i="4"/>
  <c r="P1864" i="4"/>
  <c r="P1875" i="4"/>
  <c r="S1875" i="4" s="1"/>
  <c r="P1878" i="4"/>
  <c r="P1849" i="4"/>
  <c r="S1849" i="4" s="1"/>
  <c r="P1854" i="4"/>
  <c r="P1863" i="4"/>
  <c r="P1867" i="4"/>
  <c r="P1860" i="4"/>
  <c r="S1860" i="4" s="1"/>
  <c r="P1866" i="4"/>
  <c r="P1859" i="4"/>
  <c r="S1859" i="4" s="1"/>
  <c r="P1877" i="4"/>
  <c r="S1877" i="4" s="1"/>
  <c r="P1856" i="4"/>
  <c r="P1876" i="4"/>
  <c r="P1873" i="4"/>
  <c r="S1873" i="4" s="1"/>
  <c r="P1853" i="4"/>
  <c r="P1850" i="4"/>
  <c r="P1851" i="4"/>
  <c r="P1855" i="4"/>
  <c r="W1883" i="4"/>
  <c r="M1883" i="4" s="1"/>
  <c r="N1883" i="4" s="1"/>
  <c r="W1891" i="4"/>
  <c r="M1891" i="4" s="1"/>
  <c r="N1891" i="4" s="1"/>
  <c r="W1892" i="4"/>
  <c r="M1892" i="4" s="1"/>
  <c r="N1892" i="4" s="1"/>
  <c r="W1879" i="4"/>
  <c r="M1879" i="4" s="1"/>
  <c r="N1879" i="4" s="1"/>
  <c r="W1884" i="4"/>
  <c r="M1884" i="4" s="1"/>
  <c r="N1884" i="4" s="1"/>
  <c r="W1894" i="4"/>
  <c r="M1894" i="4" s="1"/>
  <c r="N1894" i="4" s="1"/>
  <c r="W1881" i="4"/>
  <c r="M1881" i="4" s="1"/>
  <c r="N1881" i="4" s="1"/>
  <c r="W1887" i="4"/>
  <c r="M1887" i="4" s="1"/>
  <c r="N1887" i="4" s="1"/>
  <c r="W1893" i="4"/>
  <c r="M1893" i="4" s="1"/>
  <c r="N1893" i="4" s="1"/>
  <c r="W1880" i="4"/>
  <c r="M1880" i="4" s="1"/>
  <c r="N1880" i="4" s="1"/>
  <c r="W1885" i="4"/>
  <c r="M1885" i="4" s="1"/>
  <c r="N1885" i="4" s="1"/>
  <c r="W1888" i="4"/>
  <c r="M1888" i="4" s="1"/>
  <c r="N1888" i="4" s="1"/>
  <c r="W1890" i="4"/>
  <c r="M1890" i="4" s="1"/>
  <c r="N1890" i="4" s="1"/>
  <c r="W1855" i="4"/>
  <c r="M1855" i="4" s="1"/>
  <c r="N1855" i="4" s="1"/>
  <c r="W1889" i="4"/>
  <c r="M1889" i="4" s="1"/>
  <c r="N1889" i="4" s="1"/>
  <c r="W1886" i="4"/>
  <c r="M1886" i="4" s="1"/>
  <c r="N1886" i="4" s="1"/>
  <c r="W1882" i="4"/>
  <c r="M1882" i="4" s="1"/>
  <c r="N1882" i="4" s="1"/>
  <c r="W1877" i="4"/>
  <c r="M1877" i="4" s="1"/>
  <c r="N1877" i="4" s="1"/>
  <c r="W1865" i="4"/>
  <c r="M1865" i="4" s="1"/>
  <c r="N1865" i="4" s="1"/>
  <c r="W1872" i="4"/>
  <c r="M1872" i="4" s="1"/>
  <c r="N1872" i="4" s="1"/>
  <c r="W1878" i="4"/>
  <c r="M1878" i="4" s="1"/>
  <c r="N1878" i="4" s="1"/>
  <c r="W1854" i="4"/>
  <c r="M1854" i="4" s="1"/>
  <c r="N1854" i="4" s="1"/>
  <c r="W1868" i="4"/>
  <c r="M1868" i="4" s="1"/>
  <c r="N1868" i="4" s="1"/>
  <c r="W1867" i="4"/>
  <c r="M1867" i="4" s="1"/>
  <c r="N1867" i="4" s="1"/>
  <c r="W1852" i="4"/>
  <c r="M1852" i="4" s="1"/>
  <c r="N1852" i="4" s="1"/>
  <c r="W1869" i="4"/>
  <c r="M1869" i="4" s="1"/>
  <c r="N1869" i="4" s="1"/>
  <c r="W1858" i="4"/>
  <c r="M1858" i="4" s="1"/>
  <c r="N1858" i="4" s="1"/>
  <c r="W1870" i="4"/>
  <c r="M1870" i="4" s="1"/>
  <c r="N1870" i="4" s="1"/>
  <c r="W1876" i="4"/>
  <c r="M1876" i="4" s="1"/>
  <c r="N1876" i="4" s="1"/>
  <c r="W1873" i="4"/>
  <c r="M1873" i="4" s="1"/>
  <c r="N1873" i="4" s="1"/>
  <c r="W1874" i="4"/>
  <c r="M1874" i="4" s="1"/>
  <c r="N1874" i="4" s="1"/>
  <c r="W1862" i="4"/>
  <c r="M1862" i="4" s="1"/>
  <c r="N1862" i="4" s="1"/>
  <c r="W1861" i="4"/>
  <c r="M1861" i="4" s="1"/>
  <c r="N1861" i="4" s="1"/>
  <c r="W1856" i="4"/>
  <c r="W1849" i="4"/>
  <c r="X1849" i="4" s="1"/>
  <c r="W1871" i="4"/>
  <c r="M1871" i="4" s="1"/>
  <c r="N1871" i="4" s="1"/>
  <c r="W1857" i="4"/>
  <c r="M1857" i="4" s="1"/>
  <c r="N1857" i="4" s="1"/>
  <c r="W1851" i="4"/>
  <c r="M1851" i="4" s="1"/>
  <c r="N1851" i="4" s="1"/>
  <c r="W1853" i="4"/>
  <c r="M1853" i="4" s="1"/>
  <c r="N1853" i="4" s="1"/>
  <c r="W1866" i="4"/>
  <c r="M1866" i="4" s="1"/>
  <c r="N1866" i="4" s="1"/>
  <c r="W1859" i="4"/>
  <c r="M1859" i="4" s="1"/>
  <c r="N1859" i="4" s="1"/>
  <c r="W1863" i="4"/>
  <c r="M1863" i="4" s="1"/>
  <c r="N1863" i="4" s="1"/>
  <c r="W1875" i="4"/>
  <c r="M1875" i="4" s="1"/>
  <c r="N1875" i="4" s="1"/>
  <c r="W1850" i="4"/>
  <c r="M1850" i="4" s="1"/>
  <c r="N1850" i="4" s="1"/>
  <c r="W1860" i="4"/>
  <c r="M1860" i="4" s="1"/>
  <c r="N1860" i="4" s="1"/>
  <c r="W1864" i="4"/>
  <c r="M1864" i="4" s="1"/>
  <c r="N1864" i="4" s="1"/>
  <c r="S1894" i="4"/>
  <c r="S1893" i="4"/>
  <c r="T1893" i="4" s="1"/>
  <c r="S1880" i="4"/>
  <c r="S1879" i="4"/>
  <c r="U1891" i="4"/>
  <c r="S1886" i="4"/>
  <c r="S1855" i="4"/>
  <c r="S1878" i="4"/>
  <c r="S1851" i="4"/>
  <c r="S1876" i="4"/>
  <c r="S1854" i="4"/>
  <c r="S1868" i="4"/>
  <c r="S1871" i="4"/>
  <c r="S1866" i="4"/>
  <c r="S1869" i="4"/>
  <c r="S1850" i="4"/>
  <c r="S1853" i="4"/>
  <c r="S1867" i="4"/>
  <c r="S1852" i="4"/>
  <c r="X1892" i="4"/>
  <c r="X1887" i="4"/>
  <c r="X1893" i="4"/>
  <c r="X1879" i="4"/>
  <c r="X1888" i="4"/>
  <c r="X1884" i="4"/>
  <c r="X1891" i="4"/>
  <c r="X1894" i="4"/>
  <c r="X1883" i="4"/>
  <c r="X1889" i="4"/>
  <c r="X1881" i="4"/>
  <c r="X1880" i="4"/>
  <c r="X1876" i="4"/>
  <c r="X1886" i="4"/>
  <c r="X1890" i="4"/>
  <c r="X1885" i="4"/>
  <c r="X1882" i="4"/>
  <c r="X1873" i="4"/>
  <c r="X1868" i="4"/>
  <c r="X1874" i="4"/>
  <c r="X1853" i="4"/>
  <c r="X1852" i="4"/>
  <c r="X1869" i="4"/>
  <c r="X1859" i="4"/>
  <c r="X1858" i="4"/>
  <c r="X1850" i="4"/>
  <c r="X1878" i="4"/>
  <c r="X1875" i="4"/>
  <c r="X1866" i="4"/>
  <c r="X1861" i="4"/>
  <c r="X1867" i="4"/>
  <c r="X1871" i="4"/>
  <c r="X1865" i="4"/>
  <c r="X1860" i="4"/>
  <c r="X1855" i="4"/>
  <c r="X1877" i="4"/>
  <c r="X1872" i="4"/>
  <c r="X1870" i="4"/>
  <c r="X1854" i="4"/>
  <c r="X1864" i="4"/>
  <c r="X1863" i="4"/>
  <c r="X1862" i="4"/>
  <c r="X1851" i="4"/>
  <c r="X1857" i="4"/>
  <c r="X1840" i="4"/>
  <c r="X1844" i="4"/>
  <c r="X1848" i="4"/>
  <c r="X1841" i="4"/>
  <c r="X1845" i="4"/>
  <c r="X1842" i="4"/>
  <c r="X1846" i="4"/>
  <c r="X1839" i="4"/>
  <c r="X1843" i="4"/>
  <c r="X1847" i="4"/>
  <c r="X1827" i="4"/>
  <c r="X1835" i="4"/>
  <c r="X1826" i="4"/>
  <c r="X1831" i="4"/>
  <c r="X1836" i="4"/>
  <c r="X1834" i="4"/>
  <c r="X1832" i="4"/>
  <c r="X1828" i="4"/>
  <c r="X1829" i="4"/>
  <c r="X1837" i="4"/>
  <c r="X1833" i="4"/>
  <c r="X1824" i="4"/>
  <c r="X1825" i="4"/>
  <c r="X782" i="4"/>
  <c r="X762" i="4"/>
  <c r="X766" i="4"/>
  <c r="X770" i="4"/>
  <c r="X774" i="4"/>
  <c r="X778" i="4"/>
  <c r="X783" i="4"/>
  <c r="X787" i="4"/>
  <c r="X791" i="4"/>
  <c r="X795" i="4"/>
  <c r="X799" i="4"/>
  <c r="X803" i="4"/>
  <c r="X807" i="4"/>
  <c r="X811" i="4"/>
  <c r="X815" i="4"/>
  <c r="X819" i="4"/>
  <c r="X823" i="4"/>
  <c r="X827" i="4"/>
  <c r="X831" i="4"/>
  <c r="X835" i="4"/>
  <c r="X839" i="4"/>
  <c r="X843" i="4"/>
  <c r="X847" i="4"/>
  <c r="X851" i="4"/>
  <c r="X855" i="4"/>
  <c r="X859" i="4"/>
  <c r="X863" i="4"/>
  <c r="X867" i="4"/>
  <c r="X871" i="4"/>
  <c r="X876" i="4"/>
  <c r="X880" i="4"/>
  <c r="X884" i="4"/>
  <c r="X888" i="4"/>
  <c r="X892" i="4"/>
  <c r="X896" i="4"/>
  <c r="X900" i="4"/>
  <c r="X904" i="4"/>
  <c r="X908" i="4"/>
  <c r="X912" i="4"/>
  <c r="X916" i="4"/>
  <c r="X920" i="4"/>
  <c r="X924" i="4"/>
  <c r="X929" i="4"/>
  <c r="X933" i="4"/>
  <c r="X937" i="4"/>
  <c r="X941" i="4"/>
  <c r="X946" i="4"/>
  <c r="X950" i="4"/>
  <c r="X954" i="4"/>
  <c r="X958" i="4"/>
  <c r="X962" i="4"/>
  <c r="X966" i="4"/>
  <c r="X970" i="4"/>
  <c r="X974" i="4"/>
  <c r="X978" i="4"/>
  <c r="X982" i="4"/>
  <c r="X986" i="4"/>
  <c r="X990" i="4"/>
  <c r="X994" i="4"/>
  <c r="X998" i="4"/>
  <c r="X1002" i="4"/>
  <c r="X1006" i="4"/>
  <c r="X1010" i="4"/>
  <c r="X1014" i="4"/>
  <c r="X1018" i="4"/>
  <c r="X1022" i="4"/>
  <c r="X1026" i="4"/>
  <c r="X1030" i="4"/>
  <c r="X1034" i="4"/>
  <c r="X1038" i="4"/>
  <c r="X1042" i="4"/>
  <c r="X1046" i="4"/>
  <c r="X1050" i="4"/>
  <c r="X1054" i="4"/>
  <c r="X1058" i="4"/>
  <c r="X1062" i="4"/>
  <c r="X1066" i="4"/>
  <c r="X1070" i="4"/>
  <c r="X1074" i="4"/>
  <c r="X1078" i="4"/>
  <c r="X1082" i="4"/>
  <c r="X1086" i="4"/>
  <c r="X1090" i="4"/>
  <c r="X1094" i="4"/>
  <c r="X1098" i="4"/>
  <c r="X1102" i="4"/>
  <c r="X1106" i="4"/>
  <c r="X1110" i="4"/>
  <c r="X1114" i="4"/>
  <c r="X1118" i="4"/>
  <c r="X1122" i="4"/>
  <c r="X1126" i="4"/>
  <c r="X1130" i="4"/>
  <c r="X1134" i="4"/>
  <c r="X1138" i="4"/>
  <c r="X1142" i="4"/>
  <c r="X1146" i="4"/>
  <c r="X1150" i="4"/>
  <c r="X1154" i="4"/>
  <c r="X1158" i="4"/>
  <c r="X1162" i="4"/>
  <c r="X1166" i="4"/>
  <c r="X1170" i="4"/>
  <c r="X1174" i="4"/>
  <c r="X1178" i="4"/>
  <c r="X1182" i="4"/>
  <c r="X1186" i="4"/>
  <c r="X1190" i="4"/>
  <c r="X1194" i="4"/>
  <c r="X1198" i="4"/>
  <c r="X1202" i="4"/>
  <c r="X1206" i="4"/>
  <c r="X1210" i="4"/>
  <c r="X1214" i="4"/>
  <c r="X1218" i="4"/>
  <c r="X1222" i="4"/>
  <c r="X1226" i="4"/>
  <c r="X1230" i="4"/>
  <c r="X1234" i="4"/>
  <c r="X1238" i="4"/>
  <c r="X1242" i="4"/>
  <c r="X1246" i="4"/>
  <c r="X1250" i="4"/>
  <c r="X1254" i="4"/>
  <c r="X1258" i="4"/>
  <c r="X1262" i="4"/>
  <c r="X1266" i="4"/>
  <c r="X1270" i="4"/>
  <c r="X1274" i="4"/>
  <c r="X1278" i="4"/>
  <c r="X1282" i="4"/>
  <c r="X1286" i="4"/>
  <c r="X1290" i="4"/>
  <c r="X1294" i="4"/>
  <c r="X1298" i="4"/>
  <c r="X1302" i="4"/>
  <c r="X1306" i="4"/>
  <c r="X1310" i="4"/>
  <c r="X1314" i="4"/>
  <c r="X1318" i="4"/>
  <c r="X1322" i="4"/>
  <c r="X1326" i="4"/>
  <c r="X1330" i="4"/>
  <c r="X1334" i="4"/>
  <c r="X1338" i="4"/>
  <c r="X1342" i="4"/>
  <c r="X1346" i="4"/>
  <c r="X1350" i="4"/>
  <c r="X1354" i="4"/>
  <c r="X1358" i="4"/>
  <c r="X1362" i="4"/>
  <c r="X1366" i="4"/>
  <c r="X1370" i="4"/>
  <c r="X1374" i="4"/>
  <c r="X1378" i="4"/>
  <c r="X1382" i="4"/>
  <c r="X1386" i="4"/>
  <c r="X1390" i="4"/>
  <c r="X1394" i="4"/>
  <c r="X1398" i="4"/>
  <c r="X1402" i="4"/>
  <c r="X1406" i="4"/>
  <c r="X1410" i="4"/>
  <c r="X1414" i="4"/>
  <c r="X1418" i="4"/>
  <c r="X1422" i="4"/>
  <c r="X1426" i="4"/>
  <c r="X1430" i="4"/>
  <c r="X1434" i="4"/>
  <c r="X1438" i="4"/>
  <c r="X1442" i="4"/>
  <c r="X1446" i="4"/>
  <c r="X1450" i="4"/>
  <c r="X1454" i="4"/>
  <c r="X1458" i="4"/>
  <c r="X1462" i="4"/>
  <c r="X1466" i="4"/>
  <c r="X1470" i="4"/>
  <c r="X1474" i="4"/>
  <c r="X1478" i="4"/>
  <c r="X1482" i="4"/>
  <c r="X1486" i="4"/>
  <c r="X1490" i="4"/>
  <c r="X1494" i="4"/>
  <c r="X1498" i="4"/>
  <c r="X1502" i="4"/>
  <c r="X1506" i="4"/>
  <c r="X1510" i="4"/>
  <c r="X1514" i="4"/>
  <c r="X1518" i="4"/>
  <c r="X1522" i="4"/>
  <c r="X1526" i="4"/>
  <c r="X1530" i="4"/>
  <c r="X1534" i="4"/>
  <c r="X1538" i="4"/>
  <c r="X1542" i="4"/>
  <c r="X1546" i="4"/>
  <c r="X1550" i="4"/>
  <c r="X1554" i="4"/>
  <c r="X1558" i="4"/>
  <c r="X1562" i="4"/>
  <c r="X1566" i="4"/>
  <c r="X1570" i="4"/>
  <c r="X1574" i="4"/>
  <c r="X1578" i="4"/>
  <c r="X1582" i="4"/>
  <c r="X1586" i="4"/>
  <c r="X1590" i="4"/>
  <c r="X1594" i="4"/>
  <c r="X1598" i="4"/>
  <c r="X1602" i="4"/>
  <c r="X1606" i="4"/>
  <c r="X1610" i="4"/>
  <c r="X1614" i="4"/>
  <c r="X1618" i="4"/>
  <c r="X1622" i="4"/>
  <c r="X1626" i="4"/>
  <c r="X1630" i="4"/>
  <c r="X1634" i="4"/>
  <c r="X1638" i="4"/>
  <c r="X1642" i="4"/>
  <c r="X1646" i="4"/>
  <c r="X1650" i="4"/>
  <c r="X1654" i="4"/>
  <c r="X1658" i="4"/>
  <c r="X1662" i="4"/>
  <c r="X1666" i="4"/>
  <c r="X1670" i="4"/>
  <c r="X1674" i="4"/>
  <c r="X1678" i="4"/>
  <c r="X1682" i="4"/>
  <c r="X1686" i="4"/>
  <c r="X1690" i="4"/>
  <c r="X1694" i="4"/>
  <c r="X1698" i="4"/>
  <c r="X1702" i="4"/>
  <c r="X1706" i="4"/>
  <c r="X1710" i="4"/>
  <c r="X1714" i="4"/>
  <c r="X1718" i="4"/>
  <c r="X1722" i="4"/>
  <c r="X1726" i="4"/>
  <c r="X1730" i="4"/>
  <c r="X1734" i="4"/>
  <c r="X1738" i="4"/>
  <c r="X1742" i="4"/>
  <c r="X1746" i="4"/>
  <c r="X1750" i="4"/>
  <c r="X1754" i="4"/>
  <c r="X1758" i="4"/>
  <c r="X1762" i="4"/>
  <c r="X1766" i="4"/>
  <c r="X1770" i="4"/>
  <c r="X1774" i="4"/>
  <c r="X1778" i="4"/>
  <c r="X1782" i="4"/>
  <c r="X761" i="4"/>
  <c r="X767" i="4"/>
  <c r="X772" i="4"/>
  <c r="X777" i="4"/>
  <c r="X784" i="4"/>
  <c r="X789" i="4"/>
  <c r="X794" i="4"/>
  <c r="X800" i="4"/>
  <c r="X805" i="4"/>
  <c r="X810" i="4"/>
  <c r="X816" i="4"/>
  <c r="X821" i="4"/>
  <c r="X826" i="4"/>
  <c r="X832" i="4"/>
  <c r="X837" i="4"/>
  <c r="X842" i="4"/>
  <c r="X848" i="4"/>
  <c r="X853" i="4"/>
  <c r="X858" i="4"/>
  <c r="X864" i="4"/>
  <c r="X869" i="4"/>
  <c r="X875" i="4"/>
  <c r="X881" i="4"/>
  <c r="X886" i="4"/>
  <c r="X891" i="4"/>
  <c r="X897" i="4"/>
  <c r="X902" i="4"/>
  <c r="X907" i="4"/>
  <c r="X913" i="4"/>
  <c r="X918" i="4"/>
  <c r="X923" i="4"/>
  <c r="X930" i="4"/>
  <c r="X935" i="4"/>
  <c r="X940" i="4"/>
  <c r="X947" i="4"/>
  <c r="X952" i="4"/>
  <c r="X957" i="4"/>
  <c r="X963" i="4"/>
  <c r="X968" i="4"/>
  <c r="X973" i="4"/>
  <c r="X979" i="4"/>
  <c r="X984" i="4"/>
  <c r="X989" i="4"/>
  <c r="X995" i="4"/>
  <c r="X1000" i="4"/>
  <c r="X1005" i="4"/>
  <c r="X1011" i="4"/>
  <c r="X1016" i="4"/>
  <c r="X1021" i="4"/>
  <c r="X1027" i="4"/>
  <c r="X1032" i="4"/>
  <c r="X1037" i="4"/>
  <c r="X1043" i="4"/>
  <c r="X1048" i="4"/>
  <c r="X1053" i="4"/>
  <c r="X1059" i="4"/>
  <c r="X1064" i="4"/>
  <c r="X1069" i="4"/>
  <c r="X1075" i="4"/>
  <c r="X1080" i="4"/>
  <c r="X1085" i="4"/>
  <c r="X1091" i="4"/>
  <c r="X768" i="4"/>
  <c r="X775" i="4"/>
  <c r="X781" i="4"/>
  <c r="X790" i="4"/>
  <c r="X797" i="4"/>
  <c r="X804" i="4"/>
  <c r="X812" i="4"/>
  <c r="X818" i="4"/>
  <c r="X825" i="4"/>
  <c r="X833" i="4"/>
  <c r="X840" i="4"/>
  <c r="X846" i="4"/>
  <c r="X854" i="4"/>
  <c r="X861" i="4"/>
  <c r="X868" i="4"/>
  <c r="X877" i="4"/>
  <c r="X883" i="4"/>
  <c r="X890" i="4"/>
  <c r="X898" i="4"/>
  <c r="X905" i="4"/>
  <c r="X911" i="4"/>
  <c r="X919" i="4"/>
  <c r="X926" i="4"/>
  <c r="X934" i="4"/>
  <c r="X943" i="4"/>
  <c r="X949" i="4"/>
  <c r="X956" i="4"/>
  <c r="X964" i="4"/>
  <c r="X971" i="4"/>
  <c r="X977" i="4"/>
  <c r="X985" i="4"/>
  <c r="X992" i="4"/>
  <c r="X999" i="4"/>
  <c r="X1007" i="4"/>
  <c r="X1013" i="4"/>
  <c r="X1020" i="4"/>
  <c r="X1028" i="4"/>
  <c r="X1035" i="4"/>
  <c r="X1041" i="4"/>
  <c r="X1049" i="4"/>
  <c r="X1056" i="4"/>
  <c r="X1063" i="4"/>
  <c r="X1071" i="4"/>
  <c r="X1077" i="4"/>
  <c r="X1084" i="4"/>
  <c r="X1092" i="4"/>
  <c r="X1097" i="4"/>
  <c r="X1103" i="4"/>
  <c r="X1108" i="4"/>
  <c r="X1113" i="4"/>
  <c r="X1119" i="4"/>
  <c r="X1124" i="4"/>
  <c r="X1129" i="4"/>
  <c r="X1135" i="4"/>
  <c r="X1140" i="4"/>
  <c r="X1145" i="4"/>
  <c r="X1151" i="4"/>
  <c r="X1156" i="4"/>
  <c r="X1161" i="4"/>
  <c r="X1167" i="4"/>
  <c r="X1172" i="4"/>
  <c r="X1177" i="4"/>
  <c r="X1183" i="4"/>
  <c r="X1188" i="4"/>
  <c r="X1193" i="4"/>
  <c r="X1199" i="4"/>
  <c r="X1204" i="4"/>
  <c r="X1209" i="4"/>
  <c r="X1215" i="4"/>
  <c r="X1220" i="4"/>
  <c r="X1225" i="4"/>
  <c r="X1231" i="4"/>
  <c r="X1236" i="4"/>
  <c r="X1241" i="4"/>
  <c r="X1247" i="4"/>
  <c r="X1252" i="4"/>
  <c r="X1257" i="4"/>
  <c r="X1263" i="4"/>
  <c r="X1268" i="4"/>
  <c r="X1273" i="4"/>
  <c r="X1279" i="4"/>
  <c r="X1284" i="4"/>
  <c r="X1289" i="4"/>
  <c r="X1295" i="4"/>
  <c r="X1300" i="4"/>
  <c r="X1305" i="4"/>
  <c r="X1311" i="4"/>
  <c r="X1316" i="4"/>
  <c r="X1321" i="4"/>
  <c r="X1327" i="4"/>
  <c r="X1332" i="4"/>
  <c r="X1337" i="4"/>
  <c r="X1343" i="4"/>
  <c r="X1348" i="4"/>
  <c r="X1353" i="4"/>
  <c r="X1359" i="4"/>
  <c r="X1364" i="4"/>
  <c r="X1369" i="4"/>
  <c r="X1375" i="4"/>
  <c r="X1380" i="4"/>
  <c r="X1385" i="4"/>
  <c r="X1391" i="4"/>
  <c r="X1396" i="4"/>
  <c r="X1401" i="4"/>
  <c r="X1407" i="4"/>
  <c r="X1412" i="4"/>
  <c r="X1417" i="4"/>
  <c r="X1423" i="4"/>
  <c r="X1428" i="4"/>
  <c r="X1433" i="4"/>
  <c r="X1439" i="4"/>
  <c r="X1444" i="4"/>
  <c r="X1449" i="4"/>
  <c r="X1455" i="4"/>
  <c r="X1460" i="4"/>
  <c r="X1465" i="4"/>
  <c r="X1471" i="4"/>
  <c r="X1476" i="4"/>
  <c r="X1481" i="4"/>
  <c r="X1487" i="4"/>
  <c r="X1492" i="4"/>
  <c r="X1497" i="4"/>
  <c r="X1503" i="4"/>
  <c r="X1508" i="4"/>
  <c r="X1513" i="4"/>
  <c r="X1519" i="4"/>
  <c r="X1524" i="4"/>
  <c r="X1529" i="4"/>
  <c r="X1535" i="4"/>
  <c r="X1540" i="4"/>
  <c r="X1545" i="4"/>
  <c r="X1551" i="4"/>
  <c r="X1556" i="4"/>
  <c r="X1561" i="4"/>
  <c r="X1567" i="4"/>
  <c r="X1572" i="4"/>
  <c r="X1577" i="4"/>
  <c r="X1583" i="4"/>
  <c r="X1588" i="4"/>
  <c r="X1593" i="4"/>
  <c r="X1599" i="4"/>
  <c r="X1604" i="4"/>
  <c r="X1609" i="4"/>
  <c r="X1615" i="4"/>
  <c r="X1620" i="4"/>
  <c r="X1625" i="4"/>
  <c r="X1631" i="4"/>
  <c r="X1636" i="4"/>
  <c r="X1641" i="4"/>
  <c r="X1647" i="4"/>
  <c r="X1652" i="4"/>
  <c r="X1657" i="4"/>
  <c r="X1663" i="4"/>
  <c r="X1668" i="4"/>
  <c r="X1673" i="4"/>
  <c r="X1679" i="4"/>
  <c r="X1684" i="4"/>
  <c r="X1689" i="4"/>
  <c r="X1695" i="4"/>
  <c r="X1700" i="4"/>
  <c r="X1705" i="4"/>
  <c r="X1711" i="4"/>
  <c r="X1716" i="4"/>
  <c r="X1721" i="4"/>
  <c r="X1727" i="4"/>
  <c r="X1732" i="4"/>
  <c r="X1737" i="4"/>
  <c r="X1743" i="4"/>
  <c r="X1748" i="4"/>
  <c r="X1753" i="4"/>
  <c r="X1759" i="4"/>
  <c r="X1764" i="4"/>
  <c r="X1769" i="4"/>
  <c r="X1775" i="4"/>
  <c r="X1780" i="4"/>
  <c r="X1785" i="4"/>
  <c r="X1789" i="4"/>
  <c r="X1793" i="4"/>
  <c r="X1797" i="4"/>
  <c r="X1801" i="4"/>
  <c r="X1805" i="4"/>
  <c r="X1809" i="4"/>
  <c r="X1813" i="4"/>
  <c r="X1817" i="4"/>
  <c r="X1821" i="4"/>
  <c r="X769" i="4"/>
  <c r="X785" i="4"/>
  <c r="X798" i="4"/>
  <c r="X813" i="4"/>
  <c r="X828" i="4"/>
  <c r="X841" i="4"/>
  <c r="X856" i="4"/>
  <c r="X870" i="4"/>
  <c r="X885" i="4"/>
  <c r="X899" i="4"/>
  <c r="X914" i="4"/>
  <c r="X936" i="4"/>
  <c r="X951" i="4"/>
  <c r="X965" i="4"/>
  <c r="X980" i="4"/>
  <c r="X993" i="4"/>
  <c r="X1008" i="4"/>
  <c r="X1023" i="4"/>
  <c r="X1036" i="4"/>
  <c r="X1051" i="4"/>
  <c r="X1065" i="4"/>
  <c r="X1079" i="4"/>
  <c r="X1093" i="4"/>
  <c r="X1104" i="4"/>
  <c r="X1115" i="4"/>
  <c r="X1125" i="4"/>
  <c r="X1136" i="4"/>
  <c r="X1147" i="4"/>
  <c r="X1157" i="4"/>
  <c r="X1168" i="4"/>
  <c r="X1179" i="4"/>
  <c r="X1189" i="4"/>
  <c r="X1200" i="4"/>
  <c r="X1211" i="4"/>
  <c r="X1221" i="4"/>
  <c r="X1232" i="4"/>
  <c r="X1243" i="4"/>
  <c r="X1253" i="4"/>
  <c r="X1264" i="4"/>
  <c r="X1275" i="4"/>
  <c r="X1285" i="4"/>
  <c r="X1296" i="4"/>
  <c r="X1307" i="4"/>
  <c r="X1317" i="4"/>
  <c r="X1328" i="4"/>
  <c r="X1339" i="4"/>
  <c r="X1349" i="4"/>
  <c r="X1360" i="4"/>
  <c r="X1371" i="4"/>
  <c r="X1381" i="4"/>
  <c r="X1392" i="4"/>
  <c r="X1403" i="4"/>
  <c r="X1413" i="4"/>
  <c r="X1424" i="4"/>
  <c r="X1435" i="4"/>
  <c r="X1445" i="4"/>
  <c r="X1456" i="4"/>
  <c r="X1467" i="4"/>
  <c r="X1477" i="4"/>
  <c r="X1488" i="4"/>
  <c r="X1499" i="4"/>
  <c r="X1509" i="4"/>
  <c r="X1525" i="4"/>
  <c r="X1536" i="4"/>
  <c r="X1547" i="4"/>
  <c r="X1557" i="4"/>
  <c r="X1568" i="4"/>
  <c r="X1579" i="4"/>
  <c r="X1589" i="4"/>
  <c r="X1600" i="4"/>
  <c r="X1611" i="4"/>
  <c r="X1621" i="4"/>
  <c r="X1632" i="4"/>
  <c r="X1643" i="4"/>
  <c r="X1653" i="4"/>
  <c r="X1664" i="4"/>
  <c r="X1675" i="4"/>
  <c r="X1685" i="4"/>
  <c r="X1696" i="4"/>
  <c r="X1707" i="4"/>
  <c r="X1717" i="4"/>
  <c r="X1728" i="4"/>
  <c r="X1744" i="4"/>
  <c r="X1755" i="4"/>
  <c r="X1765" i="4"/>
  <c r="X1776" i="4"/>
  <c r="X1786" i="4"/>
  <c r="X1794" i="4"/>
  <c r="X1802" i="4"/>
  <c r="X1810" i="4"/>
  <c r="X1818" i="4"/>
  <c r="X763" i="4"/>
  <c r="X776" i="4"/>
  <c r="X792" i="4"/>
  <c r="X806" i="4"/>
  <c r="X820" i="4"/>
  <c r="X834" i="4"/>
  <c r="X849" i="4"/>
  <c r="X862" i="4"/>
  <c r="X878" i="4"/>
  <c r="X893" i="4"/>
  <c r="X906" i="4"/>
  <c r="X921" i="4"/>
  <c r="X928" i="4"/>
  <c r="X944" i="4"/>
  <c r="X959" i="4"/>
  <c r="X972" i="4"/>
  <c r="X987" i="4"/>
  <c r="X1001" i="4"/>
  <c r="X1015" i="4"/>
  <c r="X1029" i="4"/>
  <c r="X1044" i="4"/>
  <c r="X1057" i="4"/>
  <c r="X1072" i="4"/>
  <c r="X1087" i="4"/>
  <c r="X1099" i="4"/>
  <c r="X1109" i="4"/>
  <c r="X1120" i="4"/>
  <c r="X1131" i="4"/>
  <c r="X1141" i="4"/>
  <c r="X1152" i="4"/>
  <c r="X1163" i="4"/>
  <c r="X1173" i="4"/>
  <c r="X1184" i="4"/>
  <c r="X1195" i="4"/>
  <c r="X1205" i="4"/>
  <c r="X1216" i="4"/>
  <c r="X1227" i="4"/>
  <c r="X1237" i="4"/>
  <c r="X1248" i="4"/>
  <c r="X1259" i="4"/>
  <c r="X1269" i="4"/>
  <c r="X1280" i="4"/>
  <c r="X1291" i="4"/>
  <c r="X1301" i="4"/>
  <c r="X1312" i="4"/>
  <c r="X1323" i="4"/>
  <c r="X1333" i="4"/>
  <c r="X1344" i="4"/>
  <c r="X1355" i="4"/>
  <c r="X1365" i="4"/>
  <c r="X1376" i="4"/>
  <c r="X1387" i="4"/>
  <c r="X1397" i="4"/>
  <c r="X1408" i="4"/>
  <c r="X1419" i="4"/>
  <c r="X1429" i="4"/>
  <c r="X1440" i="4"/>
  <c r="X1451" i="4"/>
  <c r="X1461" i="4"/>
  <c r="X1472" i="4"/>
  <c r="X1483" i="4"/>
  <c r="X1493" i="4"/>
  <c r="X1504" i="4"/>
  <c r="X1515" i="4"/>
  <c r="X1520" i="4"/>
  <c r="X1531" i="4"/>
  <c r="X1541" i="4"/>
  <c r="X1552" i="4"/>
  <c r="X1563" i="4"/>
  <c r="X1573" i="4"/>
  <c r="X1584" i="4"/>
  <c r="X1595" i="4"/>
  <c r="X1605" i="4"/>
  <c r="X1616" i="4"/>
  <c r="X1627" i="4"/>
  <c r="X1637" i="4"/>
  <c r="X1648" i="4"/>
  <c r="X1659" i="4"/>
  <c r="X1669" i="4"/>
  <c r="X1680" i="4"/>
  <c r="X1691" i="4"/>
  <c r="X1701" i="4"/>
  <c r="X1712" i="4"/>
  <c r="X1723" i="4"/>
  <c r="X1733" i="4"/>
  <c r="X1739" i="4"/>
  <c r="X1749" i="4"/>
  <c r="X1760" i="4"/>
  <c r="X1771" i="4"/>
  <c r="X1781" i="4"/>
  <c r="X1790" i="4"/>
  <c r="X1798" i="4"/>
  <c r="X1806" i="4"/>
  <c r="X1814" i="4"/>
  <c r="X1822" i="4"/>
  <c r="X771" i="4"/>
  <c r="X786" i="4"/>
  <c r="X801" i="4"/>
  <c r="X814" i="4"/>
  <c r="X829" i="4"/>
  <c r="X844" i="4"/>
  <c r="X857" i="4"/>
  <c r="X872" i="4"/>
  <c r="X887" i="4"/>
  <c r="X901" i="4"/>
  <c r="X915" i="4"/>
  <c r="X931" i="4"/>
  <c r="X945" i="4"/>
  <c r="X960" i="4"/>
  <c r="X975" i="4"/>
  <c r="X988" i="4"/>
  <c r="X1003" i="4"/>
  <c r="X1017" i="4"/>
  <c r="X1031" i="4"/>
  <c r="X1045" i="4"/>
  <c r="X1060" i="4"/>
  <c r="X1073" i="4"/>
  <c r="X1088" i="4"/>
  <c r="X1100" i="4"/>
  <c r="X1111" i="4"/>
  <c r="X1121" i="4"/>
  <c r="X1132" i="4"/>
  <c r="X1143" i="4"/>
  <c r="X1153" i="4"/>
  <c r="X1164" i="4"/>
  <c r="X1175" i="4"/>
  <c r="X1185" i="4"/>
  <c r="X1196" i="4"/>
  <c r="X1207" i="4"/>
  <c r="X1217" i="4"/>
  <c r="X1228" i="4"/>
  <c r="X1239" i="4"/>
  <c r="X1249" i="4"/>
  <c r="X1260" i="4"/>
  <c r="X1271" i="4"/>
  <c r="X1281" i="4"/>
  <c r="X1292" i="4"/>
  <c r="X1303" i="4"/>
  <c r="X1313" i="4"/>
  <c r="X1324" i="4"/>
  <c r="X1335" i="4"/>
  <c r="X1345" i="4"/>
  <c r="X1356" i="4"/>
  <c r="X1367" i="4"/>
  <c r="X1377" i="4"/>
  <c r="X1388" i="4"/>
  <c r="X1399" i="4"/>
  <c r="X1409" i="4"/>
  <c r="X1420" i="4"/>
  <c r="X1431" i="4"/>
  <c r="X1441" i="4"/>
  <c r="X1452" i="4"/>
  <c r="X1463" i="4"/>
  <c r="X1473" i="4"/>
  <c r="X1484" i="4"/>
  <c r="X1495" i="4"/>
  <c r="X1505" i="4"/>
  <c r="X1516" i="4"/>
  <c r="X1527" i="4"/>
  <c r="X1537" i="4"/>
  <c r="X1548" i="4"/>
  <c r="X1559" i="4"/>
  <c r="X1569" i="4"/>
  <c r="X1580" i="4"/>
  <c r="X1591" i="4"/>
  <c r="X1601" i="4"/>
  <c r="X1612" i="4"/>
  <c r="X1623" i="4"/>
  <c r="X1633" i="4"/>
  <c r="X1644" i="4"/>
  <c r="X1655" i="4"/>
  <c r="X1665" i="4"/>
  <c r="X1676" i="4"/>
  <c r="X1687" i="4"/>
  <c r="X1697" i="4"/>
  <c r="X1708" i="4"/>
  <c r="X1719" i="4"/>
  <c r="X1729" i="4"/>
  <c r="X1740" i="4"/>
  <c r="X1751" i="4"/>
  <c r="X1761" i="4"/>
  <c r="X1772" i="4"/>
  <c r="X1783" i="4"/>
  <c r="X1791" i="4"/>
  <c r="X1799" i="4"/>
  <c r="X1807" i="4"/>
  <c r="X1815" i="4"/>
  <c r="X1823" i="4"/>
  <c r="X773" i="4"/>
  <c r="X788" i="4"/>
  <c r="X802" i="4"/>
  <c r="X817" i="4"/>
  <c r="X830" i="4"/>
  <c r="X845" i="4"/>
  <c r="X860" i="4"/>
  <c r="X873" i="4"/>
  <c r="X889" i="4"/>
  <c r="X903" i="4"/>
  <c r="X917" i="4"/>
  <c r="X932" i="4"/>
  <c r="X948" i="4"/>
  <c r="X961" i="4"/>
  <c r="X976" i="4"/>
  <c r="X991" i="4"/>
  <c r="X1004" i="4"/>
  <c r="X1019" i="4"/>
  <c r="X1033" i="4"/>
  <c r="X1047" i="4"/>
  <c r="X1061" i="4"/>
  <c r="X1076" i="4"/>
  <c r="X1089" i="4"/>
  <c r="X1101" i="4"/>
  <c r="X1112" i="4"/>
  <c r="X1123" i="4"/>
  <c r="X1133" i="4"/>
  <c r="X1144" i="4"/>
  <c r="X1155" i="4"/>
  <c r="X1165" i="4"/>
  <c r="X1176" i="4"/>
  <c r="X1187" i="4"/>
  <c r="X1197" i="4"/>
  <c r="X1208" i="4"/>
  <c r="X1219" i="4"/>
  <c r="X1229" i="4"/>
  <c r="X1240" i="4"/>
  <c r="X1251" i="4"/>
  <c r="X1261" i="4"/>
  <c r="X1272" i="4"/>
  <c r="X1283" i="4"/>
  <c r="X1293" i="4"/>
  <c r="X1304" i="4"/>
  <c r="X1315" i="4"/>
  <c r="X1325" i="4"/>
  <c r="X1336" i="4"/>
  <c r="X1347" i="4"/>
  <c r="X1357" i="4"/>
  <c r="X1368" i="4"/>
  <c r="X1379" i="4"/>
  <c r="X1389" i="4"/>
  <c r="X1400" i="4"/>
  <c r="X1411" i="4"/>
  <c r="X1421" i="4"/>
  <c r="X1432" i="4"/>
  <c r="X1443" i="4"/>
  <c r="X1453" i="4"/>
  <c r="X1464" i="4"/>
  <c r="X1475" i="4"/>
  <c r="X1485" i="4"/>
  <c r="X1496" i="4"/>
  <c r="X1507" i="4"/>
  <c r="X1517" i="4"/>
  <c r="X1528" i="4"/>
  <c r="X1539" i="4"/>
  <c r="X1549" i="4"/>
  <c r="X1560" i="4"/>
  <c r="X1571" i="4"/>
  <c r="X1581" i="4"/>
  <c r="X1592" i="4"/>
  <c r="X1603" i="4"/>
  <c r="X1613" i="4"/>
  <c r="X1624" i="4"/>
  <c r="X1635" i="4"/>
  <c r="X1645" i="4"/>
  <c r="X1656" i="4"/>
  <c r="X1667" i="4"/>
  <c r="X1677" i="4"/>
  <c r="X1688" i="4"/>
  <c r="X1699" i="4"/>
  <c r="X1709" i="4"/>
  <c r="X1720" i="4"/>
  <c r="X1731" i="4"/>
  <c r="X1741" i="4"/>
  <c r="X1752" i="4"/>
  <c r="X1763" i="4"/>
  <c r="X1773" i="4"/>
  <c r="X1784" i="4"/>
  <c r="X1792" i="4"/>
  <c r="X1800" i="4"/>
  <c r="X1808" i="4"/>
  <c r="X1816" i="4"/>
  <c r="X764" i="4"/>
  <c r="X779" i="4"/>
  <c r="X793" i="4"/>
  <c r="X808" i="4"/>
  <c r="X822" i="4"/>
  <c r="X836" i="4"/>
  <c r="X850" i="4"/>
  <c r="X865" i="4"/>
  <c r="X879" i="4"/>
  <c r="X894" i="4"/>
  <c r="X909" i="4"/>
  <c r="X922" i="4"/>
  <c r="X938" i="4"/>
  <c r="X953" i="4"/>
  <c r="X967" i="4"/>
  <c r="X981" i="4"/>
  <c r="X996" i="4"/>
  <c r="X1009" i="4"/>
  <c r="X1024" i="4"/>
  <c r="X1039" i="4"/>
  <c r="X1052" i="4"/>
  <c r="X1067" i="4"/>
  <c r="X1081" i="4"/>
  <c r="X1095" i="4"/>
  <c r="X1105" i="4"/>
  <c r="X1116" i="4"/>
  <c r="X1127" i="4"/>
  <c r="X1137" i="4"/>
  <c r="X1148" i="4"/>
  <c r="X1159" i="4"/>
  <c r="X1169" i="4"/>
  <c r="X1180" i="4"/>
  <c r="X1191" i="4"/>
  <c r="X1201" i="4"/>
  <c r="X1212" i="4"/>
  <c r="X1223" i="4"/>
  <c r="X1233" i="4"/>
  <c r="X1244" i="4"/>
  <c r="X1255" i="4"/>
  <c r="X1265" i="4"/>
  <c r="X1276" i="4"/>
  <c r="X1287" i="4"/>
  <c r="X1297" i="4"/>
  <c r="X1308" i="4"/>
  <c r="X1319" i="4"/>
  <c r="X1329" i="4"/>
  <c r="X1340" i="4"/>
  <c r="X1351" i="4"/>
  <c r="X1361" i="4"/>
  <c r="X1372" i="4"/>
  <c r="X1383" i="4"/>
  <c r="X1393" i="4"/>
  <c r="X1404" i="4"/>
  <c r="X1415" i="4"/>
  <c r="X1425" i="4"/>
  <c r="X1436" i="4"/>
  <c r="X1447" i="4"/>
  <c r="X1457" i="4"/>
  <c r="X1468" i="4"/>
  <c r="X1479" i="4"/>
  <c r="X1489" i="4"/>
  <c r="X1500" i="4"/>
  <c r="X1511" i="4"/>
  <c r="X1521" i="4"/>
  <c r="X1532" i="4"/>
  <c r="X1543" i="4"/>
  <c r="X1553" i="4"/>
  <c r="X1564" i="4"/>
  <c r="X1575" i="4"/>
  <c r="X1585" i="4"/>
  <c r="X1596" i="4"/>
  <c r="X1607" i="4"/>
  <c r="X1617" i="4"/>
  <c r="X1628" i="4"/>
  <c r="X1639" i="4"/>
  <c r="X1649" i="4"/>
  <c r="X1660" i="4"/>
  <c r="X1671" i="4"/>
  <c r="X1681" i="4"/>
  <c r="X1692" i="4"/>
  <c r="X1703" i="4"/>
  <c r="X1713" i="4"/>
  <c r="X1724" i="4"/>
  <c r="X1735" i="4"/>
  <c r="X1745" i="4"/>
  <c r="X1756" i="4"/>
  <c r="X1767" i="4"/>
  <c r="X1777" i="4"/>
  <c r="X1787" i="4"/>
  <c r="X1795" i="4"/>
  <c r="X1803" i="4"/>
  <c r="X1811" i="4"/>
  <c r="X1819" i="4"/>
  <c r="X765" i="4"/>
  <c r="X780" i="4"/>
  <c r="X796" i="4"/>
  <c r="X809" i="4"/>
  <c r="X824" i="4"/>
  <c r="X838" i="4"/>
  <c r="X852" i="4"/>
  <c r="X866" i="4"/>
  <c r="X882" i="4"/>
  <c r="X895" i="4"/>
  <c r="X910" i="4"/>
  <c r="X925" i="4"/>
  <c r="X939" i="4"/>
  <c r="X955" i="4"/>
  <c r="X969" i="4"/>
  <c r="X983" i="4"/>
  <c r="X997" i="4"/>
  <c r="X1012" i="4"/>
  <c r="X1025" i="4"/>
  <c r="X1040" i="4"/>
  <c r="X1055" i="4"/>
  <c r="X1068" i="4"/>
  <c r="X1083" i="4"/>
  <c r="X1096" i="4"/>
  <c r="X1107" i="4"/>
  <c r="X1117" i="4"/>
  <c r="X1128" i="4"/>
  <c r="X1139" i="4"/>
  <c r="X1149" i="4"/>
  <c r="X1160" i="4"/>
  <c r="X1171" i="4"/>
  <c r="X1181" i="4"/>
  <c r="X1192" i="4"/>
  <c r="X1203" i="4"/>
  <c r="X1213" i="4"/>
  <c r="X1224" i="4"/>
  <c r="X1235" i="4"/>
  <c r="X1245" i="4"/>
  <c r="X1256" i="4"/>
  <c r="X1267" i="4"/>
  <c r="X1277" i="4"/>
  <c r="X1288" i="4"/>
  <c r="X1299" i="4"/>
  <c r="X1309" i="4"/>
  <c r="X1320" i="4"/>
  <c r="X1331" i="4"/>
  <c r="X1341" i="4"/>
  <c r="X1352" i="4"/>
  <c r="X1363" i="4"/>
  <c r="X1373" i="4"/>
  <c r="X1384" i="4"/>
  <c r="X1395" i="4"/>
  <c r="X1405" i="4"/>
  <c r="X1416" i="4"/>
  <c r="X1427" i="4"/>
  <c r="X1437" i="4"/>
  <c r="X1448" i="4"/>
  <c r="X1459" i="4"/>
  <c r="X1469" i="4"/>
  <c r="X1480" i="4"/>
  <c r="X1491" i="4"/>
  <c r="X1501" i="4"/>
  <c r="X1512" i="4"/>
  <c r="X1523" i="4"/>
  <c r="X1533" i="4"/>
  <c r="X1544" i="4"/>
  <c r="X1555" i="4"/>
  <c r="X1565" i="4"/>
  <c r="X1576" i="4"/>
  <c r="X1587" i="4"/>
  <c r="X1597" i="4"/>
  <c r="X1608" i="4"/>
  <c r="X1619" i="4"/>
  <c r="X1629" i="4"/>
  <c r="X1640" i="4"/>
  <c r="X1651" i="4"/>
  <c r="X1661" i="4"/>
  <c r="X1672" i="4"/>
  <c r="X1683" i="4"/>
  <c r="X1693" i="4"/>
  <c r="X1704" i="4"/>
  <c r="X1715" i="4"/>
  <c r="X1725" i="4"/>
  <c r="X1736" i="4"/>
  <c r="X1747" i="4"/>
  <c r="X1757" i="4"/>
  <c r="X1768" i="4"/>
  <c r="X1779" i="4"/>
  <c r="X1788" i="4"/>
  <c r="X1796" i="4"/>
  <c r="X1804" i="4"/>
  <c r="X1812" i="4"/>
  <c r="X1820" i="4"/>
  <c r="X927" i="4"/>
  <c r="X942" i="4"/>
  <c r="X874" i="4"/>
  <c r="W1840" i="4"/>
  <c r="M1840" i="4" s="1"/>
  <c r="N1840" i="4" s="1"/>
  <c r="W1845" i="4"/>
  <c r="M1845" i="4" s="1"/>
  <c r="N1845" i="4" s="1"/>
  <c r="W1841" i="4"/>
  <c r="M1841" i="4" s="1"/>
  <c r="N1841" i="4" s="1"/>
  <c r="W1847" i="4"/>
  <c r="M1847" i="4" s="1"/>
  <c r="N1847" i="4" s="1"/>
  <c r="W1843" i="4"/>
  <c r="W1848" i="4"/>
  <c r="M1848" i="4" s="1"/>
  <c r="N1848" i="4" s="1"/>
  <c r="W1839" i="4"/>
  <c r="M1839" i="4" s="1"/>
  <c r="N1839" i="4" s="1"/>
  <c r="W1844" i="4"/>
  <c r="M1844" i="4" s="1"/>
  <c r="N1844" i="4" s="1"/>
  <c r="W1828" i="4"/>
  <c r="M1828" i="4" s="1"/>
  <c r="N1828" i="4" s="1"/>
  <c r="W1834" i="4"/>
  <c r="M1834" i="4" s="1"/>
  <c r="N1834" i="4" s="1"/>
  <c r="W1827" i="4"/>
  <c r="M1827" i="4" s="1"/>
  <c r="N1827" i="4" s="1"/>
  <c r="W1846" i="4"/>
  <c r="M1846" i="4" s="1"/>
  <c r="N1846" i="4" s="1"/>
  <c r="W1830" i="4"/>
  <c r="X1830" i="4" s="1"/>
  <c r="W1835" i="4"/>
  <c r="M1835" i="4" s="1"/>
  <c r="N1835" i="4" s="1"/>
  <c r="W1832" i="4"/>
  <c r="M1832" i="4" s="1"/>
  <c r="N1832" i="4" s="1"/>
  <c r="W1842" i="4"/>
  <c r="W1826" i="4"/>
  <c r="M1826" i="4" s="1"/>
  <c r="N1826" i="4" s="1"/>
  <c r="W1831" i="4"/>
  <c r="M1831" i="4" s="1"/>
  <c r="N1831" i="4" s="1"/>
  <c r="W1838" i="4"/>
  <c r="W1829" i="4"/>
  <c r="M1829" i="4" s="1"/>
  <c r="N1829" i="4" s="1"/>
  <c r="W1836" i="4"/>
  <c r="M1836" i="4" s="1"/>
  <c r="N1836" i="4" s="1"/>
  <c r="W1837" i="4"/>
  <c r="M1837" i="4" s="1"/>
  <c r="N1837" i="4" s="1"/>
  <c r="W1833" i="4"/>
  <c r="M1833" i="4" s="1"/>
  <c r="N1833" i="4" s="1"/>
  <c r="W1824" i="4"/>
  <c r="M1824" i="4" s="1"/>
  <c r="N1824" i="4" s="1"/>
  <c r="W1825" i="4"/>
  <c r="M1825" i="4" s="1"/>
  <c r="N1825" i="4" s="1"/>
  <c r="W782" i="4"/>
  <c r="W761" i="4"/>
  <c r="M761" i="4" s="1"/>
  <c r="N761" i="4" s="1"/>
  <c r="W765" i="4"/>
  <c r="M765" i="4" s="1"/>
  <c r="N765" i="4" s="1"/>
  <c r="W769" i="4"/>
  <c r="M769" i="4" s="1"/>
  <c r="N769" i="4" s="1"/>
  <c r="W773" i="4"/>
  <c r="M773" i="4" s="1"/>
  <c r="N773" i="4" s="1"/>
  <c r="W763" i="4"/>
  <c r="M763" i="4" s="1"/>
  <c r="N763" i="4" s="1"/>
  <c r="W768" i="4"/>
  <c r="W774" i="4"/>
  <c r="M774" i="4" s="1"/>
  <c r="N774" i="4" s="1"/>
  <c r="W778" i="4"/>
  <c r="M778" i="4" s="1"/>
  <c r="W783" i="4"/>
  <c r="M783" i="4" s="1"/>
  <c r="N783" i="4" s="1"/>
  <c r="W787" i="4"/>
  <c r="W791" i="4"/>
  <c r="M791" i="4" s="1"/>
  <c r="N791" i="4" s="1"/>
  <c r="W795" i="4"/>
  <c r="M795" i="4" s="1"/>
  <c r="N795" i="4" s="1"/>
  <c r="W799" i="4"/>
  <c r="W803" i="4"/>
  <c r="M803" i="4" s="1"/>
  <c r="N803" i="4" s="1"/>
  <c r="W807" i="4"/>
  <c r="M807" i="4" s="1"/>
  <c r="W811" i="4"/>
  <c r="W815" i="4"/>
  <c r="M815" i="4" s="1"/>
  <c r="N815" i="4" s="1"/>
  <c r="W819" i="4"/>
  <c r="W823" i="4"/>
  <c r="M823" i="4" s="1"/>
  <c r="N823" i="4" s="1"/>
  <c r="W827" i="4"/>
  <c r="W831" i="4"/>
  <c r="M831" i="4" s="1"/>
  <c r="N831" i="4" s="1"/>
  <c r="W835" i="4"/>
  <c r="W839" i="4"/>
  <c r="W843" i="4"/>
  <c r="W847" i="4"/>
  <c r="W851" i="4"/>
  <c r="M851" i="4" s="1"/>
  <c r="W855" i="4"/>
  <c r="M855" i="4" s="1"/>
  <c r="N855" i="4" s="1"/>
  <c r="W859" i="4"/>
  <c r="W863" i="4"/>
  <c r="M863" i="4" s="1"/>
  <c r="N863" i="4" s="1"/>
  <c r="W867" i="4"/>
  <c r="M867" i="4" s="1"/>
  <c r="N867" i="4" s="1"/>
  <c r="W871" i="4"/>
  <c r="W876" i="4"/>
  <c r="M876" i="4" s="1"/>
  <c r="N876" i="4" s="1"/>
  <c r="W880" i="4"/>
  <c r="M880" i="4" s="1"/>
  <c r="N880" i="4" s="1"/>
  <c r="W884" i="4"/>
  <c r="M884" i="4" s="1"/>
  <c r="N884" i="4" s="1"/>
  <c r="W888" i="4"/>
  <c r="M888" i="4" s="1"/>
  <c r="N888" i="4" s="1"/>
  <c r="W892" i="4"/>
  <c r="M892" i="4" s="1"/>
  <c r="N892" i="4" s="1"/>
  <c r="W896" i="4"/>
  <c r="M896" i="4" s="1"/>
  <c r="N896" i="4" s="1"/>
  <c r="W900" i="4"/>
  <c r="M900" i="4" s="1"/>
  <c r="N900" i="4" s="1"/>
  <c r="W904" i="4"/>
  <c r="M904" i="4" s="1"/>
  <c r="N904" i="4" s="1"/>
  <c r="W908" i="4"/>
  <c r="M908" i="4" s="1"/>
  <c r="N908" i="4" s="1"/>
  <c r="W912" i="4"/>
  <c r="M912" i="4" s="1"/>
  <c r="N912" i="4" s="1"/>
  <c r="W916" i="4"/>
  <c r="M916" i="4" s="1"/>
  <c r="N916" i="4" s="1"/>
  <c r="W920" i="4"/>
  <c r="M920" i="4" s="1"/>
  <c r="N920" i="4" s="1"/>
  <c r="W924" i="4"/>
  <c r="M924" i="4" s="1"/>
  <c r="N924" i="4" s="1"/>
  <c r="W929" i="4"/>
  <c r="W933" i="4"/>
  <c r="W937" i="4"/>
  <c r="W941" i="4"/>
  <c r="M941" i="4" s="1"/>
  <c r="N941" i="4" s="1"/>
  <c r="W946" i="4"/>
  <c r="W950" i="4"/>
  <c r="W954" i="4"/>
  <c r="W958" i="4"/>
  <c r="M958" i="4" s="1"/>
  <c r="N958" i="4" s="1"/>
  <c r="W962" i="4"/>
  <c r="M962" i="4" s="1"/>
  <c r="N962" i="4" s="1"/>
  <c r="W966" i="4"/>
  <c r="M966" i="4" s="1"/>
  <c r="N966" i="4" s="1"/>
  <c r="W970" i="4"/>
  <c r="W974" i="4"/>
  <c r="W978" i="4"/>
  <c r="W982" i="4"/>
  <c r="W986" i="4"/>
  <c r="M986" i="4" s="1"/>
  <c r="N986" i="4" s="1"/>
  <c r="W990" i="4"/>
  <c r="M990" i="4" s="1"/>
  <c r="N990" i="4" s="1"/>
  <c r="W994" i="4"/>
  <c r="M994" i="4" s="1"/>
  <c r="N994" i="4" s="1"/>
  <c r="W998" i="4"/>
  <c r="M998" i="4" s="1"/>
  <c r="N998" i="4" s="1"/>
  <c r="W1002" i="4"/>
  <c r="M1002" i="4" s="1"/>
  <c r="N1002" i="4" s="1"/>
  <c r="W1006" i="4"/>
  <c r="W1010" i="4"/>
  <c r="M1010" i="4" s="1"/>
  <c r="N1010" i="4" s="1"/>
  <c r="W1014" i="4"/>
  <c r="M1014" i="4" s="1"/>
  <c r="N1014" i="4" s="1"/>
  <c r="W1018" i="4"/>
  <c r="M1018" i="4" s="1"/>
  <c r="N1018" i="4" s="1"/>
  <c r="W1022" i="4"/>
  <c r="W1026" i="4"/>
  <c r="M1026" i="4" s="1"/>
  <c r="N1026" i="4" s="1"/>
  <c r="W1030" i="4"/>
  <c r="M1030" i="4" s="1"/>
  <c r="N1030" i="4" s="1"/>
  <c r="W1034" i="4"/>
  <c r="W1038" i="4"/>
  <c r="W1042" i="4"/>
  <c r="W1046" i="4"/>
  <c r="W1050" i="4"/>
  <c r="M1050" i="4" s="1"/>
  <c r="N1050" i="4" s="1"/>
  <c r="W1054" i="4"/>
  <c r="W1058" i="4"/>
  <c r="M1058" i="4" s="1"/>
  <c r="N1058" i="4" s="1"/>
  <c r="W1062" i="4"/>
  <c r="M1062" i="4" s="1"/>
  <c r="N1062" i="4" s="1"/>
  <c r="W1066" i="4"/>
  <c r="W1070" i="4"/>
  <c r="M1070" i="4" s="1"/>
  <c r="W1074" i="4"/>
  <c r="W1078" i="4"/>
  <c r="W1082" i="4"/>
  <c r="M1082" i="4" s="1"/>
  <c r="N1082" i="4" s="1"/>
  <c r="W1086" i="4"/>
  <c r="M1086" i="4" s="1"/>
  <c r="N1086" i="4" s="1"/>
  <c r="W1090" i="4"/>
  <c r="W1094" i="4"/>
  <c r="W1098" i="4"/>
  <c r="W1102" i="4"/>
  <c r="W1106" i="4"/>
  <c r="M1106" i="4" s="1"/>
  <c r="N1106" i="4" s="1"/>
  <c r="W1110" i="4"/>
  <c r="M1110" i="4" s="1"/>
  <c r="N1110" i="4" s="1"/>
  <c r="W1114" i="4"/>
  <c r="M1114" i="4" s="1"/>
  <c r="N1114" i="4" s="1"/>
  <c r="W1118" i="4"/>
  <c r="M1118" i="4" s="1"/>
  <c r="N1118" i="4" s="1"/>
  <c r="W1122" i="4"/>
  <c r="W1126" i="4"/>
  <c r="W1130" i="4"/>
  <c r="M1130" i="4" s="1"/>
  <c r="N1130" i="4" s="1"/>
  <c r="W1134" i="4"/>
  <c r="M1134" i="4" s="1"/>
  <c r="N1134" i="4" s="1"/>
  <c r="W762" i="4"/>
  <c r="M762" i="4" s="1"/>
  <c r="N762" i="4" s="1"/>
  <c r="W770" i="4"/>
  <c r="M770" i="4" s="1"/>
  <c r="W776" i="4"/>
  <c r="W781" i="4"/>
  <c r="M781" i="4" s="1"/>
  <c r="N781" i="4" s="1"/>
  <c r="W788" i="4"/>
  <c r="M788" i="4" s="1"/>
  <c r="N788" i="4" s="1"/>
  <c r="W793" i="4"/>
  <c r="W798" i="4"/>
  <c r="W804" i="4"/>
  <c r="M804" i="4" s="1"/>
  <c r="N804" i="4" s="1"/>
  <c r="W809" i="4"/>
  <c r="W814" i="4"/>
  <c r="M814" i="4" s="1"/>
  <c r="N814" i="4" s="1"/>
  <c r="W820" i="4"/>
  <c r="M820" i="4" s="1"/>
  <c r="N820" i="4" s="1"/>
  <c r="W825" i="4"/>
  <c r="W830" i="4"/>
  <c r="M830" i="4" s="1"/>
  <c r="N830" i="4" s="1"/>
  <c r="W836" i="4"/>
  <c r="M836" i="4" s="1"/>
  <c r="N836" i="4" s="1"/>
  <c r="W841" i="4"/>
  <c r="W846" i="4"/>
  <c r="W852" i="4"/>
  <c r="M852" i="4" s="1"/>
  <c r="W857" i="4"/>
  <c r="W862" i="4"/>
  <c r="M862" i="4" s="1"/>
  <c r="N862" i="4" s="1"/>
  <c r="W868" i="4"/>
  <c r="M868" i="4" s="1"/>
  <c r="N868" i="4" s="1"/>
  <c r="W873" i="4"/>
  <c r="W879" i="4"/>
  <c r="M879" i="4" s="1"/>
  <c r="W885" i="4"/>
  <c r="W890" i="4"/>
  <c r="W895" i="4"/>
  <c r="W901" i="4"/>
  <c r="W906" i="4"/>
  <c r="M906" i="4" s="1"/>
  <c r="N906" i="4" s="1"/>
  <c r="W911" i="4"/>
  <c r="M911" i="4" s="1"/>
  <c r="N911" i="4" s="1"/>
  <c r="W917" i="4"/>
  <c r="W922" i="4"/>
  <c r="M922" i="4" s="1"/>
  <c r="N922" i="4" s="1"/>
  <c r="W928" i="4"/>
  <c r="W934" i="4"/>
  <c r="M934" i="4" s="1"/>
  <c r="N934" i="4" s="1"/>
  <c r="W939" i="4"/>
  <c r="W945" i="4"/>
  <c r="W951" i="4"/>
  <c r="W956" i="4"/>
  <c r="M956" i="4" s="1"/>
  <c r="N956" i="4" s="1"/>
  <c r="W961" i="4"/>
  <c r="W967" i="4"/>
  <c r="W972" i="4"/>
  <c r="M972" i="4" s="1"/>
  <c r="N972" i="4" s="1"/>
  <c r="W977" i="4"/>
  <c r="W983" i="4"/>
  <c r="M983" i="4" s="1"/>
  <c r="W988" i="4"/>
  <c r="M988" i="4" s="1"/>
  <c r="N988" i="4" s="1"/>
  <c r="W993" i="4"/>
  <c r="W999" i="4"/>
  <c r="M999" i="4" s="1"/>
  <c r="N999" i="4" s="1"/>
  <c r="W1004" i="4"/>
  <c r="M1004" i="4" s="1"/>
  <c r="N1004" i="4" s="1"/>
  <c r="W1009" i="4"/>
  <c r="W1015" i="4"/>
  <c r="M1015" i="4" s="1"/>
  <c r="N1015" i="4" s="1"/>
  <c r="W1020" i="4"/>
  <c r="M1020" i="4" s="1"/>
  <c r="N1020" i="4" s="1"/>
  <c r="W1025" i="4"/>
  <c r="W1031" i="4"/>
  <c r="M1031" i="4" s="1"/>
  <c r="N1031" i="4" s="1"/>
  <c r="W1036" i="4"/>
  <c r="M1036" i="4" s="1"/>
  <c r="N1036" i="4" s="1"/>
  <c r="W1041" i="4"/>
  <c r="W1047" i="4"/>
  <c r="M1047" i="4" s="1"/>
  <c r="N1047" i="4" s="1"/>
  <c r="W1052" i="4"/>
  <c r="M1052" i="4" s="1"/>
  <c r="N1052" i="4" s="1"/>
  <c r="W1057" i="4"/>
  <c r="W1063" i="4"/>
  <c r="W1068" i="4"/>
  <c r="M1068" i="4" s="1"/>
  <c r="N1068" i="4" s="1"/>
  <c r="W1073" i="4"/>
  <c r="W1079" i="4"/>
  <c r="M1079" i="4" s="1"/>
  <c r="N1079" i="4" s="1"/>
  <c r="W1084" i="4"/>
  <c r="M1084" i="4" s="1"/>
  <c r="N1084" i="4" s="1"/>
  <c r="W1089" i="4"/>
  <c r="W1095" i="4"/>
  <c r="W1100" i="4"/>
  <c r="M1100" i="4" s="1"/>
  <c r="N1100" i="4" s="1"/>
  <c r="W1105" i="4"/>
  <c r="W1111" i="4"/>
  <c r="M1111" i="4" s="1"/>
  <c r="N1111" i="4" s="1"/>
  <c r="W1116" i="4"/>
  <c r="M1116" i="4" s="1"/>
  <c r="N1116" i="4" s="1"/>
  <c r="W1121" i="4"/>
  <c r="W1127" i="4"/>
  <c r="W1132" i="4"/>
  <c r="M1132" i="4" s="1"/>
  <c r="N1132" i="4" s="1"/>
  <c r="W1137" i="4"/>
  <c r="W1141" i="4"/>
  <c r="W1145" i="4"/>
  <c r="W1149" i="4"/>
  <c r="W1153" i="4"/>
  <c r="W1157" i="4"/>
  <c r="W1161" i="4"/>
  <c r="W1165" i="4"/>
  <c r="W1169" i="4"/>
  <c r="W1173" i="4"/>
  <c r="W1177" i="4"/>
  <c r="W1181" i="4"/>
  <c r="W1185" i="4"/>
  <c r="W1189" i="4"/>
  <c r="W1193" i="4"/>
  <c r="W1197" i="4"/>
  <c r="W1201" i="4"/>
  <c r="W1205" i="4"/>
  <c r="W1209" i="4"/>
  <c r="W1213" i="4"/>
  <c r="W1217" i="4"/>
  <c r="W1221" i="4"/>
  <c r="W1225" i="4"/>
  <c r="W1229" i="4"/>
  <c r="W1233" i="4"/>
  <c r="W1237" i="4"/>
  <c r="W1241" i="4"/>
  <c r="W1245" i="4"/>
  <c r="W1249" i="4"/>
  <c r="W1253" i="4"/>
  <c r="W1257" i="4"/>
  <c r="W1261" i="4"/>
  <c r="W1265" i="4"/>
  <c r="W1269" i="4"/>
  <c r="W1273" i="4"/>
  <c r="W1277" i="4"/>
  <c r="W1281" i="4"/>
  <c r="W1285" i="4"/>
  <c r="W1289" i="4"/>
  <c r="W1293" i="4"/>
  <c r="W1297" i="4"/>
  <c r="W1301" i="4"/>
  <c r="W1305" i="4"/>
  <c r="W1309" i="4"/>
  <c r="W1313" i="4"/>
  <c r="W1317" i="4"/>
  <c r="W1321" i="4"/>
  <c r="W1325" i="4"/>
  <c r="W1329" i="4"/>
  <c r="W1333" i="4"/>
  <c r="W1337" i="4"/>
  <c r="W1341" i="4"/>
  <c r="W1345" i="4"/>
  <c r="W1349" i="4"/>
  <c r="W1353" i="4"/>
  <c r="W1357" i="4"/>
  <c r="W1361" i="4"/>
  <c r="W1365" i="4"/>
  <c r="W1369" i="4"/>
  <c r="W1373" i="4"/>
  <c r="W1377" i="4"/>
  <c r="W1381" i="4"/>
  <c r="W1385" i="4"/>
  <c r="W1389" i="4"/>
  <c r="W1393" i="4"/>
  <c r="W1397" i="4"/>
  <c r="W1401" i="4"/>
  <c r="W1405" i="4"/>
  <c r="W1409" i="4"/>
  <c r="W1413" i="4"/>
  <c r="W1417" i="4"/>
  <c r="W1421" i="4"/>
  <c r="W1425" i="4"/>
  <c r="W1429" i="4"/>
  <c r="W1433" i="4"/>
  <c r="W1437" i="4"/>
  <c r="W1441" i="4"/>
  <c r="W1445" i="4"/>
  <c r="W1449" i="4"/>
  <c r="W1453" i="4"/>
  <c r="W1457" i="4"/>
  <c r="W1461" i="4"/>
  <c r="W1465" i="4"/>
  <c r="W1469" i="4"/>
  <c r="W1473" i="4"/>
  <c r="W1477" i="4"/>
  <c r="W1481" i="4"/>
  <c r="W1485" i="4"/>
  <c r="W1489" i="4"/>
  <c r="W1493" i="4"/>
  <c r="W1497" i="4"/>
  <c r="W1501" i="4"/>
  <c r="W1505" i="4"/>
  <c r="W1509" i="4"/>
  <c r="W1513" i="4"/>
  <c r="W1517" i="4"/>
  <c r="W1521" i="4"/>
  <c r="W1525" i="4"/>
  <c r="W1529" i="4"/>
  <c r="W1533" i="4"/>
  <c r="W1537" i="4"/>
  <c r="W1541" i="4"/>
  <c r="W1545" i="4"/>
  <c r="W1549" i="4"/>
  <c r="W1553" i="4"/>
  <c r="W1557" i="4"/>
  <c r="W1561" i="4"/>
  <c r="W1565" i="4"/>
  <c r="W1569" i="4"/>
  <c r="W1573" i="4"/>
  <c r="W1577" i="4"/>
  <c r="W1581" i="4"/>
  <c r="W1585" i="4"/>
  <c r="W1589" i="4"/>
  <c r="W1593" i="4"/>
  <c r="W1597" i="4"/>
  <c r="W1601" i="4"/>
  <c r="W1605" i="4"/>
  <c r="W1609" i="4"/>
  <c r="W1613" i="4"/>
  <c r="W1617" i="4"/>
  <c r="W1621" i="4"/>
  <c r="W1625" i="4"/>
  <c r="W1629" i="4"/>
  <c r="W1633" i="4"/>
  <c r="W1637" i="4"/>
  <c r="W1641" i="4"/>
  <c r="W1645" i="4"/>
  <c r="W1649" i="4"/>
  <c r="W1653" i="4"/>
  <c r="W1657" i="4"/>
  <c r="W1661" i="4"/>
  <c r="W1665" i="4"/>
  <c r="W1669" i="4"/>
  <c r="W1673" i="4"/>
  <c r="W1677" i="4"/>
  <c r="W1681" i="4"/>
  <c r="W1685" i="4"/>
  <c r="W1689" i="4"/>
  <c r="W1693" i="4"/>
  <c r="W1697" i="4"/>
  <c r="W1701" i="4"/>
  <c r="W1705" i="4"/>
  <c r="W1709" i="4"/>
  <c r="W1713" i="4"/>
  <c r="W1717" i="4"/>
  <c r="W1721" i="4"/>
  <c r="W1725" i="4"/>
  <c r="W1729" i="4"/>
  <c r="W1733" i="4"/>
  <c r="W1737" i="4"/>
  <c r="W1741" i="4"/>
  <c r="W1745" i="4"/>
  <c r="W1749" i="4"/>
  <c r="W1753" i="4"/>
  <c r="W1757" i="4"/>
  <c r="W1761" i="4"/>
  <c r="W1765" i="4"/>
  <c r="W1769" i="4"/>
  <c r="W1773" i="4"/>
  <c r="W1777" i="4"/>
  <c r="W1781" i="4"/>
  <c r="W1785" i="4"/>
  <c r="W1789" i="4"/>
  <c r="W1793" i="4"/>
  <c r="W1797" i="4"/>
  <c r="W1801" i="4"/>
  <c r="W1805" i="4"/>
  <c r="W1809" i="4"/>
  <c r="W1813" i="4"/>
  <c r="W1817" i="4"/>
  <c r="W1821" i="4"/>
  <c r="W771" i="4"/>
  <c r="M771" i="4" s="1"/>
  <c r="W779" i="4"/>
  <c r="M779" i="4" s="1"/>
  <c r="W786" i="4"/>
  <c r="M786" i="4" s="1"/>
  <c r="N786" i="4" s="1"/>
  <c r="W794" i="4"/>
  <c r="W801" i="4"/>
  <c r="W808" i="4"/>
  <c r="M808" i="4" s="1"/>
  <c r="N808" i="4" s="1"/>
  <c r="W816" i="4"/>
  <c r="M816" i="4" s="1"/>
  <c r="N816" i="4" s="1"/>
  <c r="W822" i="4"/>
  <c r="M822" i="4" s="1"/>
  <c r="N822" i="4" s="1"/>
  <c r="W829" i="4"/>
  <c r="W837" i="4"/>
  <c r="W844" i="4"/>
  <c r="M844" i="4" s="1"/>
  <c r="N844" i="4" s="1"/>
  <c r="W850" i="4"/>
  <c r="M850" i="4" s="1"/>
  <c r="N850" i="4" s="1"/>
  <c r="W858" i="4"/>
  <c r="W865" i="4"/>
  <c r="W872" i="4"/>
  <c r="M872" i="4" s="1"/>
  <c r="N872" i="4" s="1"/>
  <c r="W881" i="4"/>
  <c r="W887" i="4"/>
  <c r="M887" i="4" s="1"/>
  <c r="N887" i="4" s="1"/>
  <c r="W894" i="4"/>
  <c r="M894" i="4" s="1"/>
  <c r="N894" i="4" s="1"/>
  <c r="W902" i="4"/>
  <c r="M902" i="4" s="1"/>
  <c r="N902" i="4" s="1"/>
  <c r="W909" i="4"/>
  <c r="W767" i="4"/>
  <c r="M767" i="4" s="1"/>
  <c r="N767" i="4" s="1"/>
  <c r="W780" i="4"/>
  <c r="W790" i="4"/>
  <c r="M790" i="4" s="1"/>
  <c r="N790" i="4" s="1"/>
  <c r="W800" i="4"/>
  <c r="M800" i="4" s="1"/>
  <c r="N800" i="4" s="1"/>
  <c r="W810" i="4"/>
  <c r="W818" i="4"/>
  <c r="W828" i="4"/>
  <c r="M828" i="4" s="1"/>
  <c r="N828" i="4" s="1"/>
  <c r="W838" i="4"/>
  <c r="W848" i="4"/>
  <c r="M848" i="4" s="1"/>
  <c r="N848" i="4" s="1"/>
  <c r="W856" i="4"/>
  <c r="M856" i="4" s="1"/>
  <c r="N856" i="4" s="1"/>
  <c r="W866" i="4"/>
  <c r="W877" i="4"/>
  <c r="M877" i="4" s="1"/>
  <c r="N877" i="4" s="1"/>
  <c r="W886" i="4"/>
  <c r="M886" i="4" s="1"/>
  <c r="N886" i="4" s="1"/>
  <c r="W897" i="4"/>
  <c r="W905" i="4"/>
  <c r="W914" i="4"/>
  <c r="W921" i="4"/>
  <c r="W930" i="4"/>
  <c r="W936" i="4"/>
  <c r="M936" i="4" s="1"/>
  <c r="N936" i="4" s="1"/>
  <c r="W944" i="4"/>
  <c r="M944" i="4" s="1"/>
  <c r="N944" i="4" s="1"/>
  <c r="W952" i="4"/>
  <c r="M952" i="4" s="1"/>
  <c r="N952" i="4" s="1"/>
  <c r="W959" i="4"/>
  <c r="W965" i="4"/>
  <c r="W973" i="4"/>
  <c r="W980" i="4"/>
  <c r="M980" i="4" s="1"/>
  <c r="N980" i="4" s="1"/>
  <c r="W987" i="4"/>
  <c r="M987" i="4" s="1"/>
  <c r="N987" i="4" s="1"/>
  <c r="W995" i="4"/>
  <c r="M995" i="4" s="1"/>
  <c r="N995" i="4" s="1"/>
  <c r="W1001" i="4"/>
  <c r="W1008" i="4"/>
  <c r="M1008" i="4" s="1"/>
  <c r="N1008" i="4" s="1"/>
  <c r="W1016" i="4"/>
  <c r="M1016" i="4" s="1"/>
  <c r="N1016" i="4" s="1"/>
  <c r="W1023" i="4"/>
  <c r="W1029" i="4"/>
  <c r="W1037" i="4"/>
  <c r="W1044" i="4"/>
  <c r="M1044" i="4" s="1"/>
  <c r="N1044" i="4" s="1"/>
  <c r="W1051" i="4"/>
  <c r="M1051" i="4" s="1"/>
  <c r="N1051" i="4" s="1"/>
  <c r="W1059" i="4"/>
  <c r="W1065" i="4"/>
  <c r="W1072" i="4"/>
  <c r="M1072" i="4" s="1"/>
  <c r="N1072" i="4" s="1"/>
  <c r="W1080" i="4"/>
  <c r="M1080" i="4" s="1"/>
  <c r="N1080" i="4" s="1"/>
  <c r="W1087" i="4"/>
  <c r="M1087" i="4" s="1"/>
  <c r="N1087" i="4" s="1"/>
  <c r="W1093" i="4"/>
  <c r="W1101" i="4"/>
  <c r="W1108" i="4"/>
  <c r="M1108" i="4" s="1"/>
  <c r="N1108" i="4" s="1"/>
  <c r="W1115" i="4"/>
  <c r="M1115" i="4" s="1"/>
  <c r="N1115" i="4" s="1"/>
  <c r="W1123" i="4"/>
  <c r="W1129" i="4"/>
  <c r="W1136" i="4"/>
  <c r="M1136" i="4" s="1"/>
  <c r="N1136" i="4" s="1"/>
  <c r="W1142" i="4"/>
  <c r="M1142" i="4" s="1"/>
  <c r="N1142" i="4" s="1"/>
  <c r="W1147" i="4"/>
  <c r="M1147" i="4" s="1"/>
  <c r="N1147" i="4" s="1"/>
  <c r="W1152" i="4"/>
  <c r="M1152" i="4" s="1"/>
  <c r="N1152" i="4" s="1"/>
  <c r="W1158" i="4"/>
  <c r="W1163" i="4"/>
  <c r="M1163" i="4" s="1"/>
  <c r="N1163" i="4" s="1"/>
  <c r="W1168" i="4"/>
  <c r="M1168" i="4" s="1"/>
  <c r="N1168" i="4" s="1"/>
  <c r="W1174" i="4"/>
  <c r="W1179" i="4"/>
  <c r="M1179" i="4" s="1"/>
  <c r="W1184" i="4"/>
  <c r="M1184" i="4" s="1"/>
  <c r="N1184" i="4" s="1"/>
  <c r="W1190" i="4"/>
  <c r="M1190" i="4" s="1"/>
  <c r="N1190" i="4" s="1"/>
  <c r="W1195" i="4"/>
  <c r="M1195" i="4" s="1"/>
  <c r="N1195" i="4" s="1"/>
  <c r="W1200" i="4"/>
  <c r="M1200" i="4" s="1"/>
  <c r="N1200" i="4" s="1"/>
  <c r="W1206" i="4"/>
  <c r="W1211" i="4"/>
  <c r="W1216" i="4"/>
  <c r="M1216" i="4" s="1"/>
  <c r="N1216" i="4" s="1"/>
  <c r="W1222" i="4"/>
  <c r="M1222" i="4" s="1"/>
  <c r="N1222" i="4" s="1"/>
  <c r="W1227" i="4"/>
  <c r="M1227" i="4" s="1"/>
  <c r="N1227" i="4" s="1"/>
  <c r="W1232" i="4"/>
  <c r="M1232" i="4" s="1"/>
  <c r="N1232" i="4" s="1"/>
  <c r="W1238" i="4"/>
  <c r="W1243" i="4"/>
  <c r="W1248" i="4"/>
  <c r="M1248" i="4" s="1"/>
  <c r="N1248" i="4" s="1"/>
  <c r="W1254" i="4"/>
  <c r="M1254" i="4" s="1"/>
  <c r="N1254" i="4" s="1"/>
  <c r="W1259" i="4"/>
  <c r="M1259" i="4" s="1"/>
  <c r="N1259" i="4" s="1"/>
  <c r="W1264" i="4"/>
  <c r="M1264" i="4" s="1"/>
  <c r="N1264" i="4" s="1"/>
  <c r="W1270" i="4"/>
  <c r="W1275" i="4"/>
  <c r="M1275" i="4" s="1"/>
  <c r="N1275" i="4" s="1"/>
  <c r="W1280" i="4"/>
  <c r="M1280" i="4" s="1"/>
  <c r="N1280" i="4" s="1"/>
  <c r="W1286" i="4"/>
  <c r="W1291" i="4"/>
  <c r="W1296" i="4"/>
  <c r="M1296" i="4" s="1"/>
  <c r="N1296" i="4" s="1"/>
  <c r="W1302" i="4"/>
  <c r="W1307" i="4"/>
  <c r="M1307" i="4" s="1"/>
  <c r="W1312" i="4"/>
  <c r="M1312" i="4" s="1"/>
  <c r="N1312" i="4" s="1"/>
  <c r="W1318" i="4"/>
  <c r="M1318" i="4" s="1"/>
  <c r="N1318" i="4" s="1"/>
  <c r="W1323" i="4"/>
  <c r="W1328" i="4"/>
  <c r="M1328" i="4" s="1"/>
  <c r="N1328" i="4" s="1"/>
  <c r="W1334" i="4"/>
  <c r="W1339" i="4"/>
  <c r="W1344" i="4"/>
  <c r="M1344" i="4" s="1"/>
  <c r="N1344" i="4" s="1"/>
  <c r="W1350" i="4"/>
  <c r="W1355" i="4"/>
  <c r="W1360" i="4"/>
  <c r="M1360" i="4" s="1"/>
  <c r="N1360" i="4" s="1"/>
  <c r="W1366" i="4"/>
  <c r="W1371" i="4"/>
  <c r="W1376" i="4"/>
  <c r="M1376" i="4" s="1"/>
  <c r="N1376" i="4" s="1"/>
  <c r="W1382" i="4"/>
  <c r="M1382" i="4" s="1"/>
  <c r="N1382" i="4" s="1"/>
  <c r="W1387" i="4"/>
  <c r="W1392" i="4"/>
  <c r="M1392" i="4" s="1"/>
  <c r="N1392" i="4" s="1"/>
  <c r="W1398" i="4"/>
  <c r="M1398" i="4" s="1"/>
  <c r="N1398" i="4" s="1"/>
  <c r="W1403" i="4"/>
  <c r="M1403" i="4" s="1"/>
  <c r="N1403" i="4" s="1"/>
  <c r="W1408" i="4"/>
  <c r="M1408" i="4" s="1"/>
  <c r="N1408" i="4" s="1"/>
  <c r="W1414" i="4"/>
  <c r="M1414" i="4" s="1"/>
  <c r="N1414" i="4" s="1"/>
  <c r="W1419" i="4"/>
  <c r="M1419" i="4" s="1"/>
  <c r="N1419" i="4" s="1"/>
  <c r="W1424" i="4"/>
  <c r="M1424" i="4" s="1"/>
  <c r="N1424" i="4" s="1"/>
  <c r="W1430" i="4"/>
  <c r="M1430" i="4" s="1"/>
  <c r="N1430" i="4" s="1"/>
  <c r="W1435" i="4"/>
  <c r="M1435" i="4" s="1"/>
  <c r="N1435" i="4" s="1"/>
  <c r="W1440" i="4"/>
  <c r="M1440" i="4" s="1"/>
  <c r="N1440" i="4" s="1"/>
  <c r="W1446" i="4"/>
  <c r="W1451" i="4"/>
  <c r="W1456" i="4"/>
  <c r="M1456" i="4" s="1"/>
  <c r="N1456" i="4" s="1"/>
  <c r="W1462" i="4"/>
  <c r="W1467" i="4"/>
  <c r="M1467" i="4" s="1"/>
  <c r="N1467" i="4" s="1"/>
  <c r="W1472" i="4"/>
  <c r="M1472" i="4" s="1"/>
  <c r="W1478" i="4"/>
  <c r="M1478" i="4" s="1"/>
  <c r="N1478" i="4" s="1"/>
  <c r="W1483" i="4"/>
  <c r="W1488" i="4"/>
  <c r="M1488" i="4" s="1"/>
  <c r="W1494" i="4"/>
  <c r="M1494" i="4" s="1"/>
  <c r="N1494" i="4" s="1"/>
  <c r="W1499" i="4"/>
  <c r="W1504" i="4"/>
  <c r="M1504" i="4" s="1"/>
  <c r="N1504" i="4" s="1"/>
  <c r="W1510" i="4"/>
  <c r="M1510" i="4" s="1"/>
  <c r="W1515" i="4"/>
  <c r="M1515" i="4" s="1"/>
  <c r="N1515" i="4" s="1"/>
  <c r="W1520" i="4"/>
  <c r="M1520" i="4" s="1"/>
  <c r="N1520" i="4" s="1"/>
  <c r="W1526" i="4"/>
  <c r="M1526" i="4" s="1"/>
  <c r="W1531" i="4"/>
  <c r="W1536" i="4"/>
  <c r="M1536" i="4" s="1"/>
  <c r="N1536" i="4" s="1"/>
  <c r="W1542" i="4"/>
  <c r="M1542" i="4" s="1"/>
  <c r="N1542" i="4" s="1"/>
  <c r="W1547" i="4"/>
  <c r="W1552" i="4"/>
  <c r="M1552" i="4" s="1"/>
  <c r="N1552" i="4" s="1"/>
  <c r="W1558" i="4"/>
  <c r="W1563" i="4"/>
  <c r="M1563" i="4" s="1"/>
  <c r="N1563" i="4" s="1"/>
  <c r="W1568" i="4"/>
  <c r="M1568" i="4" s="1"/>
  <c r="N1568" i="4" s="1"/>
  <c r="W1574" i="4"/>
  <c r="M1574" i="4" s="1"/>
  <c r="N1574" i="4" s="1"/>
  <c r="W1579" i="4"/>
  <c r="M1579" i="4" s="1"/>
  <c r="W1584" i="4"/>
  <c r="M1584" i="4" s="1"/>
  <c r="N1584" i="4" s="1"/>
  <c r="W1590" i="4"/>
  <c r="M1590" i="4" s="1"/>
  <c r="N1590" i="4" s="1"/>
  <c r="W1595" i="4"/>
  <c r="W1600" i="4"/>
  <c r="M1600" i="4" s="1"/>
  <c r="N1600" i="4" s="1"/>
  <c r="W1606" i="4"/>
  <c r="W1611" i="4"/>
  <c r="W1616" i="4"/>
  <c r="M1616" i="4" s="1"/>
  <c r="N1616" i="4" s="1"/>
  <c r="W1622" i="4"/>
  <c r="M1622" i="4" s="1"/>
  <c r="W1627" i="4"/>
  <c r="W1632" i="4"/>
  <c r="M1632" i="4" s="1"/>
  <c r="N1632" i="4" s="1"/>
  <c r="W1638" i="4"/>
  <c r="W1643" i="4"/>
  <c r="M1643" i="4" s="1"/>
  <c r="N1643" i="4" s="1"/>
  <c r="W1648" i="4"/>
  <c r="M1648" i="4" s="1"/>
  <c r="N1648" i="4" s="1"/>
  <c r="W1654" i="4"/>
  <c r="M1654" i="4" s="1"/>
  <c r="N1654" i="4" s="1"/>
  <c r="W1659" i="4"/>
  <c r="M1659" i="4" s="1"/>
  <c r="N1659" i="4" s="1"/>
  <c r="W1664" i="4"/>
  <c r="M1664" i="4" s="1"/>
  <c r="N1664" i="4" s="1"/>
  <c r="W1670" i="4"/>
  <c r="W1675" i="4"/>
  <c r="M1675" i="4" s="1"/>
  <c r="N1675" i="4" s="1"/>
  <c r="W1680" i="4"/>
  <c r="M1680" i="4" s="1"/>
  <c r="N1680" i="4" s="1"/>
  <c r="W1686" i="4"/>
  <c r="W1691" i="4"/>
  <c r="M1691" i="4" s="1"/>
  <c r="N1691" i="4" s="1"/>
  <c r="W1696" i="4"/>
  <c r="M1696" i="4" s="1"/>
  <c r="W1702" i="4"/>
  <c r="W1707" i="4"/>
  <c r="W1712" i="4"/>
  <c r="M1712" i="4" s="1"/>
  <c r="N1712" i="4" s="1"/>
  <c r="W1718" i="4"/>
  <c r="M1718" i="4" s="1"/>
  <c r="N1718" i="4" s="1"/>
  <c r="W1723" i="4"/>
  <c r="M1723" i="4" s="1"/>
  <c r="N1723" i="4" s="1"/>
  <c r="W1728" i="4"/>
  <c r="M1728" i="4" s="1"/>
  <c r="N1728" i="4" s="1"/>
  <c r="W1734" i="4"/>
  <c r="M1734" i="4" s="1"/>
  <c r="N1734" i="4" s="1"/>
  <c r="W1739" i="4"/>
  <c r="W1744" i="4"/>
  <c r="M1744" i="4" s="1"/>
  <c r="N1744" i="4" s="1"/>
  <c r="W1750" i="4"/>
  <c r="W1755" i="4"/>
  <c r="M1755" i="4" s="1"/>
  <c r="W1760" i="4"/>
  <c r="M1760" i="4" s="1"/>
  <c r="N1760" i="4" s="1"/>
  <c r="W1766" i="4"/>
  <c r="W1771" i="4"/>
  <c r="M1771" i="4" s="1"/>
  <c r="N1771" i="4" s="1"/>
  <c r="W1776" i="4"/>
  <c r="M1776" i="4" s="1"/>
  <c r="N1776" i="4" s="1"/>
  <c r="W1782" i="4"/>
  <c r="M1782" i="4" s="1"/>
  <c r="N1782" i="4" s="1"/>
  <c r="W1787" i="4"/>
  <c r="M1787" i="4" s="1"/>
  <c r="N1787" i="4" s="1"/>
  <c r="W1792" i="4"/>
  <c r="M1792" i="4" s="1"/>
  <c r="N1792" i="4" s="1"/>
  <c r="W1798" i="4"/>
  <c r="M1798" i="4" s="1"/>
  <c r="N1798" i="4" s="1"/>
  <c r="W1803" i="4"/>
  <c r="M1803" i="4" s="1"/>
  <c r="N1803" i="4" s="1"/>
  <c r="W1808" i="4"/>
  <c r="M1808" i="4" s="1"/>
  <c r="N1808" i="4" s="1"/>
  <c r="W1814" i="4"/>
  <c r="W1819" i="4"/>
  <c r="M1819" i="4" s="1"/>
  <c r="N1819" i="4" s="1"/>
  <c r="W772" i="4"/>
  <c r="W785" i="4"/>
  <c r="W797" i="4"/>
  <c r="W812" i="4"/>
  <c r="M812" i="4" s="1"/>
  <c r="N812" i="4" s="1"/>
  <c r="W824" i="4"/>
  <c r="M824" i="4" s="1"/>
  <c r="N824" i="4" s="1"/>
  <c r="W834" i="4"/>
  <c r="W849" i="4"/>
  <c r="W861" i="4"/>
  <c r="W875" i="4"/>
  <c r="W889" i="4"/>
  <c r="W899" i="4"/>
  <c r="M899" i="4" s="1"/>
  <c r="N899" i="4" s="1"/>
  <c r="W913" i="4"/>
  <c r="W923" i="4"/>
  <c r="M923" i="4" s="1"/>
  <c r="N923" i="4" s="1"/>
  <c r="W932" i="4"/>
  <c r="M932" i="4" s="1"/>
  <c r="N932" i="4" s="1"/>
  <c r="W943" i="4"/>
  <c r="M943" i="4" s="1"/>
  <c r="N943" i="4" s="1"/>
  <c r="W953" i="4"/>
  <c r="W963" i="4"/>
  <c r="M963" i="4" s="1"/>
  <c r="N963" i="4" s="1"/>
  <c r="W971" i="4"/>
  <c r="W981" i="4"/>
  <c r="W991" i="4"/>
  <c r="M991" i="4" s="1"/>
  <c r="W1000" i="4"/>
  <c r="M1000" i="4" s="1"/>
  <c r="N1000" i="4" s="1"/>
  <c r="W1011" i="4"/>
  <c r="M1011" i="4" s="1"/>
  <c r="N1011" i="4" s="1"/>
  <c r="W1019" i="4"/>
  <c r="W1028" i="4"/>
  <c r="M1028" i="4" s="1"/>
  <c r="N1028" i="4" s="1"/>
  <c r="W1039" i="4"/>
  <c r="M1039" i="4" s="1"/>
  <c r="N1039" i="4" s="1"/>
  <c r="W1048" i="4"/>
  <c r="M1048" i="4" s="1"/>
  <c r="N1048" i="4" s="1"/>
  <c r="W1056" i="4"/>
  <c r="M1056" i="4" s="1"/>
  <c r="N1056" i="4" s="1"/>
  <c r="W1067" i="4"/>
  <c r="W1076" i="4"/>
  <c r="M1076" i="4" s="1"/>
  <c r="N1076" i="4" s="1"/>
  <c r="W1085" i="4"/>
  <c r="W1096" i="4"/>
  <c r="M1096" i="4" s="1"/>
  <c r="N1096" i="4" s="1"/>
  <c r="W1104" i="4"/>
  <c r="M1104" i="4" s="1"/>
  <c r="N1104" i="4" s="1"/>
  <c r="W1113" i="4"/>
  <c r="W1124" i="4"/>
  <c r="M1124" i="4" s="1"/>
  <c r="N1124" i="4" s="1"/>
  <c r="W1133" i="4"/>
  <c r="W1140" i="4"/>
  <c r="M1140" i="4" s="1"/>
  <c r="N1140" i="4" s="1"/>
  <c r="W1148" i="4"/>
  <c r="M1148" i="4" s="1"/>
  <c r="N1148" i="4" s="1"/>
  <c r="W1155" i="4"/>
  <c r="W1162" i="4"/>
  <c r="M1162" i="4" s="1"/>
  <c r="N1162" i="4" s="1"/>
  <c r="W1170" i="4"/>
  <c r="M1170" i="4" s="1"/>
  <c r="N1170" i="4" s="1"/>
  <c r="W1176" i="4"/>
  <c r="M1176" i="4" s="1"/>
  <c r="N1176" i="4" s="1"/>
  <c r="W1183" i="4"/>
  <c r="M1183" i="4" s="1"/>
  <c r="N1183" i="4" s="1"/>
  <c r="W1191" i="4"/>
  <c r="M1191" i="4" s="1"/>
  <c r="N1191" i="4" s="1"/>
  <c r="W1198" i="4"/>
  <c r="M1198" i="4" s="1"/>
  <c r="W1204" i="4"/>
  <c r="M1204" i="4" s="1"/>
  <c r="N1204" i="4" s="1"/>
  <c r="W1212" i="4"/>
  <c r="M1212" i="4" s="1"/>
  <c r="N1212" i="4" s="1"/>
  <c r="W1219" i="4"/>
  <c r="W1226" i="4"/>
  <c r="W1234" i="4"/>
  <c r="M1234" i="4" s="1"/>
  <c r="N1234" i="4" s="1"/>
  <c r="W1240" i="4"/>
  <c r="M1240" i="4" s="1"/>
  <c r="N1240" i="4" s="1"/>
  <c r="W1247" i="4"/>
  <c r="W1255" i="4"/>
  <c r="W1262" i="4"/>
  <c r="M1262" i="4" s="1"/>
  <c r="N1262" i="4" s="1"/>
  <c r="W1268" i="4"/>
  <c r="M1268" i="4" s="1"/>
  <c r="N1268" i="4" s="1"/>
  <c r="W1276" i="4"/>
  <c r="M1276" i="4" s="1"/>
  <c r="N1276" i="4" s="1"/>
  <c r="W1283" i="4"/>
  <c r="M1283" i="4" s="1"/>
  <c r="N1283" i="4" s="1"/>
  <c r="W1290" i="4"/>
  <c r="W1298" i="4"/>
  <c r="M1298" i="4" s="1"/>
  <c r="N1298" i="4" s="1"/>
  <c r="W1304" i="4"/>
  <c r="M1304" i="4" s="1"/>
  <c r="N1304" i="4" s="1"/>
  <c r="W1311" i="4"/>
  <c r="M1311" i="4" s="1"/>
  <c r="N1311" i="4" s="1"/>
  <c r="W1319" i="4"/>
  <c r="M1319" i="4" s="1"/>
  <c r="N1319" i="4" s="1"/>
  <c r="W1326" i="4"/>
  <c r="M1326" i="4" s="1"/>
  <c r="N1326" i="4" s="1"/>
  <c r="W1332" i="4"/>
  <c r="M1332" i="4" s="1"/>
  <c r="N1332" i="4" s="1"/>
  <c r="W1340" i="4"/>
  <c r="M1340" i="4" s="1"/>
  <c r="N1340" i="4" s="1"/>
  <c r="W1347" i="4"/>
  <c r="W1354" i="4"/>
  <c r="W1362" i="4"/>
  <c r="W1368" i="4"/>
  <c r="M1368" i="4" s="1"/>
  <c r="N1368" i="4" s="1"/>
  <c r="W1375" i="4"/>
  <c r="M1375" i="4" s="1"/>
  <c r="N1375" i="4" s="1"/>
  <c r="W1383" i="4"/>
  <c r="M1383" i="4" s="1"/>
  <c r="N1383" i="4" s="1"/>
  <c r="W1390" i="4"/>
  <c r="M1390" i="4" s="1"/>
  <c r="N1390" i="4" s="1"/>
  <c r="W1396" i="4"/>
  <c r="M1396" i="4" s="1"/>
  <c r="W1404" i="4"/>
  <c r="M1404" i="4" s="1"/>
  <c r="N1404" i="4" s="1"/>
  <c r="W1411" i="4"/>
  <c r="W1418" i="4"/>
  <c r="M1418" i="4" s="1"/>
  <c r="N1418" i="4" s="1"/>
  <c r="W1426" i="4"/>
  <c r="M1426" i="4" s="1"/>
  <c r="N1426" i="4" s="1"/>
  <c r="W1432" i="4"/>
  <c r="M1432" i="4" s="1"/>
  <c r="N1432" i="4" s="1"/>
  <c r="W1439" i="4"/>
  <c r="M1439" i="4" s="1"/>
  <c r="N1439" i="4" s="1"/>
  <c r="W1447" i="4"/>
  <c r="W1454" i="4"/>
  <c r="W1460" i="4"/>
  <c r="M1460" i="4" s="1"/>
  <c r="N1460" i="4" s="1"/>
  <c r="W1468" i="4"/>
  <c r="M1468" i="4" s="1"/>
  <c r="N1468" i="4" s="1"/>
  <c r="W1475" i="4"/>
  <c r="W1482" i="4"/>
  <c r="W1490" i="4"/>
  <c r="M1490" i="4" s="1"/>
  <c r="N1490" i="4" s="1"/>
  <c r="W1496" i="4"/>
  <c r="M1496" i="4" s="1"/>
  <c r="N1496" i="4" s="1"/>
  <c r="W1503" i="4"/>
  <c r="W1511" i="4"/>
  <c r="M1511" i="4" s="1"/>
  <c r="W1518" i="4"/>
  <c r="W1524" i="4"/>
  <c r="M1524" i="4" s="1"/>
  <c r="N1524" i="4" s="1"/>
  <c r="W1532" i="4"/>
  <c r="M1532" i="4" s="1"/>
  <c r="N1532" i="4" s="1"/>
  <c r="W1539" i="4"/>
  <c r="M1539" i="4" s="1"/>
  <c r="N1539" i="4" s="1"/>
  <c r="W1546" i="4"/>
  <c r="W1554" i="4"/>
  <c r="W1560" i="4"/>
  <c r="M1560" i="4" s="1"/>
  <c r="N1560" i="4" s="1"/>
  <c r="W1567" i="4"/>
  <c r="M1567" i="4" s="1"/>
  <c r="N1567" i="4" s="1"/>
  <c r="W1575" i="4"/>
  <c r="W1582" i="4"/>
  <c r="M1582" i="4" s="1"/>
  <c r="W1588" i="4"/>
  <c r="M1588" i="4" s="1"/>
  <c r="W1596" i="4"/>
  <c r="M1596" i="4" s="1"/>
  <c r="W1603" i="4"/>
  <c r="M1603" i="4" s="1"/>
  <c r="N1603" i="4" s="1"/>
  <c r="W1610" i="4"/>
  <c r="M1610" i="4" s="1"/>
  <c r="N1610" i="4" s="1"/>
  <c r="W1618" i="4"/>
  <c r="M1618" i="4" s="1"/>
  <c r="N1618" i="4" s="1"/>
  <c r="W1624" i="4"/>
  <c r="M1624" i="4" s="1"/>
  <c r="N1624" i="4" s="1"/>
  <c r="W1631" i="4"/>
  <c r="W1639" i="4"/>
  <c r="W1646" i="4"/>
  <c r="W1652" i="4"/>
  <c r="M1652" i="4" s="1"/>
  <c r="N1652" i="4" s="1"/>
  <c r="W1660" i="4"/>
  <c r="M1660" i="4" s="1"/>
  <c r="N1660" i="4" s="1"/>
  <c r="W1667" i="4"/>
  <c r="M1667" i="4" s="1"/>
  <c r="W1674" i="4"/>
  <c r="M1674" i="4" s="1"/>
  <c r="W1682" i="4"/>
  <c r="W1688" i="4"/>
  <c r="M1688" i="4" s="1"/>
  <c r="W1695" i="4"/>
  <c r="W1703" i="4"/>
  <c r="M1703" i="4" s="1"/>
  <c r="N1703" i="4" s="1"/>
  <c r="W1710" i="4"/>
  <c r="M1710" i="4" s="1"/>
  <c r="N1710" i="4" s="1"/>
  <c r="W1716" i="4"/>
  <c r="M1716" i="4" s="1"/>
  <c r="N1716" i="4" s="1"/>
  <c r="W1724" i="4"/>
  <c r="M1724" i="4" s="1"/>
  <c r="N1724" i="4" s="1"/>
  <c r="W1731" i="4"/>
  <c r="M1731" i="4" s="1"/>
  <c r="N1731" i="4" s="1"/>
  <c r="W1738" i="4"/>
  <c r="W1746" i="4"/>
  <c r="W1752" i="4"/>
  <c r="M1752" i="4" s="1"/>
  <c r="N1752" i="4" s="1"/>
  <c r="W1759" i="4"/>
  <c r="M1759" i="4" s="1"/>
  <c r="N1759" i="4" s="1"/>
  <c r="W1767" i="4"/>
  <c r="M1767" i="4" s="1"/>
  <c r="N1767" i="4" s="1"/>
  <c r="W1774" i="4"/>
  <c r="W1780" i="4"/>
  <c r="M1780" i="4" s="1"/>
  <c r="N1780" i="4" s="1"/>
  <c r="W1788" i="4"/>
  <c r="M1788" i="4" s="1"/>
  <c r="N1788" i="4" s="1"/>
  <c r="W1795" i="4"/>
  <c r="M1795" i="4" s="1"/>
  <c r="N1795" i="4" s="1"/>
  <c r="W1802" i="4"/>
  <c r="M1802" i="4" s="1"/>
  <c r="N1802" i="4" s="1"/>
  <c r="W1810" i="4"/>
  <c r="W1816" i="4"/>
  <c r="M1816" i="4" s="1"/>
  <c r="N1816" i="4" s="1"/>
  <c r="W1823" i="4"/>
  <c r="M1823" i="4" s="1"/>
  <c r="N1823" i="4" s="1"/>
  <c r="W775" i="4"/>
  <c r="M775" i="4" s="1"/>
  <c r="W789" i="4"/>
  <c r="W802" i="4"/>
  <c r="M802" i="4" s="1"/>
  <c r="N802" i="4" s="1"/>
  <c r="W813" i="4"/>
  <c r="W826" i="4"/>
  <c r="M826" i="4" s="1"/>
  <c r="N826" i="4" s="1"/>
  <c r="W840" i="4"/>
  <c r="M840" i="4" s="1"/>
  <c r="N840" i="4" s="1"/>
  <c r="W853" i="4"/>
  <c r="W864" i="4"/>
  <c r="M864" i="4" s="1"/>
  <c r="N864" i="4" s="1"/>
  <c r="W878" i="4"/>
  <c r="W891" i="4"/>
  <c r="M891" i="4" s="1"/>
  <c r="N891" i="4" s="1"/>
  <c r="W903" i="4"/>
  <c r="W915" i="4"/>
  <c r="W925" i="4"/>
  <c r="W935" i="4"/>
  <c r="M935" i="4" s="1"/>
  <c r="N935" i="4" s="1"/>
  <c r="W947" i="4"/>
  <c r="M947" i="4" s="1"/>
  <c r="N947" i="4" s="1"/>
  <c r="W955" i="4"/>
  <c r="W964" i="4"/>
  <c r="M964" i="4" s="1"/>
  <c r="N964" i="4" s="1"/>
  <c r="W975" i="4"/>
  <c r="W984" i="4"/>
  <c r="M984" i="4" s="1"/>
  <c r="N984" i="4" s="1"/>
  <c r="W992" i="4"/>
  <c r="M992" i="4" s="1"/>
  <c r="N992" i="4" s="1"/>
  <c r="W1003" i="4"/>
  <c r="M1003" i="4" s="1"/>
  <c r="N1003" i="4" s="1"/>
  <c r="W1012" i="4"/>
  <c r="M1012" i="4" s="1"/>
  <c r="N1012" i="4" s="1"/>
  <c r="W1021" i="4"/>
  <c r="W1032" i="4"/>
  <c r="M1032" i="4" s="1"/>
  <c r="N1032" i="4" s="1"/>
  <c r="W1040" i="4"/>
  <c r="M1040" i="4" s="1"/>
  <c r="N1040" i="4" s="1"/>
  <c r="W1049" i="4"/>
  <c r="W1060" i="4"/>
  <c r="M1060" i="4" s="1"/>
  <c r="N1060" i="4" s="1"/>
  <c r="W1069" i="4"/>
  <c r="W1077" i="4"/>
  <c r="W1088" i="4"/>
  <c r="M1088" i="4" s="1"/>
  <c r="N1088" i="4" s="1"/>
  <c r="W1107" i="4"/>
  <c r="M1107" i="4" s="1"/>
  <c r="N1107" i="4" s="1"/>
  <c r="W1117" i="4"/>
  <c r="W1125" i="4"/>
  <c r="W1135" i="4"/>
  <c r="M1135" i="4" s="1"/>
  <c r="N1135" i="4" s="1"/>
  <c r="W1143" i="4"/>
  <c r="W1150" i="4"/>
  <c r="W1156" i="4"/>
  <c r="M1156" i="4" s="1"/>
  <c r="N1156" i="4" s="1"/>
  <c r="W1164" i="4"/>
  <c r="M1164" i="4" s="1"/>
  <c r="N1164" i="4" s="1"/>
  <c r="W1171" i="4"/>
  <c r="W1178" i="4"/>
  <c r="M1178" i="4" s="1"/>
  <c r="W1186" i="4"/>
  <c r="W1192" i="4"/>
  <c r="M1192" i="4" s="1"/>
  <c r="N1192" i="4" s="1"/>
  <c r="W1199" i="4"/>
  <c r="M1199" i="4" s="1"/>
  <c r="N1199" i="4" s="1"/>
  <c r="W1214" i="4"/>
  <c r="M1214" i="4" s="1"/>
  <c r="N1214" i="4" s="1"/>
  <c r="W1228" i="4"/>
  <c r="M1228" i="4" s="1"/>
  <c r="N1228" i="4" s="1"/>
  <c r="W1242" i="4"/>
  <c r="W1256" i="4"/>
  <c r="M1256" i="4" s="1"/>
  <c r="N1256" i="4" s="1"/>
  <c r="W1271" i="4"/>
  <c r="W1284" i="4"/>
  <c r="M1284" i="4" s="1"/>
  <c r="N1284" i="4" s="1"/>
  <c r="W1299" i="4"/>
  <c r="M1299" i="4" s="1"/>
  <c r="N1299" i="4" s="1"/>
  <c r="W1320" i="4"/>
  <c r="M1320" i="4" s="1"/>
  <c r="N1320" i="4" s="1"/>
  <c r="W1335" i="4"/>
  <c r="W1348" i="4"/>
  <c r="M1348" i="4" s="1"/>
  <c r="N1348" i="4" s="1"/>
  <c r="W1363" i="4"/>
  <c r="W1378" i="4"/>
  <c r="W1391" i="4"/>
  <c r="M1391" i="4" s="1"/>
  <c r="N1391" i="4" s="1"/>
  <c r="W1406" i="4"/>
  <c r="W1420" i="4"/>
  <c r="M1420" i="4" s="1"/>
  <c r="N1420" i="4" s="1"/>
  <c r="W1434" i="4"/>
  <c r="M1434" i="4" s="1"/>
  <c r="N1434" i="4" s="1"/>
  <c r="W1448" i="4"/>
  <c r="M1448" i="4" s="1"/>
  <c r="N1448" i="4" s="1"/>
  <c r="W1463" i="4"/>
  <c r="M1463" i="4" s="1"/>
  <c r="N1463" i="4" s="1"/>
  <c r="W1476" i="4"/>
  <c r="M1476" i="4" s="1"/>
  <c r="N1476" i="4" s="1"/>
  <c r="W1491" i="4"/>
  <c r="M1491" i="4" s="1"/>
  <c r="N1491" i="4" s="1"/>
  <c r="W1506" i="4"/>
  <c r="M1506" i="4" s="1"/>
  <c r="N1506" i="4" s="1"/>
  <c r="W1519" i="4"/>
  <c r="M1519" i="4" s="1"/>
  <c r="N1519" i="4" s="1"/>
  <c r="W1534" i="4"/>
  <c r="W1548" i="4"/>
  <c r="M1548" i="4" s="1"/>
  <c r="N1548" i="4" s="1"/>
  <c r="W1562" i="4"/>
  <c r="M1562" i="4" s="1"/>
  <c r="W1576" i="4"/>
  <c r="M1576" i="4" s="1"/>
  <c r="N1576" i="4" s="1"/>
  <c r="W1591" i="4"/>
  <c r="M1591" i="4" s="1"/>
  <c r="N1591" i="4" s="1"/>
  <c r="W1604" i="4"/>
  <c r="M1604" i="4" s="1"/>
  <c r="W1619" i="4"/>
  <c r="M1619" i="4" s="1"/>
  <c r="N1619" i="4" s="1"/>
  <c r="W1634" i="4"/>
  <c r="M1634" i="4" s="1"/>
  <c r="N1634" i="4" s="1"/>
  <c r="W1647" i="4"/>
  <c r="W1662" i="4"/>
  <c r="W1676" i="4"/>
  <c r="M1676" i="4" s="1"/>
  <c r="W1690" i="4"/>
  <c r="M1690" i="4" s="1"/>
  <c r="W1704" i="4"/>
  <c r="M1704" i="4" s="1"/>
  <c r="N1704" i="4" s="1"/>
  <c r="W1719" i="4"/>
  <c r="M1719" i="4" s="1"/>
  <c r="N1719" i="4" s="1"/>
  <c r="W1732" i="4"/>
  <c r="M1732" i="4" s="1"/>
  <c r="N1732" i="4" s="1"/>
  <c r="W1747" i="4"/>
  <c r="W1762" i="4"/>
  <c r="M1762" i="4" s="1"/>
  <c r="N1762" i="4" s="1"/>
  <c r="W1775" i="4"/>
  <c r="M1775" i="4" s="1"/>
  <c r="N1775" i="4" s="1"/>
  <c r="W1790" i="4"/>
  <c r="M1790" i="4" s="1"/>
  <c r="N1790" i="4" s="1"/>
  <c r="W1804" i="4"/>
  <c r="M1804" i="4" s="1"/>
  <c r="N1804" i="4" s="1"/>
  <c r="W1818" i="4"/>
  <c r="M1818" i="4" s="1"/>
  <c r="N1818" i="4" s="1"/>
  <c r="W1097" i="4"/>
  <c r="W1207" i="4"/>
  <c r="M1207" i="4" s="1"/>
  <c r="N1207" i="4" s="1"/>
  <c r="W1220" i="4"/>
  <c r="M1220" i="4" s="1"/>
  <c r="N1220" i="4" s="1"/>
  <c r="W1235" i="4"/>
  <c r="M1235" i="4" s="1"/>
  <c r="N1235" i="4" s="1"/>
  <c r="W1250" i="4"/>
  <c r="W1263" i="4"/>
  <c r="M1263" i="4" s="1"/>
  <c r="N1263" i="4" s="1"/>
  <c r="W1278" i="4"/>
  <c r="M1278" i="4" s="1"/>
  <c r="N1278" i="4" s="1"/>
  <c r="W1292" i="4"/>
  <c r="M1292" i="4" s="1"/>
  <c r="N1292" i="4" s="1"/>
  <c r="W1306" i="4"/>
  <c r="M1306" i="4" s="1"/>
  <c r="N1306" i="4" s="1"/>
  <c r="W1314" i="4"/>
  <c r="M1314" i="4" s="1"/>
  <c r="N1314" i="4" s="1"/>
  <c r="W1327" i="4"/>
  <c r="M1327" i="4" s="1"/>
  <c r="N1327" i="4" s="1"/>
  <c r="W1342" i="4"/>
  <c r="W1356" i="4"/>
  <c r="M1356" i="4" s="1"/>
  <c r="N1356" i="4" s="1"/>
  <c r="W1370" i="4"/>
  <c r="W1384" i="4"/>
  <c r="M1384" i="4" s="1"/>
  <c r="N1384" i="4" s="1"/>
  <c r="W1399" i="4"/>
  <c r="W1412" i="4"/>
  <c r="M1412" i="4" s="1"/>
  <c r="N1412" i="4" s="1"/>
  <c r="W1427" i="4"/>
  <c r="M1427" i="4" s="1"/>
  <c r="N1427" i="4" s="1"/>
  <c r="W1442" i="4"/>
  <c r="W1455" i="4"/>
  <c r="M1455" i="4" s="1"/>
  <c r="N1455" i="4" s="1"/>
  <c r="W1470" i="4"/>
  <c r="M1470" i="4" s="1"/>
  <c r="N1470" i="4" s="1"/>
  <c r="W1484" i="4"/>
  <c r="M1484" i="4" s="1"/>
  <c r="N1484" i="4" s="1"/>
  <c r="W1498" i="4"/>
  <c r="W1512" i="4"/>
  <c r="M1512" i="4" s="1"/>
  <c r="N1512" i="4" s="1"/>
  <c r="W1527" i="4"/>
  <c r="M1527" i="4" s="1"/>
  <c r="N1527" i="4" s="1"/>
  <c r="W1540" i="4"/>
  <c r="M1540" i="4" s="1"/>
  <c r="N1540" i="4" s="1"/>
  <c r="W1555" i="4"/>
  <c r="W1570" i="4"/>
  <c r="M1570" i="4" s="1"/>
  <c r="N1570" i="4" s="1"/>
  <c r="W1583" i="4"/>
  <c r="M1583" i="4" s="1"/>
  <c r="N1583" i="4" s="1"/>
  <c r="W1598" i="4"/>
  <c r="M1598" i="4" s="1"/>
  <c r="W1612" i="4"/>
  <c r="M1612" i="4" s="1"/>
  <c r="N1612" i="4" s="1"/>
  <c r="W1626" i="4"/>
  <c r="M1626" i="4" s="1"/>
  <c r="N1626" i="4" s="1"/>
  <c r="W1640" i="4"/>
  <c r="M1640" i="4" s="1"/>
  <c r="N1640" i="4" s="1"/>
  <c r="W1655" i="4"/>
  <c r="M1655" i="4" s="1"/>
  <c r="N1655" i="4" s="1"/>
  <c r="W1668" i="4"/>
  <c r="M1668" i="4" s="1"/>
  <c r="W1683" i="4"/>
  <c r="W1698" i="4"/>
  <c r="M1698" i="4" s="1"/>
  <c r="N1698" i="4" s="1"/>
  <c r="W1711" i="4"/>
  <c r="M1711" i="4" s="1"/>
  <c r="N1711" i="4" s="1"/>
  <c r="W1726" i="4"/>
  <c r="W1740" i="4"/>
  <c r="M1740" i="4" s="1"/>
  <c r="N1740" i="4" s="1"/>
  <c r="W1754" i="4"/>
  <c r="W1768" i="4"/>
  <c r="M1768" i="4" s="1"/>
  <c r="N1768" i="4" s="1"/>
  <c r="W1783" i="4"/>
  <c r="M1783" i="4" s="1"/>
  <c r="N1783" i="4" s="1"/>
  <c r="W1796" i="4"/>
  <c r="M1796" i="4" s="1"/>
  <c r="N1796" i="4" s="1"/>
  <c r="W1811" i="4"/>
  <c r="M1811" i="4" s="1"/>
  <c r="W777" i="4"/>
  <c r="W805" i="4"/>
  <c r="W832" i="4"/>
  <c r="M832" i="4" s="1"/>
  <c r="N832" i="4" s="1"/>
  <c r="W854" i="4"/>
  <c r="M854" i="4" s="1"/>
  <c r="N854" i="4" s="1"/>
  <c r="W882" i="4"/>
  <c r="M882" i="4" s="1"/>
  <c r="N882" i="4" s="1"/>
  <c r="W907" i="4"/>
  <c r="M907" i="4" s="1"/>
  <c r="N907" i="4" s="1"/>
  <c r="W926" i="4"/>
  <c r="M926" i="4" s="1"/>
  <c r="N926" i="4" s="1"/>
  <c r="W948" i="4"/>
  <c r="M948" i="4" s="1"/>
  <c r="N948" i="4" s="1"/>
  <c r="W968" i="4"/>
  <c r="M968" i="4" s="1"/>
  <c r="N968" i="4" s="1"/>
  <c r="W985" i="4"/>
  <c r="W1005" i="4"/>
  <c r="W1024" i="4"/>
  <c r="M1024" i="4" s="1"/>
  <c r="N1024" i="4" s="1"/>
  <c r="W1043" i="4"/>
  <c r="W1061" i="4"/>
  <c r="W1081" i="4"/>
  <c r="W1099" i="4"/>
  <c r="W1119" i="4"/>
  <c r="W1138" i="4"/>
  <c r="M1138" i="4" s="1"/>
  <c r="N1138" i="4" s="1"/>
  <c r="W1151" i="4"/>
  <c r="W1166" i="4"/>
  <c r="M1166" i="4" s="1"/>
  <c r="N1166" i="4" s="1"/>
  <c r="W1180" i="4"/>
  <c r="M1180" i="4" s="1"/>
  <c r="N1180" i="4" s="1"/>
  <c r="W1194" i="4"/>
  <c r="W1208" i="4"/>
  <c r="M1208" i="4" s="1"/>
  <c r="N1208" i="4" s="1"/>
  <c r="W1223" i="4"/>
  <c r="W1236" i="4"/>
  <c r="M1236" i="4" s="1"/>
  <c r="N1236" i="4" s="1"/>
  <c r="W1251" i="4"/>
  <c r="M1251" i="4" s="1"/>
  <c r="N1251" i="4" s="1"/>
  <c r="W1266" i="4"/>
  <c r="M1266" i="4" s="1"/>
  <c r="N1266" i="4" s="1"/>
  <c r="W1279" i="4"/>
  <c r="M1279" i="4" s="1"/>
  <c r="N1279" i="4" s="1"/>
  <c r="W1294" i="4"/>
  <c r="M1294" i="4" s="1"/>
  <c r="N1294" i="4" s="1"/>
  <c r="W1308" i="4"/>
  <c r="M1308" i="4" s="1"/>
  <c r="W1322" i="4"/>
  <c r="M1322" i="4" s="1"/>
  <c r="N1322" i="4" s="1"/>
  <c r="W1336" i="4"/>
  <c r="M1336" i="4" s="1"/>
  <c r="N1336" i="4" s="1"/>
  <c r="W1351" i="4"/>
  <c r="M1351" i="4" s="1"/>
  <c r="N1351" i="4" s="1"/>
  <c r="W1364" i="4"/>
  <c r="M1364" i="4" s="1"/>
  <c r="N1364" i="4" s="1"/>
  <c r="W1379" i="4"/>
  <c r="W1394" i="4"/>
  <c r="M1394" i="4" s="1"/>
  <c r="W1407" i="4"/>
  <c r="M1407" i="4" s="1"/>
  <c r="N1407" i="4" s="1"/>
  <c r="W1422" i="4"/>
  <c r="M1422" i="4" s="1"/>
  <c r="N1422" i="4" s="1"/>
  <c r="W1436" i="4"/>
  <c r="M1436" i="4" s="1"/>
  <c r="N1436" i="4" s="1"/>
  <c r="W1450" i="4"/>
  <c r="W1464" i="4"/>
  <c r="M1464" i="4" s="1"/>
  <c r="N1464" i="4" s="1"/>
  <c r="W1479" i="4"/>
  <c r="M1479" i="4" s="1"/>
  <c r="W1492" i="4"/>
  <c r="M1492" i="4" s="1"/>
  <c r="N1492" i="4" s="1"/>
  <c r="W1507" i="4"/>
  <c r="M1507" i="4" s="1"/>
  <c r="N1507" i="4" s="1"/>
  <c r="W1522" i="4"/>
  <c r="W1535" i="4"/>
  <c r="W1550" i="4"/>
  <c r="W1564" i="4"/>
  <c r="M1564" i="4" s="1"/>
  <c r="N1564" i="4" s="1"/>
  <c r="W1578" i="4"/>
  <c r="W1592" i="4"/>
  <c r="M1592" i="4" s="1"/>
  <c r="N1592" i="4" s="1"/>
  <c r="W1607" i="4"/>
  <c r="W1620" i="4"/>
  <c r="M1620" i="4" s="1"/>
  <c r="N1620" i="4" s="1"/>
  <c r="W1635" i="4"/>
  <c r="W1650" i="4"/>
  <c r="W1663" i="4"/>
  <c r="W1678" i="4"/>
  <c r="W1692" i="4"/>
  <c r="M1692" i="4" s="1"/>
  <c r="N1692" i="4" s="1"/>
  <c r="W1706" i="4"/>
  <c r="W1720" i="4"/>
  <c r="M1720" i="4" s="1"/>
  <c r="W1735" i="4"/>
  <c r="M1735" i="4" s="1"/>
  <c r="N1735" i="4" s="1"/>
  <c r="W1748" i="4"/>
  <c r="M1748" i="4" s="1"/>
  <c r="N1748" i="4" s="1"/>
  <c r="W1763" i="4"/>
  <c r="M1763" i="4" s="1"/>
  <c r="N1763" i="4" s="1"/>
  <c r="W1778" i="4"/>
  <c r="M1778" i="4" s="1"/>
  <c r="N1778" i="4" s="1"/>
  <c r="W1791" i="4"/>
  <c r="M1791" i="4" s="1"/>
  <c r="N1791" i="4" s="1"/>
  <c r="W1806" i="4"/>
  <c r="W1820" i="4"/>
  <c r="M1820" i="4" s="1"/>
  <c r="N1820" i="4" s="1"/>
  <c r="W784" i="4"/>
  <c r="M784" i="4" s="1"/>
  <c r="N784" i="4" s="1"/>
  <c r="W806" i="4"/>
  <c r="M806" i="4" s="1"/>
  <c r="N806" i="4" s="1"/>
  <c r="W833" i="4"/>
  <c r="W860" i="4"/>
  <c r="M860" i="4" s="1"/>
  <c r="N860" i="4" s="1"/>
  <c r="W883" i="4"/>
  <c r="W910" i="4"/>
  <c r="M910" i="4" s="1"/>
  <c r="N910" i="4" s="1"/>
  <c r="W931" i="4"/>
  <c r="W949" i="4"/>
  <c r="W969" i="4"/>
  <c r="W989" i="4"/>
  <c r="W1007" i="4"/>
  <c r="W1027" i="4"/>
  <c r="M1027" i="4" s="1"/>
  <c r="N1027" i="4" s="1"/>
  <c r="W1045" i="4"/>
  <c r="W1064" i="4"/>
  <c r="M1064" i="4" s="1"/>
  <c r="N1064" i="4" s="1"/>
  <c r="W1083" i="4"/>
  <c r="M1083" i="4" s="1"/>
  <c r="N1083" i="4" s="1"/>
  <c r="W1103" i="4"/>
  <c r="W1120" i="4"/>
  <c r="M1120" i="4" s="1"/>
  <c r="N1120" i="4" s="1"/>
  <c r="W1139" i="4"/>
  <c r="M1139" i="4" s="1"/>
  <c r="N1139" i="4" s="1"/>
  <c r="W1154" i="4"/>
  <c r="W1167" i="4"/>
  <c r="M1167" i="4" s="1"/>
  <c r="N1167" i="4" s="1"/>
  <c r="W1182" i="4"/>
  <c r="M1182" i="4" s="1"/>
  <c r="N1182" i="4" s="1"/>
  <c r="W1196" i="4"/>
  <c r="M1196" i="4" s="1"/>
  <c r="W1210" i="4"/>
  <c r="M1210" i="4" s="1"/>
  <c r="N1210" i="4" s="1"/>
  <c r="W1224" i="4"/>
  <c r="M1224" i="4" s="1"/>
  <c r="N1224" i="4" s="1"/>
  <c r="W1239" i="4"/>
  <c r="W1252" i="4"/>
  <c r="M1252" i="4" s="1"/>
  <c r="N1252" i="4" s="1"/>
  <c r="W1267" i="4"/>
  <c r="M1267" i="4" s="1"/>
  <c r="N1267" i="4" s="1"/>
  <c r="W1282" i="4"/>
  <c r="M1282" i="4" s="1"/>
  <c r="N1282" i="4" s="1"/>
  <c r="W1295" i="4"/>
  <c r="M1295" i="4" s="1"/>
  <c r="N1295" i="4" s="1"/>
  <c r="W1310" i="4"/>
  <c r="M1310" i="4" s="1"/>
  <c r="N1310" i="4" s="1"/>
  <c r="W1324" i="4"/>
  <c r="M1324" i="4" s="1"/>
  <c r="N1324" i="4" s="1"/>
  <c r="W1338" i="4"/>
  <c r="M1338" i="4" s="1"/>
  <c r="W1352" i="4"/>
  <c r="M1352" i="4" s="1"/>
  <c r="N1352" i="4" s="1"/>
  <c r="W1367" i="4"/>
  <c r="W1380" i="4"/>
  <c r="M1380" i="4" s="1"/>
  <c r="N1380" i="4" s="1"/>
  <c r="W1395" i="4"/>
  <c r="M1395" i="4" s="1"/>
  <c r="N1395" i="4" s="1"/>
  <c r="W1410" i="4"/>
  <c r="W1423" i="4"/>
  <c r="M1423" i="4" s="1"/>
  <c r="W1438" i="4"/>
  <c r="M1438" i="4" s="1"/>
  <c r="N1438" i="4" s="1"/>
  <c r="W1452" i="4"/>
  <c r="M1452" i="4" s="1"/>
  <c r="N1452" i="4" s="1"/>
  <c r="W1466" i="4"/>
  <c r="M1466" i="4" s="1"/>
  <c r="N1466" i="4" s="1"/>
  <c r="W1480" i="4"/>
  <c r="M1480" i="4" s="1"/>
  <c r="N1480" i="4" s="1"/>
  <c r="W1495" i="4"/>
  <c r="M1495" i="4" s="1"/>
  <c r="N1495" i="4" s="1"/>
  <c r="W1508" i="4"/>
  <c r="M1508" i="4" s="1"/>
  <c r="N1508" i="4" s="1"/>
  <c r="W1523" i="4"/>
  <c r="M1523" i="4" s="1"/>
  <c r="N1523" i="4" s="1"/>
  <c r="W1538" i="4"/>
  <c r="W1551" i="4"/>
  <c r="W1566" i="4"/>
  <c r="M1566" i="4" s="1"/>
  <c r="N1566" i="4" s="1"/>
  <c r="W1580" i="4"/>
  <c r="M1580" i="4" s="1"/>
  <c r="N1580" i="4" s="1"/>
  <c r="W1594" i="4"/>
  <c r="W1608" i="4"/>
  <c r="M1608" i="4" s="1"/>
  <c r="N1608" i="4" s="1"/>
  <c r="W1623" i="4"/>
  <c r="M1623" i="4" s="1"/>
  <c r="N1623" i="4" s="1"/>
  <c r="W1636" i="4"/>
  <c r="M1636" i="4" s="1"/>
  <c r="N1636" i="4" s="1"/>
  <c r="W1651" i="4"/>
  <c r="M1651" i="4" s="1"/>
  <c r="N1651" i="4" s="1"/>
  <c r="W1666" i="4"/>
  <c r="M1666" i="4" s="1"/>
  <c r="N1666" i="4" s="1"/>
  <c r="W1679" i="4"/>
  <c r="W1694" i="4"/>
  <c r="W1708" i="4"/>
  <c r="M1708" i="4" s="1"/>
  <c r="W1722" i="4"/>
  <c r="M1722" i="4" s="1"/>
  <c r="W1736" i="4"/>
  <c r="M1736" i="4" s="1"/>
  <c r="N1736" i="4" s="1"/>
  <c r="W1751" i="4"/>
  <c r="M1751" i="4" s="1"/>
  <c r="N1751" i="4" s="1"/>
  <c r="W1764" i="4"/>
  <c r="M1764" i="4" s="1"/>
  <c r="N1764" i="4" s="1"/>
  <c r="W1779" i="4"/>
  <c r="M1779" i="4" s="1"/>
  <c r="N1779" i="4" s="1"/>
  <c r="W1794" i="4"/>
  <c r="W1807" i="4"/>
  <c r="M1807" i="4" s="1"/>
  <c r="N1807" i="4" s="1"/>
  <c r="W1822" i="4"/>
  <c r="M1822" i="4" s="1"/>
  <c r="N1822" i="4" s="1"/>
  <c r="W764" i="4"/>
  <c r="W792" i="4"/>
  <c r="M792" i="4" s="1"/>
  <c r="N792" i="4" s="1"/>
  <c r="W817" i="4"/>
  <c r="W842" i="4"/>
  <c r="M842" i="4" s="1"/>
  <c r="N842" i="4" s="1"/>
  <c r="W869" i="4"/>
  <c r="W893" i="4"/>
  <c r="W918" i="4"/>
  <c r="W938" i="4"/>
  <c r="W957" i="4"/>
  <c r="W976" i="4"/>
  <c r="M976" i="4" s="1"/>
  <c r="N976" i="4" s="1"/>
  <c r="W996" i="4"/>
  <c r="M996" i="4" s="1"/>
  <c r="N996" i="4" s="1"/>
  <c r="W1013" i="4"/>
  <c r="W1033" i="4"/>
  <c r="W1053" i="4"/>
  <c r="W1071" i="4"/>
  <c r="M1071" i="4" s="1"/>
  <c r="W1091" i="4"/>
  <c r="W1109" i="4"/>
  <c r="W1128" i="4"/>
  <c r="M1128" i="4" s="1"/>
  <c r="W1144" i="4"/>
  <c r="M1144" i="4" s="1"/>
  <c r="W1159" i="4"/>
  <c r="M1159" i="4" s="1"/>
  <c r="N1159" i="4" s="1"/>
  <c r="W1172" i="4"/>
  <c r="M1172" i="4" s="1"/>
  <c r="N1172" i="4" s="1"/>
  <c r="W1187" i="4"/>
  <c r="M1187" i="4" s="1"/>
  <c r="N1187" i="4" s="1"/>
  <c r="W1202" i="4"/>
  <c r="W1215" i="4"/>
  <c r="W1230" i="4"/>
  <c r="M1230" i="4" s="1"/>
  <c r="N1230" i="4" s="1"/>
  <c r="W1244" i="4"/>
  <c r="M1244" i="4" s="1"/>
  <c r="N1244" i="4" s="1"/>
  <c r="W1258" i="4"/>
  <c r="W1272" i="4"/>
  <c r="M1272" i="4" s="1"/>
  <c r="N1272" i="4" s="1"/>
  <c r="W1287" i="4"/>
  <c r="W1300" i="4"/>
  <c r="M1300" i="4" s="1"/>
  <c r="N1300" i="4" s="1"/>
  <c r="W1315" i="4"/>
  <c r="M1315" i="4" s="1"/>
  <c r="N1315" i="4" s="1"/>
  <c r="W1330" i="4"/>
  <c r="M1330" i="4" s="1"/>
  <c r="N1330" i="4" s="1"/>
  <c r="W1343" i="4"/>
  <c r="M1343" i="4" s="1"/>
  <c r="N1343" i="4" s="1"/>
  <c r="W1358" i="4"/>
  <c r="W1372" i="4"/>
  <c r="M1372" i="4" s="1"/>
  <c r="N1372" i="4" s="1"/>
  <c r="W1386" i="4"/>
  <c r="W1400" i="4"/>
  <c r="M1400" i="4" s="1"/>
  <c r="N1400" i="4" s="1"/>
  <c r="W1415" i="4"/>
  <c r="M1415" i="4" s="1"/>
  <c r="W1428" i="4"/>
  <c r="M1428" i="4" s="1"/>
  <c r="N1428" i="4" s="1"/>
  <c r="W1443" i="4"/>
  <c r="W1458" i="4"/>
  <c r="M1458" i="4" s="1"/>
  <c r="N1458" i="4" s="1"/>
  <c r="W1471" i="4"/>
  <c r="M1471" i="4" s="1"/>
  <c r="W1486" i="4"/>
  <c r="W1500" i="4"/>
  <c r="M1500" i="4" s="1"/>
  <c r="N1500" i="4" s="1"/>
  <c r="W1514" i="4"/>
  <c r="M1514" i="4" s="1"/>
  <c r="N1514" i="4" s="1"/>
  <c r="W1528" i="4"/>
  <c r="M1528" i="4" s="1"/>
  <c r="N1528" i="4" s="1"/>
  <c r="W1543" i="4"/>
  <c r="W1556" i="4"/>
  <c r="M1556" i="4" s="1"/>
  <c r="N1556" i="4" s="1"/>
  <c r="W1571" i="4"/>
  <c r="M1571" i="4" s="1"/>
  <c r="N1571" i="4" s="1"/>
  <c r="W1586" i="4"/>
  <c r="M1586" i="4" s="1"/>
  <c r="N1586" i="4" s="1"/>
  <c r="W1599" i="4"/>
  <c r="W1614" i="4"/>
  <c r="W1628" i="4"/>
  <c r="M1628" i="4" s="1"/>
  <c r="N1628" i="4" s="1"/>
  <c r="W1642" i="4"/>
  <c r="M1642" i="4" s="1"/>
  <c r="N1642" i="4" s="1"/>
  <c r="W1656" i="4"/>
  <c r="M1656" i="4" s="1"/>
  <c r="N1656" i="4" s="1"/>
  <c r="W1671" i="4"/>
  <c r="M1671" i="4" s="1"/>
  <c r="W1684" i="4"/>
  <c r="M1684" i="4" s="1"/>
  <c r="W1699" i="4"/>
  <c r="W1714" i="4"/>
  <c r="M1714" i="4" s="1"/>
  <c r="N1714" i="4" s="1"/>
  <c r="W1727" i="4"/>
  <c r="M1727" i="4" s="1"/>
  <c r="N1727" i="4" s="1"/>
  <c r="W1742" i="4"/>
  <c r="W1756" i="4"/>
  <c r="M1756" i="4" s="1"/>
  <c r="N1756" i="4" s="1"/>
  <c r="W1770" i="4"/>
  <c r="M1770" i="4" s="1"/>
  <c r="N1770" i="4" s="1"/>
  <c r="W1784" i="4"/>
  <c r="M1784" i="4" s="1"/>
  <c r="N1784" i="4" s="1"/>
  <c r="W1799" i="4"/>
  <c r="M1799" i="4" s="1"/>
  <c r="N1799" i="4" s="1"/>
  <c r="W1812" i="4"/>
  <c r="M1812" i="4" s="1"/>
  <c r="W766" i="4"/>
  <c r="M766" i="4" s="1"/>
  <c r="N766" i="4" s="1"/>
  <c r="W796" i="4"/>
  <c r="M796" i="4" s="1"/>
  <c r="W821" i="4"/>
  <c r="W845" i="4"/>
  <c r="W870" i="4"/>
  <c r="W898" i="4"/>
  <c r="M898" i="4" s="1"/>
  <c r="N898" i="4" s="1"/>
  <c r="W919" i="4"/>
  <c r="M919" i="4" s="1"/>
  <c r="N919" i="4" s="1"/>
  <c r="W940" i="4"/>
  <c r="M940" i="4" s="1"/>
  <c r="N940" i="4" s="1"/>
  <c r="W960" i="4"/>
  <c r="M960" i="4" s="1"/>
  <c r="N960" i="4" s="1"/>
  <c r="W979" i="4"/>
  <c r="W997" i="4"/>
  <c r="W1017" i="4"/>
  <c r="W1035" i="4"/>
  <c r="W1055" i="4"/>
  <c r="M1055" i="4" s="1"/>
  <c r="N1055" i="4" s="1"/>
  <c r="W1075" i="4"/>
  <c r="W1092" i="4"/>
  <c r="M1092" i="4" s="1"/>
  <c r="N1092" i="4" s="1"/>
  <c r="W1112" i="4"/>
  <c r="M1112" i="4" s="1"/>
  <c r="N1112" i="4" s="1"/>
  <c r="W1131" i="4"/>
  <c r="M1131" i="4" s="1"/>
  <c r="W1146" i="4"/>
  <c r="M1146" i="4" s="1"/>
  <c r="W1160" i="4"/>
  <c r="M1160" i="4" s="1"/>
  <c r="N1160" i="4" s="1"/>
  <c r="W1175" i="4"/>
  <c r="W1188" i="4"/>
  <c r="M1188" i="4" s="1"/>
  <c r="N1188" i="4" s="1"/>
  <c r="W1203" i="4"/>
  <c r="M1203" i="4" s="1"/>
  <c r="N1203" i="4" s="1"/>
  <c r="W1218" i="4"/>
  <c r="W1231" i="4"/>
  <c r="M1231" i="4" s="1"/>
  <c r="N1231" i="4" s="1"/>
  <c r="W1246" i="4"/>
  <c r="M1246" i="4" s="1"/>
  <c r="N1246" i="4" s="1"/>
  <c r="W1260" i="4"/>
  <c r="M1260" i="4" s="1"/>
  <c r="N1260" i="4" s="1"/>
  <c r="W1274" i="4"/>
  <c r="M1274" i="4" s="1"/>
  <c r="N1274" i="4" s="1"/>
  <c r="W1288" i="4"/>
  <c r="M1288" i="4" s="1"/>
  <c r="N1288" i="4" s="1"/>
  <c r="W1303" i="4"/>
  <c r="M1303" i="4" s="1"/>
  <c r="N1303" i="4" s="1"/>
  <c r="W1316" i="4"/>
  <c r="M1316" i="4" s="1"/>
  <c r="N1316" i="4" s="1"/>
  <c r="W1331" i="4"/>
  <c r="W1346" i="4"/>
  <c r="W1359" i="4"/>
  <c r="W1374" i="4"/>
  <c r="M1374" i="4" s="1"/>
  <c r="N1374" i="4" s="1"/>
  <c r="W1388" i="4"/>
  <c r="M1388" i="4" s="1"/>
  <c r="N1388" i="4" s="1"/>
  <c r="W1402" i="4"/>
  <c r="M1402" i="4" s="1"/>
  <c r="N1402" i="4" s="1"/>
  <c r="W1416" i="4"/>
  <c r="M1416" i="4" s="1"/>
  <c r="N1416" i="4" s="1"/>
  <c r="W1431" i="4"/>
  <c r="M1431" i="4" s="1"/>
  <c r="N1431" i="4" s="1"/>
  <c r="W1444" i="4"/>
  <c r="M1444" i="4" s="1"/>
  <c r="N1444" i="4" s="1"/>
  <c r="W1459" i="4"/>
  <c r="M1459" i="4" s="1"/>
  <c r="N1459" i="4" s="1"/>
  <c r="W1474" i="4"/>
  <c r="W1487" i="4"/>
  <c r="W1502" i="4"/>
  <c r="W1516" i="4"/>
  <c r="M1516" i="4" s="1"/>
  <c r="N1516" i="4" s="1"/>
  <c r="W1530" i="4"/>
  <c r="W1544" i="4"/>
  <c r="M1544" i="4" s="1"/>
  <c r="N1544" i="4" s="1"/>
  <c r="W1559" i="4"/>
  <c r="W1572" i="4"/>
  <c r="M1572" i="4" s="1"/>
  <c r="N1572" i="4" s="1"/>
  <c r="W1587" i="4"/>
  <c r="M1587" i="4" s="1"/>
  <c r="W1602" i="4"/>
  <c r="M1602" i="4" s="1"/>
  <c r="W1615" i="4"/>
  <c r="M1615" i="4" s="1"/>
  <c r="N1615" i="4" s="1"/>
  <c r="W1630" i="4"/>
  <c r="W1644" i="4"/>
  <c r="M1644" i="4" s="1"/>
  <c r="N1644" i="4" s="1"/>
  <c r="W1658" i="4"/>
  <c r="M1658" i="4" s="1"/>
  <c r="N1658" i="4" s="1"/>
  <c r="W1672" i="4"/>
  <c r="M1672" i="4" s="1"/>
  <c r="N1672" i="4" s="1"/>
  <c r="W1687" i="4"/>
  <c r="M1687" i="4" s="1"/>
  <c r="N1687" i="4" s="1"/>
  <c r="W1700" i="4"/>
  <c r="M1700" i="4" s="1"/>
  <c r="N1700" i="4" s="1"/>
  <c r="W1715" i="4"/>
  <c r="W1730" i="4"/>
  <c r="W1743" i="4"/>
  <c r="M1743" i="4" s="1"/>
  <c r="N1743" i="4" s="1"/>
  <c r="W1758" i="4"/>
  <c r="M1758" i="4" s="1"/>
  <c r="N1758" i="4" s="1"/>
  <c r="W1772" i="4"/>
  <c r="M1772" i="4" s="1"/>
  <c r="N1772" i="4" s="1"/>
  <c r="W1786" i="4"/>
  <c r="M1786" i="4" s="1"/>
  <c r="N1786" i="4" s="1"/>
  <c r="W1800" i="4"/>
  <c r="M1800" i="4" s="1"/>
  <c r="W1815" i="4"/>
  <c r="M1815" i="4" s="1"/>
  <c r="N1815" i="4" s="1"/>
  <c r="W942" i="4"/>
  <c r="W927" i="4"/>
  <c r="W874" i="4"/>
  <c r="P1841" i="4"/>
  <c r="P1845" i="4"/>
  <c r="P1842" i="4"/>
  <c r="P1846" i="4"/>
  <c r="P1839" i="4"/>
  <c r="P1843" i="4"/>
  <c r="P1847" i="4"/>
  <c r="P1840" i="4"/>
  <c r="P1844" i="4"/>
  <c r="S1844" i="4" s="1"/>
  <c r="P1848" i="4"/>
  <c r="P1834" i="4"/>
  <c r="P1826" i="4"/>
  <c r="P1835" i="4"/>
  <c r="P1827" i="4"/>
  <c r="P1838" i="4"/>
  <c r="P1830" i="4"/>
  <c r="P1829" i="4"/>
  <c r="P1837" i="4"/>
  <c r="P1836" i="4"/>
  <c r="P1833" i="4"/>
  <c r="P1832" i="4"/>
  <c r="P1831" i="4"/>
  <c r="P1828" i="4"/>
  <c r="P1824" i="4"/>
  <c r="Q1824" i="4" s="1"/>
  <c r="P1825" i="4"/>
  <c r="Q1825" i="4" s="1"/>
  <c r="P782" i="4"/>
  <c r="P765" i="4"/>
  <c r="U777" i="4" s="1"/>
  <c r="P806" i="4"/>
  <c r="S806" i="4" s="1"/>
  <c r="P864" i="4"/>
  <c r="P1026" i="4"/>
  <c r="S1026" i="4" s="1"/>
  <c r="P1083" i="4"/>
  <c r="S1083" i="4" s="1"/>
  <c r="P1099" i="4"/>
  <c r="P1115" i="4"/>
  <c r="P1135" i="4"/>
  <c r="P1151" i="4"/>
  <c r="P1171" i="4"/>
  <c r="P1183" i="4"/>
  <c r="S1183" i="4" s="1"/>
  <c r="P1195" i="4"/>
  <c r="S1195" i="4" s="1"/>
  <c r="P1207" i="4"/>
  <c r="P771" i="4"/>
  <c r="U771" i="4" s="1"/>
  <c r="P812" i="4"/>
  <c r="P930" i="4"/>
  <c r="P1067" i="4"/>
  <c r="P1087" i="4"/>
  <c r="P1103" i="4"/>
  <c r="P1120" i="4"/>
  <c r="P1139" i="4"/>
  <c r="P1155" i="4"/>
  <c r="P1174" i="4"/>
  <c r="P1184" i="4"/>
  <c r="P1198" i="4"/>
  <c r="P1208" i="4"/>
  <c r="S1208" i="4" s="1"/>
  <c r="P1220" i="4"/>
  <c r="P1232" i="4"/>
  <c r="S1232" i="4" s="1"/>
  <c r="P1251" i="4"/>
  <c r="P1271" i="4"/>
  <c r="P1283" i="4"/>
  <c r="P1295" i="4"/>
  <c r="P1319" i="4"/>
  <c r="P1335" i="4"/>
  <c r="P1355" i="4"/>
  <c r="P1379" i="4"/>
  <c r="P1399" i="4"/>
  <c r="P1419" i="4"/>
  <c r="S1419" i="4" s="1"/>
  <c r="P1443" i="4"/>
  <c r="P1463" i="4"/>
  <c r="U1482" i="4" s="1"/>
  <c r="P1483" i="4"/>
  <c r="P1507" i="4"/>
  <c r="S1507" i="4" s="1"/>
  <c r="P1527" i="4"/>
  <c r="P1547" i="4"/>
  <c r="P1567" i="4"/>
  <c r="P1587" i="4"/>
  <c r="P1607" i="4"/>
  <c r="P1631" i="4"/>
  <c r="P1651" i="4"/>
  <c r="P1671" i="4"/>
  <c r="P1695" i="4"/>
  <c r="P1715" i="4"/>
  <c r="P1735" i="4"/>
  <c r="P1759" i="4"/>
  <c r="P1779" i="4"/>
  <c r="P1799" i="4"/>
  <c r="P1818" i="4"/>
  <c r="P773" i="4"/>
  <c r="S773" i="4" s="1"/>
  <c r="P932" i="4"/>
  <c r="P1091" i="4"/>
  <c r="P1123" i="4"/>
  <c r="P1163" i="4"/>
  <c r="S1163" i="4" s="1"/>
  <c r="P1187" i="4"/>
  <c r="P1211" i="4"/>
  <c r="P1227" i="4"/>
  <c r="P1243" i="4"/>
  <c r="P1275" i="4"/>
  <c r="S1275" i="4" s="1"/>
  <c r="P1287" i="4"/>
  <c r="P1311" i="4"/>
  <c r="P1339" i="4"/>
  <c r="P1367" i="4"/>
  <c r="P1395" i="4"/>
  <c r="P1427" i="4"/>
  <c r="S1427" i="4" s="1"/>
  <c r="P1451" i="4"/>
  <c r="P1479" i="4"/>
  <c r="S1479" i="4" s="1"/>
  <c r="P1511" i="4"/>
  <c r="P1539" i="4"/>
  <c r="P1563" i="4"/>
  <c r="P1591" i="4"/>
  <c r="P1619" i="4"/>
  <c r="S1619" i="4" s="1"/>
  <c r="P1647" i="4"/>
  <c r="P1679" i="4"/>
  <c r="P1703" i="4"/>
  <c r="P1731" i="4"/>
  <c r="P1763" i="4"/>
  <c r="P1791" i="4"/>
  <c r="P1815" i="4"/>
  <c r="P790" i="4"/>
  <c r="P938" i="4"/>
  <c r="P1096" i="4"/>
  <c r="P1127" i="4"/>
  <c r="P1167" i="4"/>
  <c r="P1191" i="4"/>
  <c r="P1215" i="4"/>
  <c r="P1231" i="4"/>
  <c r="S1231" i="4" s="1"/>
  <c r="P1255" i="4"/>
  <c r="P1276" i="4"/>
  <c r="P1291" i="4"/>
  <c r="P1323" i="4"/>
  <c r="P1347" i="4"/>
  <c r="P1371" i="4"/>
  <c r="P1403" i="4"/>
  <c r="P1431" i="4"/>
  <c r="P1459" i="4"/>
  <c r="P1491" i="4"/>
  <c r="S1491" i="4" s="1"/>
  <c r="P1515" i="4"/>
  <c r="P1543" i="4"/>
  <c r="P1571" i="4"/>
  <c r="P1599" i="4"/>
  <c r="P1623" i="4"/>
  <c r="P1655" i="4"/>
  <c r="S1655" i="4" s="1"/>
  <c r="P1683" i="4"/>
  <c r="P1711" i="4"/>
  <c r="P1743" i="4"/>
  <c r="S1743" i="4" s="1"/>
  <c r="P1767" i="4"/>
  <c r="P1795" i="4"/>
  <c r="P1819" i="4"/>
  <c r="P838" i="4"/>
  <c r="P1071" i="4"/>
  <c r="P1110" i="4"/>
  <c r="S1110" i="4" s="1"/>
  <c r="P1143" i="4"/>
  <c r="P1175" i="4"/>
  <c r="P1199" i="4"/>
  <c r="S1199" i="4" s="1"/>
  <c r="P1219" i="4"/>
  <c r="P1235" i="4"/>
  <c r="P1259" i="4"/>
  <c r="P1279" i="4"/>
  <c r="P1303" i="4"/>
  <c r="P1327" i="4"/>
  <c r="S1327" i="4" s="1"/>
  <c r="P1351" i="4"/>
  <c r="P1383" i="4"/>
  <c r="S1383" i="4" s="1"/>
  <c r="P1411" i="4"/>
  <c r="P1435" i="4"/>
  <c r="P1467" i="4"/>
  <c r="P1495" i="4"/>
  <c r="P1523" i="4"/>
  <c r="P1555" i="4"/>
  <c r="P1575" i="4"/>
  <c r="P1603" i="4"/>
  <c r="P1635" i="4"/>
  <c r="P1663" i="4"/>
  <c r="P1687" i="4"/>
  <c r="P1719" i="4"/>
  <c r="P1747" i="4"/>
  <c r="P1775" i="4"/>
  <c r="P1807" i="4"/>
  <c r="P1823" i="4"/>
  <c r="P854" i="4"/>
  <c r="S854" i="4" s="1"/>
  <c r="P1179" i="4"/>
  <c r="P1267" i="4"/>
  <c r="P1363" i="4"/>
  <c r="P1475" i="4"/>
  <c r="P1583" i="4"/>
  <c r="S1583" i="4" s="1"/>
  <c r="P1699" i="4"/>
  <c r="P1811" i="4"/>
  <c r="P1075" i="4"/>
  <c r="P1203" i="4"/>
  <c r="P1284" i="4"/>
  <c r="P1387" i="4"/>
  <c r="P1499" i="4"/>
  <c r="P1615" i="4"/>
  <c r="S1615" i="4" s="1"/>
  <c r="P1727" i="4"/>
  <c r="P1111" i="4"/>
  <c r="S1111" i="4" s="1"/>
  <c r="P1223" i="4"/>
  <c r="P1307" i="4"/>
  <c r="P1415" i="4"/>
  <c r="P1531" i="4"/>
  <c r="P1639" i="4"/>
  <c r="P1751" i="4"/>
  <c r="P1150" i="4"/>
  <c r="P1559" i="4"/>
  <c r="P1239" i="4"/>
  <c r="P1667" i="4"/>
  <c r="P1331" i="4"/>
  <c r="P1783" i="4"/>
  <c r="S1783" i="4" s="1"/>
  <c r="P1447" i="4"/>
  <c r="P763" i="4"/>
  <c r="P1808" i="4"/>
  <c r="S1808" i="4" s="1"/>
  <c r="P1792" i="4"/>
  <c r="P1776" i="4"/>
  <c r="P1760" i="4"/>
  <c r="P1744" i="4"/>
  <c r="S1744" i="4" s="1"/>
  <c r="P1728" i="4"/>
  <c r="P1712" i="4"/>
  <c r="P1696" i="4"/>
  <c r="P1680" i="4"/>
  <c r="P1664" i="4"/>
  <c r="P1648" i="4"/>
  <c r="S1648" i="4" s="1"/>
  <c r="P1572" i="4"/>
  <c r="P1540" i="4"/>
  <c r="S1540" i="4" s="1"/>
  <c r="P1508" i="4"/>
  <c r="P1472" i="4"/>
  <c r="P1632" i="4"/>
  <c r="P1616" i="4"/>
  <c r="P1600" i="4"/>
  <c r="P1576" i="4"/>
  <c r="P1544" i="4"/>
  <c r="P1512" i="4"/>
  <c r="P1484" i="4"/>
  <c r="P1803" i="4"/>
  <c r="P1739" i="4"/>
  <c r="P1675" i="4"/>
  <c r="P1611" i="4"/>
  <c r="P1535" i="4"/>
  <c r="P1471" i="4"/>
  <c r="P1407" i="4"/>
  <c r="S1407" i="4" s="1"/>
  <c r="P1343" i="4"/>
  <c r="P1247" i="4"/>
  <c r="P1119" i="4"/>
  <c r="P1063" i="4"/>
  <c r="P1047" i="4"/>
  <c r="S1047" i="4" s="1"/>
  <c r="P1031" i="4"/>
  <c r="P1806" i="4"/>
  <c r="P1817" i="4"/>
  <c r="P1801" i="4"/>
  <c r="P1785" i="4"/>
  <c r="P1769" i="4"/>
  <c r="P1753" i="4"/>
  <c r="P1737" i="4"/>
  <c r="P1721" i="4"/>
  <c r="P1705" i="4"/>
  <c r="P1689" i="4"/>
  <c r="P1673" i="4"/>
  <c r="P1657" i="4"/>
  <c r="P1641" i="4"/>
  <c r="P1625" i="4"/>
  <c r="P1609" i="4"/>
  <c r="P1593" i="4"/>
  <c r="P1577" i="4"/>
  <c r="P1561" i="4"/>
  <c r="P1545" i="4"/>
  <c r="P1529" i="4"/>
  <c r="S1529" i="4" s="1"/>
  <c r="P1513" i="4"/>
  <c r="P1497" i="4"/>
  <c r="P1481" i="4"/>
  <c r="P1465" i="4"/>
  <c r="S1465" i="4" s="1"/>
  <c r="P1449" i="4"/>
  <c r="P1433" i="4"/>
  <c r="P1417" i="4"/>
  <c r="P1401" i="4"/>
  <c r="S1401" i="4" s="1"/>
  <c r="P1385" i="4"/>
  <c r="P1369" i="4"/>
  <c r="P1353" i="4"/>
  <c r="S1353" i="4" s="1"/>
  <c r="P1337" i="4"/>
  <c r="P1321" i="4"/>
  <c r="S1321" i="4" s="1"/>
  <c r="P1305" i="4"/>
  <c r="P1289" i="4"/>
  <c r="P1273" i="4"/>
  <c r="P1257" i="4"/>
  <c r="P1241" i="4"/>
  <c r="P1225" i="4"/>
  <c r="P1209" i="4"/>
  <c r="S1209" i="4" s="1"/>
  <c r="P1015" i="4"/>
  <c r="P999" i="4"/>
  <c r="S999" i="4" s="1"/>
  <c r="P983" i="4"/>
  <c r="P967" i="4"/>
  <c r="P951" i="4"/>
  <c r="P925" i="4"/>
  <c r="P909" i="4"/>
  <c r="P893" i="4"/>
  <c r="P877" i="4"/>
  <c r="P856" i="4"/>
  <c r="P840" i="4"/>
  <c r="P824" i="4"/>
  <c r="P804" i="4"/>
  <c r="U817" i="4" s="1"/>
  <c r="P788" i="4"/>
  <c r="P767" i="4"/>
  <c r="P1786" i="4"/>
  <c r="P1770" i="4"/>
  <c r="P1754" i="4"/>
  <c r="P1738" i="4"/>
  <c r="P1722" i="4"/>
  <c r="P1706" i="4"/>
  <c r="P1690" i="4"/>
  <c r="P1674" i="4"/>
  <c r="P1658" i="4"/>
  <c r="P1642" i="4"/>
  <c r="P1626" i="4"/>
  <c r="P1610" i="4"/>
  <c r="S1610" i="4" s="1"/>
  <c r="P1594" i="4"/>
  <c r="P1578" i="4"/>
  <c r="P1562" i="4"/>
  <c r="P1546" i="4"/>
  <c r="P1530" i="4"/>
  <c r="P1514" i="4"/>
  <c r="S1514" i="4" s="1"/>
  <c r="P1498" i="4"/>
  <c r="P1482" i="4"/>
  <c r="P1466" i="4"/>
  <c r="S1466" i="4" s="1"/>
  <c r="P1189" i="4"/>
  <c r="P1173" i="4"/>
  <c r="S1173" i="4" s="1"/>
  <c r="P1157" i="4"/>
  <c r="S1157" i="4" s="1"/>
  <c r="P1141" i="4"/>
  <c r="P1125" i="4"/>
  <c r="S1125" i="4" s="1"/>
  <c r="P1109" i="4"/>
  <c r="P1093" i="4"/>
  <c r="P1077" i="4"/>
  <c r="P1061" i="4"/>
  <c r="P1045" i="4"/>
  <c r="P1029" i="4"/>
  <c r="S1029" i="4" s="1"/>
  <c r="P1013" i="4"/>
  <c r="P997" i="4"/>
  <c r="P981" i="4"/>
  <c r="P965" i="4"/>
  <c r="P949" i="4"/>
  <c r="P928" i="4"/>
  <c r="P911" i="4"/>
  <c r="P895" i="4"/>
  <c r="P879" i="4"/>
  <c r="P862" i="4"/>
  <c r="S862" i="4" s="1"/>
  <c r="P842" i="4"/>
  <c r="S842" i="4" s="1"/>
  <c r="P822" i="4"/>
  <c r="P802" i="4"/>
  <c r="P781" i="4"/>
  <c r="S781" i="4" s="1"/>
  <c r="P1456" i="4"/>
  <c r="P1440" i="4"/>
  <c r="P1424" i="4"/>
  <c r="P1408" i="4"/>
  <c r="S1408" i="4" s="1"/>
  <c r="P1392" i="4"/>
  <c r="S1392" i="4" s="1"/>
  <c r="P1376" i="4"/>
  <c r="P1360" i="4"/>
  <c r="P1344" i="4"/>
  <c r="S1344" i="4" s="1"/>
  <c r="P1328" i="4"/>
  <c r="P1312" i="4"/>
  <c r="S1312" i="4" s="1"/>
  <c r="P1296" i="4"/>
  <c r="P1272" i="4"/>
  <c r="P1256" i="4"/>
  <c r="P1240" i="4"/>
  <c r="S1240" i="4" s="1"/>
  <c r="P1216" i="4"/>
  <c r="P1196" i="4"/>
  <c r="P1176" i="4"/>
  <c r="P1160" i="4"/>
  <c r="P1144" i="4"/>
  <c r="P1128" i="4"/>
  <c r="P1108" i="4"/>
  <c r="P1454" i="4"/>
  <c r="P1438" i="4"/>
  <c r="U1438" i="4" s="1"/>
  <c r="P1422" i="4"/>
  <c r="P1406" i="4"/>
  <c r="P1390" i="4"/>
  <c r="P1374" i="4"/>
  <c r="S1374" i="4" s="1"/>
  <c r="P1358" i="4"/>
  <c r="P1342" i="4"/>
  <c r="P1326" i="4"/>
  <c r="P1310" i="4"/>
  <c r="P1294" i="4"/>
  <c r="P1278" i="4"/>
  <c r="S1278" i="4" s="1"/>
  <c r="P1262" i="4"/>
  <c r="S1262" i="4" s="1"/>
  <c r="P1246" i="4"/>
  <c r="P1230" i="4"/>
  <c r="P1214" i="4"/>
  <c r="P1194" i="4"/>
  <c r="P1178" i="4"/>
  <c r="P1158" i="4"/>
  <c r="P1138" i="4"/>
  <c r="P1122" i="4"/>
  <c r="P1102" i="4"/>
  <c r="P1086" i="4"/>
  <c r="S1086" i="4" s="1"/>
  <c r="P1070" i="4"/>
  <c r="P1054" i="4"/>
  <c r="P1038" i="4"/>
  <c r="P1018" i="4"/>
  <c r="S1018" i="4" s="1"/>
  <c r="P1002" i="4"/>
  <c r="S1002" i="4" s="1"/>
  <c r="P986" i="4"/>
  <c r="S986" i="4" s="1"/>
  <c r="P970" i="4"/>
  <c r="P954" i="4"/>
  <c r="P937" i="4"/>
  <c r="S937" i="4" s="1"/>
  <c r="P920" i="4"/>
  <c r="P904" i="4"/>
  <c r="P888" i="4"/>
  <c r="P871" i="4"/>
  <c r="P855" i="4"/>
  <c r="P839" i="4"/>
  <c r="P823" i="4"/>
  <c r="P807" i="4"/>
  <c r="P791" i="4"/>
  <c r="P774" i="4"/>
  <c r="P874" i="4"/>
  <c r="P1076" i="4"/>
  <c r="P1060" i="4"/>
  <c r="S1060" i="4" s="1"/>
  <c r="P1044" i="4"/>
  <c r="P1028" i="4"/>
  <c r="P1012" i="4"/>
  <c r="S1012" i="4" s="1"/>
  <c r="P996" i="4"/>
  <c r="S996" i="4" s="1"/>
  <c r="P980" i="4"/>
  <c r="P964" i="4"/>
  <c r="P948" i="4"/>
  <c r="S948" i="4" s="1"/>
  <c r="P931" i="4"/>
  <c r="P914" i="4"/>
  <c r="P898" i="4"/>
  <c r="P882" i="4"/>
  <c r="P865" i="4"/>
  <c r="S865" i="4" s="1"/>
  <c r="P849" i="4"/>
  <c r="P833" i="4"/>
  <c r="S833" i="4" s="1"/>
  <c r="P817" i="4"/>
  <c r="P801" i="4"/>
  <c r="P785" i="4"/>
  <c r="S785" i="4" s="1"/>
  <c r="P768" i="4"/>
  <c r="P1820" i="4"/>
  <c r="P1804" i="4"/>
  <c r="P1788" i="4"/>
  <c r="P1772" i="4"/>
  <c r="P1756" i="4"/>
  <c r="P1740" i="4"/>
  <c r="S1740" i="4" s="1"/>
  <c r="P1724" i="4"/>
  <c r="P1708" i="4"/>
  <c r="P1692" i="4"/>
  <c r="P1676" i="4"/>
  <c r="P1660" i="4"/>
  <c r="P1564" i="4"/>
  <c r="S1564" i="4" s="1"/>
  <c r="P1532" i="4"/>
  <c r="P1500" i="4"/>
  <c r="P1460" i="4"/>
  <c r="P1644" i="4"/>
  <c r="P1628" i="4"/>
  <c r="S1628" i="4" s="1"/>
  <c r="P1612" i="4"/>
  <c r="P1596" i="4"/>
  <c r="P1568" i="4"/>
  <c r="S1568" i="4" s="1"/>
  <c r="P1536" i="4"/>
  <c r="S1536" i="4" s="1"/>
  <c r="P1504" i="4"/>
  <c r="P1476" i="4"/>
  <c r="P1787" i="4"/>
  <c r="P1723" i="4"/>
  <c r="P1659" i="4"/>
  <c r="S1659" i="4" s="1"/>
  <c r="P1595" i="4"/>
  <c r="P1519" i="4"/>
  <c r="P1455" i="4"/>
  <c r="P1391" i="4"/>
  <c r="S1391" i="4" s="1"/>
  <c r="P1315" i="4"/>
  <c r="S1315" i="4" s="1"/>
  <c r="P1159" i="4"/>
  <c r="P1107" i="4"/>
  <c r="P1059" i="4"/>
  <c r="P1043" i="4"/>
  <c r="P1027" i="4"/>
  <c r="P1822" i="4"/>
  <c r="P1802" i="4"/>
  <c r="P1813" i="4"/>
  <c r="P1797" i="4"/>
  <c r="P1781" i="4"/>
  <c r="P1765" i="4"/>
  <c r="P1749" i="4"/>
  <c r="P1733" i="4"/>
  <c r="P1717" i="4"/>
  <c r="S1717" i="4" s="1"/>
  <c r="P1701" i="4"/>
  <c r="P1685" i="4"/>
  <c r="P1669" i="4"/>
  <c r="P1653" i="4"/>
  <c r="P1637" i="4"/>
  <c r="P1621" i="4"/>
  <c r="P1605" i="4"/>
  <c r="P1589" i="4"/>
  <c r="P1573" i="4"/>
  <c r="P1557" i="4"/>
  <c r="P1541" i="4"/>
  <c r="P1525" i="4"/>
  <c r="P1509" i="4"/>
  <c r="P1493" i="4"/>
  <c r="P1477" i="4"/>
  <c r="P1461" i="4"/>
  <c r="P1445" i="4"/>
  <c r="P1429" i="4"/>
  <c r="P1413" i="4"/>
  <c r="P1397" i="4"/>
  <c r="P1381" i="4"/>
  <c r="P1365" i="4"/>
  <c r="P1349" i="4"/>
  <c r="P1333" i="4"/>
  <c r="P1317" i="4"/>
  <c r="P1301" i="4"/>
  <c r="P1285" i="4"/>
  <c r="P1269" i="4"/>
  <c r="S1269" i="4" s="1"/>
  <c r="P1253" i="4"/>
  <c r="P1237" i="4"/>
  <c r="S1237" i="4" s="1"/>
  <c r="P1221" i="4"/>
  <c r="P1205" i="4"/>
  <c r="P1011" i="4"/>
  <c r="S1011" i="4" s="1"/>
  <c r="P995" i="4"/>
  <c r="S995" i="4" s="1"/>
  <c r="P979" i="4"/>
  <c r="P963" i="4"/>
  <c r="S963" i="4" s="1"/>
  <c r="P947" i="4"/>
  <c r="S947" i="4" s="1"/>
  <c r="P921" i="4"/>
  <c r="P905" i="4"/>
  <c r="P889" i="4"/>
  <c r="P872" i="4"/>
  <c r="P852" i="4"/>
  <c r="P836" i="4"/>
  <c r="P820" i="4"/>
  <c r="P800" i="4"/>
  <c r="P784" i="4"/>
  <c r="P927" i="4"/>
  <c r="S927" i="4" s="1"/>
  <c r="P1782" i="4"/>
  <c r="P1766" i="4"/>
  <c r="P1750" i="4"/>
  <c r="P1734" i="4"/>
  <c r="P1718" i="4"/>
  <c r="P1702" i="4"/>
  <c r="P1686" i="4"/>
  <c r="P1670" i="4"/>
  <c r="P1654" i="4"/>
  <c r="S1654" i="4" s="1"/>
  <c r="P1638" i="4"/>
  <c r="P1622" i="4"/>
  <c r="P1606" i="4"/>
  <c r="P1590" i="4"/>
  <c r="P1574" i="4"/>
  <c r="P1558" i="4"/>
  <c r="P1542" i="4"/>
  <c r="S1542" i="4" s="1"/>
  <c r="P1526" i="4"/>
  <c r="P1510" i="4"/>
  <c r="P1494" i="4"/>
  <c r="S1494" i="4" s="1"/>
  <c r="P1478" i="4"/>
  <c r="P1462" i="4"/>
  <c r="P1185" i="4"/>
  <c r="P1169" i="4"/>
  <c r="S1169" i="4" s="1"/>
  <c r="P1153" i="4"/>
  <c r="P1137" i="4"/>
  <c r="P1121" i="4"/>
  <c r="P1105" i="4"/>
  <c r="P1089" i="4"/>
  <c r="P1073" i="4"/>
  <c r="P1057" i="4"/>
  <c r="P1041" i="4"/>
  <c r="P1025" i="4"/>
  <c r="P1009" i="4"/>
  <c r="S1009" i="4" s="1"/>
  <c r="P993" i="4"/>
  <c r="P977" i="4"/>
  <c r="P961" i="4"/>
  <c r="P945" i="4"/>
  <c r="P923" i="4"/>
  <c r="S923" i="4" s="1"/>
  <c r="P907" i="4"/>
  <c r="S907" i="4" s="1"/>
  <c r="P891" i="4"/>
  <c r="S891" i="4" s="1"/>
  <c r="P875" i="4"/>
  <c r="P858" i="4"/>
  <c r="P834" i="4"/>
  <c r="P818" i="4"/>
  <c r="P798" i="4"/>
  <c r="P777" i="4"/>
  <c r="P1452" i="4"/>
  <c r="P1436" i="4"/>
  <c r="P1420" i="4"/>
  <c r="P1404" i="4"/>
  <c r="P1388" i="4"/>
  <c r="P1372" i="4"/>
  <c r="P1356" i="4"/>
  <c r="P1340" i="4"/>
  <c r="S1340" i="4" s="1"/>
  <c r="P1324" i="4"/>
  <c r="P1308" i="4"/>
  <c r="S1308" i="4" s="1"/>
  <c r="P1292" i="4"/>
  <c r="P1268" i="4"/>
  <c r="S1268" i="4" s="1"/>
  <c r="P1252" i="4"/>
  <c r="U1256" i="4" s="1"/>
  <c r="P1236" i="4"/>
  <c r="P1212" i="4"/>
  <c r="P1192" i="4"/>
  <c r="P1172" i="4"/>
  <c r="P1156" i="4"/>
  <c r="S1156" i="4" s="1"/>
  <c r="P1140" i="4"/>
  <c r="S1140" i="4" s="1"/>
  <c r="P1124" i="4"/>
  <c r="P1104" i="4"/>
  <c r="P1450" i="4"/>
  <c r="P1434" i="4"/>
  <c r="P1418" i="4"/>
  <c r="S1418" i="4" s="1"/>
  <c r="P1402" i="4"/>
  <c r="U1402" i="4" s="1"/>
  <c r="P1386" i="4"/>
  <c r="P1370" i="4"/>
  <c r="P1354" i="4"/>
  <c r="P1338" i="4"/>
  <c r="S1338" i="4" s="1"/>
  <c r="P1322" i="4"/>
  <c r="P1306" i="4"/>
  <c r="P1290" i="4"/>
  <c r="P1274" i="4"/>
  <c r="P1258" i="4"/>
  <c r="P1242" i="4"/>
  <c r="P1226" i="4"/>
  <c r="P1210" i="4"/>
  <c r="P1190" i="4"/>
  <c r="S1190" i="4" s="1"/>
  <c r="P1170" i="4"/>
  <c r="P1154" i="4"/>
  <c r="P1134" i="4"/>
  <c r="P1118" i="4"/>
  <c r="S1118" i="4" s="1"/>
  <c r="P1098" i="4"/>
  <c r="P1082" i="4"/>
  <c r="S1082" i="4" s="1"/>
  <c r="P1066" i="4"/>
  <c r="P1050" i="4"/>
  <c r="P1034" i="4"/>
  <c r="P1014" i="4"/>
  <c r="S1014" i="4" s="1"/>
  <c r="P998" i="4"/>
  <c r="P982" i="4"/>
  <c r="P966" i="4"/>
  <c r="P950" i="4"/>
  <c r="P933" i="4"/>
  <c r="S933" i="4" s="1"/>
  <c r="P916" i="4"/>
  <c r="S916" i="4" s="1"/>
  <c r="P900" i="4"/>
  <c r="P884" i="4"/>
  <c r="P867" i="4"/>
  <c r="P851" i="4"/>
  <c r="P835" i="4"/>
  <c r="P819" i="4"/>
  <c r="P803" i="4"/>
  <c r="S803" i="4" s="1"/>
  <c r="P787" i="4"/>
  <c r="P770" i="4"/>
  <c r="U770" i="4" s="1"/>
  <c r="P1088" i="4"/>
  <c r="U1098" i="4" s="1"/>
  <c r="P1072" i="4"/>
  <c r="P1056" i="4"/>
  <c r="S1056" i="4" s="1"/>
  <c r="P1040" i="4"/>
  <c r="P1024" i="4"/>
  <c r="P1008" i="4"/>
  <c r="P992" i="4"/>
  <c r="P976" i="4"/>
  <c r="P960" i="4"/>
  <c r="P944" i="4"/>
  <c r="S944" i="4" s="1"/>
  <c r="P926" i="4"/>
  <c r="P910" i="4"/>
  <c r="P894" i="4"/>
  <c r="S894" i="4" s="1"/>
  <c r="P878" i="4"/>
  <c r="P861" i="4"/>
  <c r="P845" i="4"/>
  <c r="P829" i="4"/>
  <c r="P813" i="4"/>
  <c r="S813" i="4" s="1"/>
  <c r="P797" i="4"/>
  <c r="P780" i="4"/>
  <c r="S780" i="4" s="1"/>
  <c r="P764" i="4"/>
  <c r="P1816" i="4"/>
  <c r="P1800" i="4"/>
  <c r="P1784" i="4"/>
  <c r="P1768" i="4"/>
  <c r="P1752" i="4"/>
  <c r="P1736" i="4"/>
  <c r="P1720" i="4"/>
  <c r="P1704" i="4"/>
  <c r="P1688" i="4"/>
  <c r="P1672" i="4"/>
  <c r="P1656" i="4"/>
  <c r="P1588" i="4"/>
  <c r="P1556" i="4"/>
  <c r="P1524" i="4"/>
  <c r="P1488" i="4"/>
  <c r="P1640" i="4"/>
  <c r="S1640" i="4" s="1"/>
  <c r="P1624" i="4"/>
  <c r="P1608" i="4"/>
  <c r="P1592" i="4"/>
  <c r="P1560" i="4"/>
  <c r="P1528" i="4"/>
  <c r="S1528" i="4" s="1"/>
  <c r="P1496" i="4"/>
  <c r="P1468" i="4"/>
  <c r="P1771" i="4"/>
  <c r="S1771" i="4" s="1"/>
  <c r="P1707" i="4"/>
  <c r="P1643" i="4"/>
  <c r="P1579" i="4"/>
  <c r="P1503" i="4"/>
  <c r="P1439" i="4"/>
  <c r="S1439" i="4" s="1"/>
  <c r="P1375" i="4"/>
  <c r="S1375" i="4" s="1"/>
  <c r="P1299" i="4"/>
  <c r="P1147" i="4"/>
  <c r="P1095" i="4"/>
  <c r="P1055" i="4"/>
  <c r="P1039" i="4"/>
  <c r="U1041" i="4" s="1"/>
  <c r="P1023" i="4"/>
  <c r="P1814" i="4"/>
  <c r="P1798" i="4"/>
  <c r="S1798" i="4" s="1"/>
  <c r="P1809" i="4"/>
  <c r="P1793" i="4"/>
  <c r="S1793" i="4" s="1"/>
  <c r="P1777" i="4"/>
  <c r="S1777" i="4" s="1"/>
  <c r="P1761" i="4"/>
  <c r="P1745" i="4"/>
  <c r="P1729" i="4"/>
  <c r="P1713" i="4"/>
  <c r="P1697" i="4"/>
  <c r="P1681" i="4"/>
  <c r="P1665" i="4"/>
  <c r="P1649" i="4"/>
  <c r="P1633" i="4"/>
  <c r="P1617" i="4"/>
  <c r="P1601" i="4"/>
  <c r="P1585" i="4"/>
  <c r="P1569" i="4"/>
  <c r="S1569" i="4" s="1"/>
  <c r="P1553" i="4"/>
  <c r="P1537" i="4"/>
  <c r="P1521" i="4"/>
  <c r="P1505" i="4"/>
  <c r="P1489" i="4"/>
  <c r="P1473" i="4"/>
  <c r="P1457" i="4"/>
  <c r="P1441" i="4"/>
  <c r="P1425" i="4"/>
  <c r="S1425" i="4" s="1"/>
  <c r="P1409" i="4"/>
  <c r="S1409" i="4" s="1"/>
  <c r="P1393" i="4"/>
  <c r="P1377" i="4"/>
  <c r="P1361" i="4"/>
  <c r="P1345" i="4"/>
  <c r="P1329" i="4"/>
  <c r="S1329" i="4" s="1"/>
  <c r="P1313" i="4"/>
  <c r="S1313" i="4" s="1"/>
  <c r="P1297" i="4"/>
  <c r="S1297" i="4" s="1"/>
  <c r="P1281" i="4"/>
  <c r="S1281" i="4" s="1"/>
  <c r="P1265" i="4"/>
  <c r="P1249" i="4"/>
  <c r="P1233" i="4"/>
  <c r="P1217" i="4"/>
  <c r="P1201" i="4"/>
  <c r="P1007" i="4"/>
  <c r="P991" i="4"/>
  <c r="S991" i="4" s="1"/>
  <c r="P975" i="4"/>
  <c r="P959" i="4"/>
  <c r="P943" i="4"/>
  <c r="S943" i="4" s="1"/>
  <c r="P917" i="4"/>
  <c r="S917" i="4" s="1"/>
  <c r="P901" i="4"/>
  <c r="P885" i="4"/>
  <c r="P868" i="4"/>
  <c r="P848" i="4"/>
  <c r="P832" i="4"/>
  <c r="P816" i="4"/>
  <c r="P796" i="4"/>
  <c r="P779" i="4"/>
  <c r="P1794" i="4"/>
  <c r="P1778" i="4"/>
  <c r="S1778" i="4" s="1"/>
  <c r="P1762" i="4"/>
  <c r="P1746" i="4"/>
  <c r="P1730" i="4"/>
  <c r="P1714" i="4"/>
  <c r="P1698" i="4"/>
  <c r="P1682" i="4"/>
  <c r="P1666" i="4"/>
  <c r="P1650" i="4"/>
  <c r="P1634" i="4"/>
  <c r="S1634" i="4" s="1"/>
  <c r="P1618" i="4"/>
  <c r="P1602" i="4"/>
  <c r="P1586" i="4"/>
  <c r="P1570" i="4"/>
  <c r="P1554" i="4"/>
  <c r="P1538" i="4"/>
  <c r="P1522" i="4"/>
  <c r="P1506" i="4"/>
  <c r="P1490" i="4"/>
  <c r="P1474" i="4"/>
  <c r="P1458" i="4"/>
  <c r="S1458" i="4" s="1"/>
  <c r="P1181" i="4"/>
  <c r="P1165" i="4"/>
  <c r="S1165" i="4" s="1"/>
  <c r="P1149" i="4"/>
  <c r="S1149" i="4" s="1"/>
  <c r="P1133" i="4"/>
  <c r="P1117" i="4"/>
  <c r="P1101" i="4"/>
  <c r="P1085" i="4"/>
  <c r="P1069" i="4"/>
  <c r="P1053" i="4"/>
  <c r="S1053" i="4" s="1"/>
  <c r="P1037" i="4"/>
  <c r="P1021" i="4"/>
  <c r="P1005" i="4"/>
  <c r="P989" i="4"/>
  <c r="P973" i="4"/>
  <c r="P957" i="4"/>
  <c r="U965" i="4" s="1"/>
  <c r="P940" i="4"/>
  <c r="P919" i="4"/>
  <c r="U919" i="4" s="1"/>
  <c r="P903" i="4"/>
  <c r="P887" i="4"/>
  <c r="P870" i="4"/>
  <c r="P850" i="4"/>
  <c r="P830" i="4"/>
  <c r="P814" i="4"/>
  <c r="S814" i="4" s="1"/>
  <c r="P794" i="4"/>
  <c r="P769" i="4"/>
  <c r="P1448" i="4"/>
  <c r="P1432" i="4"/>
  <c r="P1416" i="4"/>
  <c r="P1400" i="4"/>
  <c r="P1384" i="4"/>
  <c r="P1368" i="4"/>
  <c r="P1352" i="4"/>
  <c r="P1336" i="4"/>
  <c r="P1320" i="4"/>
  <c r="P1304" i="4"/>
  <c r="S1304" i="4" s="1"/>
  <c r="P1288" i="4"/>
  <c r="P1264" i="4"/>
  <c r="P1248" i="4"/>
  <c r="S1248" i="4" s="1"/>
  <c r="P1228" i="4"/>
  <c r="P1204" i="4"/>
  <c r="P1188" i="4"/>
  <c r="P1168" i="4"/>
  <c r="P1152" i="4"/>
  <c r="P1136" i="4"/>
  <c r="S1136" i="4" s="1"/>
  <c r="P1116" i="4"/>
  <c r="S1116" i="4" s="1"/>
  <c r="P1100" i="4"/>
  <c r="P1446" i="4"/>
  <c r="P1430" i="4"/>
  <c r="P1414" i="4"/>
  <c r="P1398" i="4"/>
  <c r="P1382" i="4"/>
  <c r="P1366" i="4"/>
  <c r="P1350" i="4"/>
  <c r="P1334" i="4"/>
  <c r="P1318" i="4"/>
  <c r="P1302" i="4"/>
  <c r="P1286" i="4"/>
  <c r="P1270" i="4"/>
  <c r="P1254" i="4"/>
  <c r="S1254" i="4" s="1"/>
  <c r="P1238" i="4"/>
  <c r="P1222" i="4"/>
  <c r="S1222" i="4" s="1"/>
  <c r="P1206" i="4"/>
  <c r="P1186" i="4"/>
  <c r="P1166" i="4"/>
  <c r="P1146" i="4"/>
  <c r="P1130" i="4"/>
  <c r="P1114" i="4"/>
  <c r="P1094" i="4"/>
  <c r="P1078" i="4"/>
  <c r="P1062" i="4"/>
  <c r="P1046" i="4"/>
  <c r="P1030" i="4"/>
  <c r="S1030" i="4" s="1"/>
  <c r="P1010" i="4"/>
  <c r="S1010" i="4" s="1"/>
  <c r="P994" i="4"/>
  <c r="S994" i="4" s="1"/>
  <c r="P978" i="4"/>
  <c r="P962" i="4"/>
  <c r="P946" i="4"/>
  <c r="P929" i="4"/>
  <c r="P912" i="4"/>
  <c r="P896" i="4"/>
  <c r="P880" i="4"/>
  <c r="P863" i="4"/>
  <c r="P847" i="4"/>
  <c r="P831" i="4"/>
  <c r="U836" i="4" s="1"/>
  <c r="P815" i="4"/>
  <c r="S815" i="4" s="1"/>
  <c r="P799" i="4"/>
  <c r="P783" i="4"/>
  <c r="P766" i="4"/>
  <c r="S766" i="4" s="1"/>
  <c r="P1084" i="4"/>
  <c r="S1084" i="4" s="1"/>
  <c r="P1068" i="4"/>
  <c r="P1052" i="4"/>
  <c r="P1036" i="4"/>
  <c r="P1020" i="4"/>
  <c r="P1004" i="4"/>
  <c r="S1004" i="4" s="1"/>
  <c r="P988" i="4"/>
  <c r="P972" i="4"/>
  <c r="P956" i="4"/>
  <c r="P939" i="4"/>
  <c r="P922" i="4"/>
  <c r="S922" i="4" s="1"/>
  <c r="P906" i="4"/>
  <c r="S906" i="4" s="1"/>
  <c r="P890" i="4"/>
  <c r="P873" i="4"/>
  <c r="P857" i="4"/>
  <c r="P841" i="4"/>
  <c r="P825" i="4"/>
  <c r="S825" i="4" s="1"/>
  <c r="P809" i="4"/>
  <c r="P793" i="4"/>
  <c r="P776" i="4"/>
  <c r="P942" i="4"/>
  <c r="P1812" i="4"/>
  <c r="P1796" i="4"/>
  <c r="P1780" i="4"/>
  <c r="P1764" i="4"/>
  <c r="P1748" i="4"/>
  <c r="S1748" i="4" s="1"/>
  <c r="P1732" i="4"/>
  <c r="P1716" i="4"/>
  <c r="P1700" i="4"/>
  <c r="P1684" i="4"/>
  <c r="P1668" i="4"/>
  <c r="P1652" i="4"/>
  <c r="S1652" i="4" s="1"/>
  <c r="P1580" i="4"/>
  <c r="P1548" i="4"/>
  <c r="P1516" i="4"/>
  <c r="P1480" i="4"/>
  <c r="P1636" i="4"/>
  <c r="P1620" i="4"/>
  <c r="P1604" i="4"/>
  <c r="S1604" i="4" s="1"/>
  <c r="P1584" i="4"/>
  <c r="S1584" i="4" s="1"/>
  <c r="P1552" i="4"/>
  <c r="P1520" i="4"/>
  <c r="P1492" i="4"/>
  <c r="P1464" i="4"/>
  <c r="P1755" i="4"/>
  <c r="P1691" i="4"/>
  <c r="P1627" i="4"/>
  <c r="P1551" i="4"/>
  <c r="P1487" i="4"/>
  <c r="P1423" i="4"/>
  <c r="P1359" i="4"/>
  <c r="P1263" i="4"/>
  <c r="P1131" i="4"/>
  <c r="P1079" i="4"/>
  <c r="S1079" i="4" s="1"/>
  <c r="P1051" i="4"/>
  <c r="S1051" i="4" s="1"/>
  <c r="P1035" i="4"/>
  <c r="P1019" i="4"/>
  <c r="P1810" i="4"/>
  <c r="P1821" i="4"/>
  <c r="P1805" i="4"/>
  <c r="S1805" i="4" s="1"/>
  <c r="P1789" i="4"/>
  <c r="P1773" i="4"/>
  <c r="P1757" i="4"/>
  <c r="P1741" i="4"/>
  <c r="P1725" i="4"/>
  <c r="S1725" i="4" s="1"/>
  <c r="P1709" i="4"/>
  <c r="P1693" i="4"/>
  <c r="S1693" i="4" s="1"/>
  <c r="P1677" i="4"/>
  <c r="S1677" i="4" s="1"/>
  <c r="P1661" i="4"/>
  <c r="P1645" i="4"/>
  <c r="P1629" i="4"/>
  <c r="P1613" i="4"/>
  <c r="P1597" i="4"/>
  <c r="P1581" i="4"/>
  <c r="P1565" i="4"/>
  <c r="S1565" i="4" s="1"/>
  <c r="P1549" i="4"/>
  <c r="P1533" i="4"/>
  <c r="P1517" i="4"/>
  <c r="P1501" i="4"/>
  <c r="P1485" i="4"/>
  <c r="P1469" i="4"/>
  <c r="P1453" i="4"/>
  <c r="P1389" i="4"/>
  <c r="P1325" i="4"/>
  <c r="P1261" i="4"/>
  <c r="P1197" i="4"/>
  <c r="P955" i="4"/>
  <c r="P881" i="4"/>
  <c r="P808" i="4"/>
  <c r="U808" i="4" s="1"/>
  <c r="P1774" i="4"/>
  <c r="P1710" i="4"/>
  <c r="P1646" i="4"/>
  <c r="P1582" i="4"/>
  <c r="P1518" i="4"/>
  <c r="P1193" i="4"/>
  <c r="U1193" i="4" s="1"/>
  <c r="P1129" i="4"/>
  <c r="P1065" i="4"/>
  <c r="P1001" i="4"/>
  <c r="P936" i="4"/>
  <c r="P866" i="4"/>
  <c r="P786" i="4"/>
  <c r="P1412" i="4"/>
  <c r="P1348" i="4"/>
  <c r="P1280" i="4"/>
  <c r="P1200" i="4"/>
  <c r="P1132" i="4"/>
  <c r="S1132" i="4" s="1"/>
  <c r="P1426" i="4"/>
  <c r="P1362" i="4"/>
  <c r="P1298" i="4"/>
  <c r="S1298" i="4" s="1"/>
  <c r="P1234" i="4"/>
  <c r="S1234" i="4" s="1"/>
  <c r="P1162" i="4"/>
  <c r="S1162" i="4" s="1"/>
  <c r="P1090" i="4"/>
  <c r="P1022" i="4"/>
  <c r="P958" i="4"/>
  <c r="S958" i="4" s="1"/>
  <c r="P892" i="4"/>
  <c r="P827" i="4"/>
  <c r="P762" i="4"/>
  <c r="U762" i="4" s="1"/>
  <c r="P1032" i="4"/>
  <c r="P968" i="4"/>
  <c r="P902" i="4"/>
  <c r="P837" i="4"/>
  <c r="P772" i="4"/>
  <c r="P1437" i="4"/>
  <c r="P1373" i="4"/>
  <c r="P1309" i="4"/>
  <c r="S1309" i="4" s="1"/>
  <c r="P1245" i="4"/>
  <c r="P1003" i="4"/>
  <c r="P934" i="4"/>
  <c r="S934" i="4" s="1"/>
  <c r="P860" i="4"/>
  <c r="P792" i="4"/>
  <c r="S792" i="4" s="1"/>
  <c r="P1758" i="4"/>
  <c r="P1694" i="4"/>
  <c r="P1630" i="4"/>
  <c r="P1566" i="4"/>
  <c r="P1502" i="4"/>
  <c r="P1177" i="4"/>
  <c r="P1113" i="4"/>
  <c r="P1049" i="4"/>
  <c r="P985" i="4"/>
  <c r="S985" i="4" s="1"/>
  <c r="P915" i="4"/>
  <c r="P846" i="4"/>
  <c r="P761" i="4"/>
  <c r="P1396" i="4"/>
  <c r="S1396" i="4" s="1"/>
  <c r="P1332" i="4"/>
  <c r="P1260" i="4"/>
  <c r="U1518" i="4" s="1"/>
  <c r="P1180" i="4"/>
  <c r="P1112" i="4"/>
  <c r="S1112" i="4" s="1"/>
  <c r="P1410" i="4"/>
  <c r="P1346" i="4"/>
  <c r="P1282" i="4"/>
  <c r="P1218" i="4"/>
  <c r="P1142" i="4"/>
  <c r="S1142" i="4" s="1"/>
  <c r="P1074" i="4"/>
  <c r="P1006" i="4"/>
  <c r="P941" i="4"/>
  <c r="P876" i="4"/>
  <c r="S876" i="4" s="1"/>
  <c r="P811" i="4"/>
  <c r="P1080" i="4"/>
  <c r="P1016" i="4"/>
  <c r="S1016" i="4" s="1"/>
  <c r="P952" i="4"/>
  <c r="S952" i="4" s="1"/>
  <c r="P886" i="4"/>
  <c r="P821" i="4"/>
  <c r="P1421" i="4"/>
  <c r="S1421" i="4" s="1"/>
  <c r="P1357" i="4"/>
  <c r="P1293" i="4"/>
  <c r="S1293" i="4" s="1"/>
  <c r="P1229" i="4"/>
  <c r="P987" i="4"/>
  <c r="P913" i="4"/>
  <c r="P844" i="4"/>
  <c r="P775" i="4"/>
  <c r="P1742" i="4"/>
  <c r="P1678" i="4"/>
  <c r="P1614" i="4"/>
  <c r="P1550" i="4"/>
  <c r="P1486" i="4"/>
  <c r="P1161" i="4"/>
  <c r="P1097" i="4"/>
  <c r="P1033" i="4"/>
  <c r="P969" i="4"/>
  <c r="P899" i="4"/>
  <c r="S899" i="4" s="1"/>
  <c r="P826" i="4"/>
  <c r="S826" i="4" s="1"/>
  <c r="P1444" i="4"/>
  <c r="P1380" i="4"/>
  <c r="P1316" i="4"/>
  <c r="P1244" i="4"/>
  <c r="P1164" i="4"/>
  <c r="P1092" i="4"/>
  <c r="P1394" i="4"/>
  <c r="P1330" i="4"/>
  <c r="P1266" i="4"/>
  <c r="P1202" i="4"/>
  <c r="P1126" i="4"/>
  <c r="P1058" i="4"/>
  <c r="S1058" i="4" s="1"/>
  <c r="P990" i="4"/>
  <c r="P924" i="4"/>
  <c r="P859" i="4"/>
  <c r="P795" i="4"/>
  <c r="P1064" i="4"/>
  <c r="P1000" i="4"/>
  <c r="S1000" i="4" s="1"/>
  <c r="P935" i="4"/>
  <c r="P869" i="4"/>
  <c r="P805" i="4"/>
  <c r="P1405" i="4"/>
  <c r="S1405" i="4" s="1"/>
  <c r="P1341" i="4"/>
  <c r="S1341" i="4" s="1"/>
  <c r="P1277" i="4"/>
  <c r="P1213" i="4"/>
  <c r="P971" i="4"/>
  <c r="P897" i="4"/>
  <c r="P828" i="4"/>
  <c r="P1790" i="4"/>
  <c r="P1726" i="4"/>
  <c r="P1662" i="4"/>
  <c r="P1598" i="4"/>
  <c r="S1598" i="4" s="1"/>
  <c r="P1534" i="4"/>
  <c r="P1470" i="4"/>
  <c r="P1145" i="4"/>
  <c r="P1081" i="4"/>
  <c r="S1081" i="4" s="1"/>
  <c r="P1017" i="4"/>
  <c r="P953" i="4"/>
  <c r="P883" i="4"/>
  <c r="P810" i="4"/>
  <c r="P1428" i="4"/>
  <c r="P1364" i="4"/>
  <c r="P1300" i="4"/>
  <c r="S1300" i="4" s="1"/>
  <c r="P1224" i="4"/>
  <c r="P1148" i="4"/>
  <c r="P1442" i="4"/>
  <c r="P1378" i="4"/>
  <c r="P1314" i="4"/>
  <c r="P1250" i="4"/>
  <c r="P1182" i="4"/>
  <c r="S1182" i="4" s="1"/>
  <c r="P1106" i="4"/>
  <c r="S1106" i="4" s="1"/>
  <c r="P1042" i="4"/>
  <c r="P974" i="4"/>
  <c r="P908" i="4"/>
  <c r="P843" i="4"/>
  <c r="P778" i="4"/>
  <c r="P1048" i="4"/>
  <c r="S1048" i="4" s="1"/>
  <c r="P984" i="4"/>
  <c r="P918" i="4"/>
  <c r="P853" i="4"/>
  <c r="P789" i="4"/>
  <c r="S1841" i="4"/>
  <c r="S1848" i="4"/>
  <c r="S1839" i="4"/>
  <c r="S1845" i="4"/>
  <c r="S1840" i="4"/>
  <c r="S1847" i="4"/>
  <c r="S1832" i="4"/>
  <c r="U1830" i="4"/>
  <c r="S1831" i="4"/>
  <c r="S1836" i="4"/>
  <c r="S1846" i="4"/>
  <c r="S1826" i="4"/>
  <c r="S1834" i="4"/>
  <c r="U1838" i="4"/>
  <c r="S1827" i="4"/>
  <c r="S1835" i="4"/>
  <c r="S1837" i="4"/>
  <c r="S1833" i="4"/>
  <c r="S1828" i="4"/>
  <c r="S1829" i="4"/>
  <c r="U1825" i="4"/>
  <c r="S1825" i="4"/>
  <c r="T1825" i="4" s="1"/>
  <c r="S782" i="4"/>
  <c r="U1824" i="4"/>
  <c r="S1824" i="4"/>
  <c r="T1824" i="4" s="1"/>
  <c r="S761" i="4"/>
  <c r="S770" i="4"/>
  <c r="S774" i="4"/>
  <c r="S801" i="4"/>
  <c r="S822" i="4"/>
  <c r="S880" i="4"/>
  <c r="S989" i="4"/>
  <c r="S1070" i="4"/>
  <c r="S1144" i="4"/>
  <c r="S1179" i="4"/>
  <c r="S1189" i="4"/>
  <c r="S1319" i="4"/>
  <c r="S1394" i="4"/>
  <c r="S1413" i="4"/>
  <c r="S1423" i="4"/>
  <c r="S1431" i="4"/>
  <c r="S1436" i="4"/>
  <c r="T1436" i="4" s="1"/>
  <c r="S1456" i="4"/>
  <c r="S1461" i="4"/>
  <c r="S1467" i="4"/>
  <c r="S1477" i="4"/>
  <c r="S1489" i="4"/>
  <c r="S1512" i="4"/>
  <c r="S1526" i="4"/>
  <c r="S1562" i="4"/>
  <c r="S1572" i="4"/>
  <c r="S1579" i="4"/>
  <c r="S1589" i="4"/>
  <c r="S1596" i="4"/>
  <c r="S1603" i="4"/>
  <c r="S1624" i="4"/>
  <c r="S1645" i="4"/>
  <c r="S1665" i="4"/>
  <c r="S1669" i="4"/>
  <c r="S1674" i="4"/>
  <c r="S1684" i="4"/>
  <c r="S1691" i="4"/>
  <c r="S1697" i="4"/>
  <c r="S1709" i="4"/>
  <c r="S1716" i="4"/>
  <c r="S1721" i="4"/>
  <c r="S1734" i="4"/>
  <c r="S1756" i="4"/>
  <c r="S1762" i="4"/>
  <c r="S1770" i="4"/>
  <c r="S1792" i="4"/>
  <c r="S1801" i="4"/>
  <c r="S1819" i="4"/>
  <c r="U767" i="4"/>
  <c r="S768" i="4"/>
  <c r="S790" i="4"/>
  <c r="S797" i="4"/>
  <c r="S849" i="4"/>
  <c r="S879" i="4"/>
  <c r="S910" i="4"/>
  <c r="S1069" i="4"/>
  <c r="S1087" i="4"/>
  <c r="T1087" i="4" s="1"/>
  <c r="S1117" i="4"/>
  <c r="S1133" i="4"/>
  <c r="S1138" i="4"/>
  <c r="S1197" i="4"/>
  <c r="S1261" i="4"/>
  <c r="S1272" i="4"/>
  <c r="S1292" i="4"/>
  <c r="S1306" i="4"/>
  <c r="S1336" i="4"/>
  <c r="S1351" i="4"/>
  <c r="S1385" i="4"/>
  <c r="S1430" i="4"/>
  <c r="S1478" i="4"/>
  <c r="S1506" i="4"/>
  <c r="S1574" i="4"/>
  <c r="S1590" i="4"/>
  <c r="S1613" i="4"/>
  <c r="S1621" i="4"/>
  <c r="S1626" i="4"/>
  <c r="S1644" i="4"/>
  <c r="S1667" i="4"/>
  <c r="S1673" i="4"/>
  <c r="S1685" i="4"/>
  <c r="S1703" i="4"/>
  <c r="S1727" i="4"/>
  <c r="S1757" i="4"/>
  <c r="S1765" i="4"/>
  <c r="S1782" i="4"/>
  <c r="S1803" i="4"/>
  <c r="S1818" i="4"/>
  <c r="U972" i="4"/>
  <c r="U1049" i="4"/>
  <c r="U1061" i="4"/>
  <c r="U1071" i="4"/>
  <c r="U1111" i="4"/>
  <c r="U1128" i="4"/>
  <c r="U1141" i="4"/>
  <c r="U1170" i="4"/>
  <c r="U1181" i="4"/>
  <c r="U1227" i="4"/>
  <c r="U1339" i="4"/>
  <c r="U1417" i="4"/>
  <c r="U1476" i="4"/>
  <c r="U1494" i="4"/>
  <c r="U1502" i="4"/>
  <c r="U1534" i="4"/>
  <c r="U1545" i="4"/>
  <c r="U1581" i="4"/>
  <c r="U1639" i="4"/>
  <c r="U1658" i="4"/>
  <c r="U1745" i="4"/>
  <c r="U1759" i="4"/>
  <c r="S763" i="4"/>
  <c r="S771" i="4"/>
  <c r="S779" i="4"/>
  <c r="S791" i="4"/>
  <c r="S830" i="4"/>
  <c r="S851" i="4"/>
  <c r="S919" i="4"/>
  <c r="T919" i="4" s="1"/>
  <c r="S932" i="4"/>
  <c r="S945" i="4"/>
  <c r="S983" i="4"/>
  <c r="S990" i="4"/>
  <c r="S1001" i="4"/>
  <c r="S1015" i="4"/>
  <c r="S1028" i="4"/>
  <c r="S1049" i="4"/>
  <c r="S1061" i="4"/>
  <c r="S1130" i="4"/>
  <c r="S1137" i="4"/>
  <c r="S1167" i="4"/>
  <c r="S1181" i="4"/>
  <c r="S1191" i="4"/>
  <c r="S1203" i="4"/>
  <c r="S1251" i="4"/>
  <c r="S1266" i="4"/>
  <c r="S1276" i="4"/>
  <c r="S1294" i="4"/>
  <c r="S1303" i="4"/>
  <c r="S1311" i="4"/>
  <c r="S1322" i="4"/>
  <c r="S1382" i="4"/>
  <c r="S1398" i="4"/>
  <c r="S1415" i="4"/>
  <c r="S1424" i="4"/>
  <c r="S1433" i="4"/>
  <c r="S1455" i="4"/>
  <c r="S1495" i="4"/>
  <c r="S1511" i="4"/>
  <c r="S1566" i="4"/>
  <c r="S1573" i="4"/>
  <c r="S1585" i="4"/>
  <c r="S1592" i="4"/>
  <c r="S1622" i="4"/>
  <c r="S1637" i="4"/>
  <c r="S1668" i="4"/>
  <c r="S1676" i="4"/>
  <c r="S1692" i="4"/>
  <c r="S1710" i="4"/>
  <c r="S1719" i="4"/>
  <c r="S1737" i="4"/>
  <c r="S1758" i="4"/>
  <c r="S1790" i="4"/>
  <c r="S1804" i="4"/>
  <c r="S1821" i="4"/>
  <c r="U763" i="4"/>
  <c r="U772" i="4"/>
  <c r="U779" i="4"/>
  <c r="U788" i="4"/>
  <c r="U796" i="4"/>
  <c r="U806" i="4"/>
  <c r="U812" i="4"/>
  <c r="U818" i="4"/>
  <c r="U837" i="4"/>
  <c r="U847" i="4"/>
  <c r="U869" i="4"/>
  <c r="U881" i="4"/>
  <c r="U915" i="4"/>
  <c r="U938" i="4"/>
  <c r="U1035" i="4"/>
  <c r="U1047" i="4"/>
  <c r="U1059" i="4"/>
  <c r="U1076" i="4"/>
  <c r="U1087" i="4"/>
  <c r="U1109" i="4"/>
  <c r="U1137" i="4"/>
  <c r="U1148" i="4"/>
  <c r="U1161" i="4"/>
  <c r="U1171" i="4"/>
  <c r="U1186" i="4"/>
  <c r="U1216" i="4"/>
  <c r="U1231" i="4"/>
  <c r="U1239" i="4"/>
  <c r="U1269" i="4"/>
  <c r="U1290" i="4"/>
  <c r="U1327" i="4"/>
  <c r="U1373" i="4"/>
  <c r="U1403" i="4"/>
  <c r="U1422" i="4"/>
  <c r="U1451" i="4"/>
  <c r="U1469" i="4"/>
  <c r="U1480" i="4"/>
  <c r="U1490" i="4"/>
  <c r="U1497" i="4"/>
  <c r="U1508" i="4"/>
  <c r="U1520" i="4"/>
  <c r="U1532" i="4"/>
  <c r="U1544" i="4"/>
  <c r="U1570" i="4"/>
  <c r="U1576" i="4"/>
  <c r="U1599" i="4"/>
  <c r="U1628" i="4"/>
  <c r="U1649" i="4"/>
  <c r="U1677" i="4"/>
  <c r="U1706" i="4"/>
  <c r="U1723" i="4"/>
  <c r="U1730" i="4"/>
  <c r="U1742" i="4"/>
  <c r="U1752" i="4"/>
  <c r="U1766" i="4"/>
  <c r="U1785" i="4"/>
  <c r="U1804" i="4"/>
  <c r="S765" i="4"/>
  <c r="T765" i="4" s="1"/>
  <c r="S775" i="4"/>
  <c r="S786" i="4"/>
  <c r="S804" i="4"/>
  <c r="T804" i="4" s="1"/>
  <c r="S823" i="4"/>
  <c r="S850" i="4"/>
  <c r="S881" i="4"/>
  <c r="S909" i="4"/>
  <c r="S929" i="4"/>
  <c r="S953" i="4"/>
  <c r="S987" i="4"/>
  <c r="S998" i="4"/>
  <c r="S1017" i="4"/>
  <c r="S1039" i="4"/>
  <c r="S1055" i="4"/>
  <c r="S1089" i="4"/>
  <c r="S1115" i="4"/>
  <c r="S1135" i="4"/>
  <c r="S1160" i="4"/>
  <c r="S1178" i="4"/>
  <c r="S1188" i="4"/>
  <c r="S1207" i="4"/>
  <c r="S1236" i="4"/>
  <c r="S1264" i="4"/>
  <c r="S1279" i="4"/>
  <c r="S1296" i="4"/>
  <c r="S1310" i="4"/>
  <c r="S1326" i="4"/>
  <c r="S1377" i="4"/>
  <c r="S1395" i="4"/>
  <c r="S1417" i="4"/>
  <c r="S1428" i="4"/>
  <c r="S1441" i="4"/>
  <c r="S1468" i="4"/>
  <c r="S1490" i="4"/>
  <c r="S1510" i="4"/>
  <c r="S1539" i="4"/>
  <c r="S1570" i="4"/>
  <c r="S1582" i="4"/>
  <c r="S1597" i="4"/>
  <c r="S1617" i="4"/>
  <c r="S1633" i="4"/>
  <c r="S1658" i="4"/>
  <c r="S1672" i="4"/>
  <c r="S1690" i="4"/>
  <c r="S1711" i="4"/>
  <c r="S1731" i="4"/>
  <c r="S1755" i="4"/>
  <c r="S1779" i="4"/>
  <c r="S1797" i="4"/>
  <c r="S1820" i="4"/>
  <c r="U766" i="4"/>
  <c r="U774" i="4"/>
  <c r="U786" i="4"/>
  <c r="U799" i="4"/>
  <c r="U809" i="4"/>
  <c r="U816" i="4"/>
  <c r="U825" i="4"/>
  <c r="U834" i="4"/>
  <c r="U845" i="4"/>
  <c r="U855" i="4"/>
  <c r="U865" i="4"/>
  <c r="U879" i="4"/>
  <c r="U895" i="4"/>
  <c r="U911" i="4"/>
  <c r="U929" i="4"/>
  <c r="U970" i="4"/>
  <c r="U1027" i="4"/>
  <c r="U1045" i="4"/>
  <c r="U1066" i="4"/>
  <c r="U1078" i="4"/>
  <c r="U1105" i="4"/>
  <c r="U1138" i="4"/>
  <c r="U1156" i="4"/>
  <c r="U1169" i="4"/>
  <c r="U1188" i="4"/>
  <c r="U1201" i="4"/>
  <c r="U1230" i="4"/>
  <c r="U1244" i="4"/>
  <c r="U1260" i="4"/>
  <c r="U1285" i="4"/>
  <c r="U1328" i="4"/>
  <c r="U1359" i="4"/>
  <c r="U1401" i="4"/>
  <c r="U1428" i="4"/>
  <c r="U1443" i="4"/>
  <c r="U1463" i="4"/>
  <c r="U1484" i="4"/>
  <c r="U1493" i="4"/>
  <c r="U1505" i="4"/>
  <c r="U1523" i="4"/>
  <c r="U1536" i="4"/>
  <c r="U1556" i="4"/>
  <c r="U1578" i="4"/>
  <c r="U1615" i="4"/>
  <c r="U1642" i="4"/>
  <c r="U1681" i="4"/>
  <c r="U1713" i="4"/>
  <c r="U1729" i="4"/>
  <c r="U1743" i="4"/>
  <c r="U1761" i="4"/>
  <c r="U1781" i="4"/>
  <c r="U1805" i="4"/>
  <c r="S772" i="4"/>
  <c r="S795" i="4"/>
  <c r="S808" i="4"/>
  <c r="S832" i="4"/>
  <c r="S885" i="4"/>
  <c r="T885" i="4" s="1"/>
  <c r="S921" i="4"/>
  <c r="S941" i="4"/>
  <c r="S988" i="4"/>
  <c r="S1008" i="4"/>
  <c r="S1031" i="4"/>
  <c r="S1062" i="4"/>
  <c r="S1109" i="4"/>
  <c r="S1134" i="4"/>
  <c r="S1161" i="4"/>
  <c r="S1184" i="4"/>
  <c r="S1198" i="4"/>
  <c r="S1241" i="4"/>
  <c r="S1273" i="4"/>
  <c r="S1295" i="4"/>
  <c r="S1314" i="4"/>
  <c r="S1337" i="4"/>
  <c r="S1390" i="4"/>
  <c r="S1420" i="4"/>
  <c r="S1434" i="4"/>
  <c r="S1463" i="4"/>
  <c r="S1493" i="4"/>
  <c r="S1523" i="4"/>
  <c r="S1567" i="4"/>
  <c r="S1586" i="4"/>
  <c r="S1605" i="4"/>
  <c r="S1625" i="4"/>
  <c r="S1664" i="4"/>
  <c r="S1681" i="4"/>
  <c r="S1701" i="4"/>
  <c r="S1735" i="4"/>
  <c r="S1763" i="4"/>
  <c r="S1795" i="4"/>
  <c r="S1822" i="4"/>
  <c r="U769" i="4"/>
  <c r="U784" i="4"/>
  <c r="U802" i="4"/>
  <c r="U814" i="4"/>
  <c r="U823" i="4"/>
  <c r="U835" i="4"/>
  <c r="U851" i="4"/>
  <c r="U863" i="4"/>
  <c r="U885" i="4"/>
  <c r="U900" i="4"/>
  <c r="U924" i="4"/>
  <c r="U981" i="4"/>
  <c r="U1039" i="4"/>
  <c r="U1055" i="4"/>
  <c r="U1085" i="4"/>
  <c r="U1123" i="4"/>
  <c r="U1152" i="4"/>
  <c r="U1173" i="4"/>
  <c r="U1191" i="4"/>
  <c r="U1224" i="4"/>
  <c r="U1248" i="4"/>
  <c r="U1280" i="4"/>
  <c r="U1318" i="4"/>
  <c r="U1363" i="4"/>
  <c r="U1416" i="4"/>
  <c r="U1442" i="4"/>
  <c r="U1472" i="4"/>
  <c r="U1486" i="4"/>
  <c r="U1503" i="4"/>
  <c r="U1524" i="4"/>
  <c r="U1546" i="4"/>
  <c r="U1575" i="4"/>
  <c r="U1618" i="4"/>
  <c r="U1660" i="4"/>
  <c r="U1712" i="4"/>
  <c r="U1732" i="4"/>
  <c r="U1749" i="4"/>
  <c r="U1777" i="4"/>
  <c r="U1822" i="4"/>
  <c r="S778" i="4"/>
  <c r="S802" i="4"/>
  <c r="S831" i="4"/>
  <c r="S887" i="4"/>
  <c r="S935" i="4"/>
  <c r="S984" i="4"/>
  <c r="S1013" i="4"/>
  <c r="S1050" i="4"/>
  <c r="S1096" i="4"/>
  <c r="S1139" i="4"/>
  <c r="S1170" i="4"/>
  <c r="S1196" i="4"/>
  <c r="S1257" i="4"/>
  <c r="S1282" i="4"/>
  <c r="S1307" i="4"/>
  <c r="S1348" i="4"/>
  <c r="S1403" i="4"/>
  <c r="S1429" i="4"/>
  <c r="S1470" i="4"/>
  <c r="S1509" i="4"/>
  <c r="S1563" i="4"/>
  <c r="S1587" i="4"/>
  <c r="S1618" i="4"/>
  <c r="S1651" i="4"/>
  <c r="S1687" i="4"/>
  <c r="S1718" i="4"/>
  <c r="S1759" i="4"/>
  <c r="S1802" i="4"/>
  <c r="U761" i="4"/>
  <c r="U781" i="4"/>
  <c r="U805" i="4"/>
  <c r="U819" i="4"/>
  <c r="U832" i="4"/>
  <c r="U852" i="4"/>
  <c r="U870" i="4"/>
  <c r="U897" i="4"/>
  <c r="U939" i="4"/>
  <c r="U991" i="4"/>
  <c r="U1050" i="4"/>
  <c r="U1090" i="4"/>
  <c r="U1139" i="4"/>
  <c r="U1168" i="4"/>
  <c r="U1195" i="4"/>
  <c r="U1236" i="4"/>
  <c r="U1266" i="4"/>
  <c r="U1335" i="4"/>
  <c r="U1397" i="4"/>
  <c r="U1436" i="4"/>
  <c r="U1477" i="4"/>
  <c r="U1496" i="4"/>
  <c r="U1517" i="4"/>
  <c r="U1550" i="4"/>
  <c r="U1595" i="4"/>
  <c r="U1656" i="4"/>
  <c r="U1717" i="4"/>
  <c r="U1738" i="4"/>
  <c r="U1774" i="4"/>
  <c r="S783" i="4"/>
  <c r="S816" i="4"/>
  <c r="S867" i="4"/>
  <c r="S936" i="4"/>
  <c r="S997" i="4"/>
  <c r="S1040" i="4"/>
  <c r="S1114" i="4"/>
  <c r="S1147" i="4"/>
  <c r="S1193" i="4"/>
  <c r="S1259" i="4"/>
  <c r="S1301" i="4"/>
  <c r="S1330" i="4"/>
  <c r="S1414" i="4"/>
  <c r="S1457" i="4"/>
  <c r="S1504" i="4"/>
  <c r="S1571" i="4"/>
  <c r="S1602" i="4"/>
  <c r="S1649" i="4"/>
  <c r="S1696" i="4"/>
  <c r="S1751" i="4"/>
  <c r="S1789" i="4"/>
  <c r="U768" i="4"/>
  <c r="U791" i="4"/>
  <c r="U815" i="4"/>
  <c r="U840" i="4"/>
  <c r="U860" i="4"/>
  <c r="U890" i="4"/>
  <c r="U943" i="4"/>
  <c r="U1040" i="4"/>
  <c r="U1077" i="4"/>
  <c r="U1143" i="4"/>
  <c r="U1185" i="4"/>
  <c r="U1232" i="4"/>
  <c r="U1282" i="4"/>
  <c r="U1350" i="4"/>
  <c r="U1431" i="4"/>
  <c r="U1479" i="4"/>
  <c r="U1513" i="4"/>
  <c r="U1537" i="4"/>
  <c r="U1610" i="4"/>
  <c r="U1694" i="4"/>
  <c r="U1733" i="4"/>
  <c r="U1793" i="4"/>
  <c r="S784" i="4"/>
  <c r="S824" i="4"/>
  <c r="S902" i="4"/>
  <c r="S957" i="4"/>
  <c r="T957" i="4" s="1"/>
  <c r="S1003" i="4"/>
  <c r="S1052" i="4"/>
  <c r="S1129" i="4"/>
  <c r="S1166" i="4"/>
  <c r="S1227" i="4"/>
  <c r="S1267" i="4"/>
  <c r="S1305" i="4"/>
  <c r="S1381" i="4"/>
  <c r="S1422" i="4"/>
  <c r="S1459" i="4"/>
  <c r="S1515" i="4"/>
  <c r="S1577" i="4"/>
  <c r="S1616" i="4"/>
  <c r="S1666" i="4"/>
  <c r="S1698" i="4"/>
  <c r="S1752" i="4"/>
  <c r="S1812" i="4"/>
  <c r="U773" i="4"/>
  <c r="U794" i="4"/>
  <c r="U820" i="4"/>
  <c r="U842" i="4"/>
  <c r="U868" i="4"/>
  <c r="U903" i="4"/>
  <c r="U957" i="4"/>
  <c r="U1048" i="4"/>
  <c r="U1101" i="4"/>
  <c r="U1157" i="4"/>
  <c r="U1190" i="4"/>
  <c r="U1237" i="4"/>
  <c r="U1297" i="4"/>
  <c r="U1396" i="4"/>
  <c r="U1444" i="4"/>
  <c r="U1485" i="4"/>
  <c r="U1514" i="4"/>
  <c r="U1571" i="4"/>
  <c r="U1632" i="4"/>
  <c r="U1698" i="4"/>
  <c r="U1744" i="4"/>
  <c r="U1795" i="4"/>
  <c r="S796" i="4"/>
  <c r="S911" i="4"/>
  <c r="S1025" i="4"/>
  <c r="S1131" i="4"/>
  <c r="S1230" i="4"/>
  <c r="S1317" i="4"/>
  <c r="S1426" i="4"/>
  <c r="S1527" i="4"/>
  <c r="S1623" i="4"/>
  <c r="S1714" i="4"/>
  <c r="S1813" i="4"/>
  <c r="U807" i="4"/>
  <c r="U848" i="4"/>
  <c r="U912" i="4"/>
  <c r="U1067" i="4"/>
  <c r="U1167" i="4"/>
  <c r="U1253" i="4"/>
  <c r="U1409" i="4"/>
  <c r="U1491" i="4"/>
  <c r="U1572" i="4"/>
  <c r="U1724" i="4"/>
  <c r="U1803" i="4"/>
  <c r="U810" i="4"/>
  <c r="U856" i="4"/>
  <c r="U920" i="4"/>
  <c r="U1069" i="4"/>
  <c r="U1174" i="4"/>
  <c r="U1258" i="4"/>
  <c r="U1421" i="4"/>
  <c r="U1498" i="4"/>
  <c r="U1594" i="4"/>
  <c r="U1728" i="4"/>
  <c r="S767" i="4"/>
  <c r="S855" i="4"/>
  <c r="S966" i="4"/>
  <c r="S1071" i="4"/>
  <c r="S1180" i="4"/>
  <c r="S1274" i="4"/>
  <c r="S1388" i="4"/>
  <c r="S1471" i="4"/>
  <c r="S1580" i="4"/>
  <c r="S1671" i="4"/>
  <c r="S1769" i="4"/>
  <c r="U778" i="4"/>
  <c r="U827" i="4"/>
  <c r="U876" i="4"/>
  <c r="U982" i="4"/>
  <c r="U1112" i="4"/>
  <c r="U1206" i="4"/>
  <c r="U1298" i="4"/>
  <c r="U1454" i="4"/>
  <c r="U1530" i="4"/>
  <c r="U1635" i="4"/>
  <c r="U1754" i="4"/>
  <c r="S807" i="4"/>
  <c r="S926" i="4"/>
  <c r="S1027" i="4"/>
  <c r="S1145" i="4"/>
  <c r="S1235" i="4"/>
  <c r="S1318" i="4"/>
  <c r="T1318" i="4" s="1"/>
  <c r="S1435" i="4"/>
  <c r="S1541" i="4"/>
  <c r="S1642" i="4"/>
  <c r="S1722" i="4"/>
  <c r="S769" i="4"/>
  <c r="S863" i="4"/>
  <c r="S993" i="4"/>
  <c r="S1080" i="4"/>
  <c r="S1187" i="4"/>
  <c r="S1283" i="4"/>
  <c r="S1402" i="4"/>
  <c r="S1488" i="4"/>
  <c r="S1591" i="4"/>
  <c r="S1675" i="4"/>
  <c r="S1788" i="4"/>
  <c r="U790" i="4"/>
  <c r="U828" i="4"/>
  <c r="U887" i="4"/>
  <c r="U1029" i="4"/>
  <c r="U1127" i="4"/>
  <c r="U1219" i="4"/>
  <c r="U1346" i="4"/>
  <c r="U1457" i="4"/>
  <c r="U1533" i="4"/>
  <c r="U1666" i="4"/>
  <c r="U1763" i="4"/>
  <c r="U1643" i="4"/>
  <c r="U1657" i="4"/>
  <c r="U1626" i="4"/>
  <c r="U1583" i="4"/>
  <c r="U1519" i="4"/>
  <c r="U1705" i="4"/>
  <c r="U1582" i="4"/>
  <c r="U1683" i="4"/>
  <c r="U1587" i="4"/>
  <c r="U1633" i="4"/>
  <c r="U1500" i="4"/>
  <c r="U1750" i="4"/>
  <c r="U1390" i="4"/>
  <c r="U1739" i="4"/>
  <c r="U1473" i="4"/>
  <c r="U1549" i="4"/>
  <c r="S1299" i="4"/>
  <c r="U1584" i="4"/>
  <c r="U1449" i="4"/>
  <c r="U1378" i="4"/>
  <c r="U1446" i="4"/>
  <c r="U1348" i="4"/>
  <c r="U1265" i="4"/>
  <c r="U1329" i="4"/>
  <c r="U1205" i="4"/>
  <c r="U1107" i="4"/>
  <c r="U1277" i="4"/>
  <c r="S992" i="4"/>
  <c r="U1175" i="4"/>
  <c r="S1432" i="4"/>
  <c r="U1439" i="4"/>
  <c r="U1652" i="4"/>
  <c r="U1504" i="4"/>
  <c r="U1617" i="4"/>
  <c r="U1659" i="4"/>
  <c r="U1700" i="4"/>
  <c r="U1637" i="4"/>
  <c r="U1591" i="4"/>
  <c r="U1569" i="4"/>
  <c r="S1519" i="4"/>
  <c r="U1670" i="4"/>
  <c r="U1525" i="4"/>
  <c r="U1466" i="4"/>
  <c r="U1372" i="4"/>
  <c r="U1553" i="4"/>
  <c r="U1351" i="4"/>
  <c r="U1299" i="4"/>
  <c r="U1354" i="4"/>
  <c r="U1531" i="4"/>
  <c r="U1627" i="4"/>
  <c r="U1340" i="4"/>
  <c r="U1612" i="4"/>
  <c r="U1465" i="4"/>
  <c r="U1313" i="4"/>
  <c r="U1263" i="4"/>
  <c r="U1398" i="4"/>
  <c r="U1311" i="4"/>
  <c r="U1345" i="4"/>
  <c r="S1159" i="4"/>
  <c r="U1316" i="4"/>
  <c r="U1283" i="4"/>
  <c r="U1062" i="4"/>
  <c r="U1289" i="4"/>
  <c r="U1460" i="4"/>
  <c r="U1552" i="4"/>
  <c r="U1655" i="4"/>
  <c r="U1559" i="4"/>
  <c r="U1323" i="4"/>
  <c r="U1082" i="4"/>
  <c r="U1538" i="4"/>
  <c r="S1484" i="4"/>
  <c r="T1484" i="4" s="1"/>
  <c r="U1689" i="4"/>
  <c r="U1551" i="4"/>
  <c r="U1560" i="4"/>
  <c r="U1771" i="4"/>
  <c r="U1736" i="4"/>
  <c r="S1464" i="4"/>
  <c r="U1678" i="4"/>
  <c r="U1349" i="4"/>
  <c r="U782" i="4"/>
  <c r="S981" i="4"/>
  <c r="V981" i="4" s="1"/>
  <c r="S869" i="4"/>
  <c r="V869" i="4" s="1"/>
  <c r="U1456" i="4"/>
  <c r="U1453" i="4"/>
  <c r="U1411" i="4"/>
  <c r="U1410" i="4"/>
  <c r="U1352" i="4"/>
  <c r="U1301" i="4"/>
  <c r="S1252" i="4"/>
  <c r="S1172" i="4"/>
  <c r="U1407" i="4"/>
  <c r="U1288" i="4"/>
  <c r="U1108" i="4"/>
  <c r="U1187" i="4"/>
  <c r="U1088" i="4"/>
  <c r="U1389" i="4"/>
  <c r="U1028" i="4"/>
  <c r="U1325" i="4"/>
  <c r="U1075" i="4"/>
  <c r="U979" i="4"/>
  <c r="S964" i="4"/>
  <c r="U1177" i="4"/>
  <c r="U913" i="4"/>
  <c r="U990" i="4"/>
  <c r="U797" i="4"/>
  <c r="S764" i="4"/>
  <c r="U1701" i="4"/>
  <c r="U1555" i="4"/>
  <c r="U1693" i="4"/>
  <c r="U1611" i="4"/>
  <c r="U1634" i="4"/>
  <c r="U1593" i="4"/>
  <c r="U1720" i="4"/>
  <c r="U1663" i="4"/>
  <c r="U1651" i="4"/>
  <c r="U1468" i="4"/>
  <c r="U1630" i="4"/>
  <c r="S1343" i="4"/>
  <c r="U1459" i="4"/>
  <c r="U1381" i="4"/>
  <c r="U1535" i="4"/>
  <c r="U1638" i="4"/>
  <c r="U1558" i="4"/>
  <c r="U1647" i="4"/>
  <c r="U1725" i="4"/>
  <c r="U1317" i="4"/>
  <c r="U1310" i="4"/>
  <c r="U1474" i="4"/>
  <c r="U1315" i="4"/>
  <c r="U1159" i="4"/>
  <c r="S1107" i="4"/>
  <c r="S1277" i="4"/>
  <c r="U1445" i="4"/>
  <c r="U1492" i="4"/>
  <c r="U1400" i="4"/>
  <c r="U1608" i="4"/>
  <c r="U1704" i="4"/>
  <c r="U1568" i="4"/>
  <c r="U1324" i="4"/>
  <c r="U1100" i="4"/>
  <c r="S940" i="4"/>
  <c r="S1588" i="4"/>
  <c r="U1695" i="4"/>
  <c r="U1645" i="4"/>
  <c r="U1680" i="4"/>
  <c r="U1772" i="4"/>
  <c r="U1748" i="4"/>
  <c r="U1557" i="4"/>
  <c r="U1483" i="4"/>
  <c r="U1243" i="4"/>
  <c r="S820" i="4"/>
  <c r="S1384" i="4"/>
  <c r="S1376" i="4"/>
  <c r="U1377" i="4"/>
  <c r="U1426" i="4"/>
  <c r="U1374" i="4"/>
  <c r="U1326" i="4"/>
  <c r="U1252" i="4"/>
  <c r="U1172" i="4"/>
  <c r="U1447" i="4"/>
  <c r="U1364" i="4"/>
  <c r="U1113" i="4"/>
  <c r="U1104" i="4"/>
  <c r="S1088" i="4"/>
  <c r="U1433" i="4"/>
  <c r="U1015" i="4"/>
  <c r="U1362" i="4"/>
  <c r="U1291" i="4"/>
  <c r="U1031" i="4"/>
  <c r="U1012" i="4"/>
  <c r="U1278" i="4"/>
  <c r="S886" i="4"/>
  <c r="T886" i="4" s="1"/>
  <c r="U1008" i="4"/>
  <c r="U850" i="4"/>
  <c r="U764" i="4"/>
  <c r="U1775" i="4"/>
  <c r="U1674" i="4"/>
  <c r="U1692" i="4"/>
  <c r="U1543" i="4"/>
  <c r="U1312" i="4"/>
  <c r="U1320" i="4"/>
  <c r="U1613" i="4"/>
  <c r="U950" i="4"/>
  <c r="S1141" i="4"/>
  <c r="U1588" i="4"/>
  <c r="U1760" i="4"/>
  <c r="U1784" i="4"/>
  <c r="U1522" i="4"/>
  <c r="S1090" i="4"/>
  <c r="T1090" i="4" s="1"/>
  <c r="U1420" i="4"/>
  <c r="U1376" i="4"/>
  <c r="U1369" i="4"/>
  <c r="U1292" i="4"/>
  <c r="S1164" i="4"/>
  <c r="U1164" i="4"/>
  <c r="U1221" i="4"/>
  <c r="U988" i="4"/>
  <c r="U1017" i="4"/>
  <c r="U1068" i="4"/>
  <c r="U1294" i="4"/>
  <c r="U801" i="4"/>
  <c r="U792" i="4"/>
  <c r="U1228" i="4"/>
  <c r="U1302" i="4"/>
  <c r="U1229" i="4"/>
  <c r="U1279" i="4"/>
  <c r="U1284" i="4"/>
  <c r="S1146" i="4"/>
  <c r="U1598" i="4"/>
  <c r="U1146" i="4"/>
  <c r="U1811" i="4"/>
  <c r="U1306" i="4"/>
  <c r="U1597" i="4"/>
  <c r="U1685" i="4"/>
  <c r="U1735" i="4"/>
  <c r="U1180" i="4"/>
  <c r="U1563" i="4"/>
  <c r="U1145" i="4"/>
  <c r="U1675" i="4"/>
  <c r="U1721" i="4"/>
  <c r="U1802" i="4"/>
  <c r="U1261" i="4"/>
  <c r="U1509" i="4"/>
  <c r="U1769" i="4"/>
  <c r="U1179" i="4"/>
  <c r="U1510" i="4"/>
  <c r="U1668" i="4"/>
  <c r="U1413" i="4"/>
  <c r="U1423" i="4"/>
  <c r="U1622" i="4"/>
  <c r="U1196" i="4"/>
  <c r="U1684" i="4"/>
  <c r="U997" i="4"/>
  <c r="U962" i="4"/>
  <c r="U976" i="4"/>
  <c r="U1000" i="4"/>
  <c r="U1786" i="4"/>
  <c r="U1814" i="4"/>
  <c r="U1257" i="4"/>
  <c r="U1357" i="4"/>
  <c r="U1264" i="4"/>
  <c r="U1521" i="4"/>
  <c r="U1246" i="4"/>
  <c r="U1334" i="4"/>
  <c r="U996" i="4"/>
  <c r="U1355" i="4"/>
  <c r="U1094" i="4"/>
  <c r="U1245" i="4"/>
  <c r="U932" i="4"/>
  <c r="U1053" i="4"/>
  <c r="U1153" i="4"/>
  <c r="U1309" i="4"/>
  <c r="U1462" i="4"/>
  <c r="U1037" i="4"/>
  <c r="U1259" i="4"/>
  <c r="S776" i="4"/>
  <c r="U1016" i="4"/>
  <c r="U798" i="4"/>
  <c r="U1360" i="4"/>
  <c r="U1032" i="4"/>
  <c r="U1200" i="4"/>
  <c r="U1003" i="4"/>
  <c r="U1322" i="4"/>
  <c r="U960" i="4"/>
  <c r="U1821" i="4"/>
  <c r="U902" i="4"/>
  <c r="S882" i="4"/>
  <c r="U961" i="4"/>
  <c r="U1719" i="4"/>
  <c r="U1441" i="4"/>
  <c r="U1646" i="4"/>
  <c r="U1711" i="4"/>
  <c r="U1271" i="4"/>
  <c r="U1789" i="4"/>
  <c r="U1375" i="4"/>
  <c r="U1529" i="4"/>
  <c r="U1620" i="4"/>
  <c r="U1799" i="4"/>
  <c r="U956" i="4"/>
  <c r="U1097" i="4"/>
  <c r="U936" i="4"/>
  <c r="U1089" i="4"/>
  <c r="U1797" i="4"/>
  <c r="U1081" i="4"/>
  <c r="U1794" i="4"/>
  <c r="U1020" i="4"/>
  <c r="U1211" i="4"/>
  <c r="U839" i="4"/>
  <c r="U1135" i="4"/>
  <c r="U993" i="4"/>
  <c r="U1095" i="4"/>
  <c r="U1121" i="4"/>
  <c r="U1516" i="4"/>
  <c r="U1619" i="4"/>
  <c r="U1561" i="4"/>
  <c r="U1455" i="4"/>
  <c r="U1644" i="4"/>
  <c r="U1366" i="4"/>
  <c r="U1212" i="4"/>
  <c r="U1249" i="4"/>
  <c r="U1440" i="4"/>
  <c r="U940" i="4"/>
  <c r="S1555" i="4"/>
  <c r="U1667" i="4"/>
  <c r="U1753" i="4"/>
  <c r="U1809" i="4"/>
  <c r="U1464" i="4"/>
  <c r="S1045" i="4"/>
  <c r="V1045" i="4" s="1"/>
  <c r="S1416" i="4"/>
  <c r="U1387" i="4"/>
  <c r="S1352" i="4"/>
  <c r="U1367" i="4"/>
  <c r="U1296" i="4"/>
  <c r="U1343" i="4"/>
  <c r="U1386" i="4"/>
  <c r="U992" i="4"/>
  <c r="U1026" i="4"/>
  <c r="U1217" i="4"/>
  <c r="U886" i="4"/>
  <c r="U984" i="4"/>
  <c r="U1235" i="4"/>
  <c r="U1233" i="4"/>
  <c r="U1210" i="4"/>
  <c r="U1240" i="4"/>
  <c r="U1425" i="4"/>
  <c r="U1308" i="4"/>
  <c r="U1178" i="4"/>
  <c r="U1800" i="4"/>
  <c r="U1319" i="4"/>
  <c r="U1623" i="4"/>
  <c r="U1697" i="4"/>
  <c r="U1813" i="4"/>
  <c r="U1336" i="4"/>
  <c r="U1586" i="4"/>
  <c r="U1414" i="4"/>
  <c r="U1691" i="4"/>
  <c r="U1756" i="4"/>
  <c r="U1770" i="4"/>
  <c r="U1305" i="4"/>
  <c r="U1580" i="4"/>
  <c r="U1792" i="4"/>
  <c r="U1394" i="4"/>
  <c r="U1562" i="4"/>
  <c r="U1665" i="4"/>
  <c r="U1070" i="4"/>
  <c r="U1579" i="4"/>
  <c r="U1722" i="4"/>
  <c r="U1526" i="4"/>
  <c r="U1696" i="4"/>
  <c r="U1054" i="4"/>
  <c r="U1006" i="4"/>
  <c r="U1126" i="4"/>
  <c r="U1106" i="4"/>
  <c r="U1806" i="4"/>
  <c r="U1798" i="4"/>
  <c r="U1686" i="4"/>
  <c r="U1450" i="4"/>
  <c r="U1331" i="4"/>
  <c r="U1616" i="4"/>
  <c r="U1250" i="4"/>
  <c r="U1344" i="4"/>
  <c r="U1034" i="4"/>
  <c r="U1388" i="4"/>
  <c r="U1103" i="4"/>
  <c r="U1270" i="4"/>
  <c r="U971" i="4"/>
  <c r="U1063" i="4"/>
  <c r="U1222" i="4"/>
  <c r="U1353" i="4"/>
  <c r="U838" i="4"/>
  <c r="U1074" i="4"/>
  <c r="U1267" i="4"/>
  <c r="U776" i="4"/>
  <c r="U1021" i="4"/>
  <c r="U1043" i="4"/>
  <c r="U787" i="4"/>
  <c r="U1116" i="4"/>
  <c r="U1333" i="4"/>
  <c r="U1092" i="4"/>
  <c r="U1342" i="4"/>
  <c r="U1808" i="4"/>
  <c r="S898" i="4"/>
  <c r="U916" i="4"/>
  <c r="U888" i="4"/>
  <c r="U1038" i="4"/>
  <c r="U975" i="4"/>
  <c r="U1515" i="4"/>
  <c r="U1699" i="4"/>
  <c r="U1765" i="4"/>
  <c r="U1341" i="4"/>
  <c r="U1641" i="4"/>
  <c r="U1379" i="4"/>
  <c r="U1541" i="4"/>
  <c r="U1636" i="4"/>
  <c r="U1815" i="4"/>
  <c r="U969" i="4"/>
  <c r="U1102" i="4"/>
  <c r="U1009" i="4"/>
  <c r="U1115" i="4"/>
  <c r="U1764" i="4"/>
  <c r="U1184" i="4"/>
  <c r="U1662" i="4"/>
  <c r="U1033" i="4"/>
  <c r="U1640" i="4"/>
  <c r="U873" i="4"/>
  <c r="U1160" i="4"/>
  <c r="U1014" i="4"/>
  <c r="U1218" i="4"/>
  <c r="U1223" i="4"/>
  <c r="U942" i="4"/>
  <c r="S1643" i="4"/>
  <c r="U1687" i="4"/>
  <c r="U1567" i="4"/>
  <c r="U1540" i="4"/>
  <c r="U1573" i="4"/>
  <c r="U1314" i="4"/>
  <c r="U1204" i="4"/>
  <c r="U1432" i="4"/>
  <c r="S1400" i="4"/>
  <c r="U1125" i="4"/>
  <c r="U1688" i="4"/>
  <c r="U1631" i="4"/>
  <c r="S1736" i="4"/>
  <c r="U1590" i="4"/>
  <c r="U1384" i="4"/>
  <c r="U1412" i="4"/>
  <c r="U1380" i="4"/>
  <c r="U1182" i="4"/>
  <c r="U1166" i="4"/>
  <c r="S1108" i="4"/>
  <c r="T1108" i="4" s="1"/>
  <c r="U1011" i="4"/>
  <c r="U1025" i="4"/>
  <c r="U1452" i="4"/>
  <c r="U1024" i="4"/>
  <c r="U822" i="4"/>
  <c r="U953" i="4"/>
  <c r="U1817" i="4"/>
  <c r="U1214" i="4"/>
  <c r="S1210" i="4"/>
  <c r="U1242" i="4"/>
  <c r="U1215" i="4"/>
  <c r="U1272" i="4"/>
  <c r="U1708" i="4"/>
  <c r="U1604" i="4"/>
  <c r="U1338" i="4"/>
  <c r="U1197" i="4"/>
  <c r="U1382" i="4"/>
  <c r="U1664" i="4"/>
  <c r="U1718" i="4"/>
  <c r="U1820" i="4"/>
  <c r="U1395" i="4"/>
  <c r="U1603" i="4"/>
  <c r="U1478" i="4"/>
  <c r="U1710" i="4"/>
  <c r="U1788" i="4"/>
  <c r="U1669" i="4"/>
  <c r="U1424" i="4"/>
  <c r="U1734" i="4"/>
  <c r="U1124" i="4"/>
  <c r="U1471" i="4"/>
  <c r="U1585" i="4"/>
  <c r="U1144" i="4"/>
  <c r="U1131" i="4"/>
  <c r="U1801" i="4"/>
  <c r="U1812" i="4"/>
  <c r="U1671" i="4"/>
  <c r="U1690" i="4"/>
  <c r="U1005" i="4"/>
  <c r="U1162" i="4"/>
  <c r="U1406" i="4"/>
  <c r="U1370" i="4"/>
  <c r="U1807" i="4"/>
  <c r="U1790" i="4"/>
  <c r="S1246" i="4"/>
  <c r="T1246" i="4" s="1"/>
  <c r="U1481" i="4"/>
  <c r="U1418" i="4"/>
  <c r="U1661" i="4"/>
  <c r="U1286" i="4"/>
  <c r="U1365" i="4"/>
  <c r="U793" i="4"/>
  <c r="U1042" i="4"/>
  <c r="U1013" i="4"/>
  <c r="U1136" i="4"/>
  <c r="U1332" i="4"/>
  <c r="U1010" i="4"/>
  <c r="U1086" i="4"/>
  <c r="U1275" i="4"/>
  <c r="U1361" i="4"/>
  <c r="U843" i="4"/>
  <c r="U1142" i="4"/>
  <c r="U1330" i="4"/>
  <c r="U785" i="4"/>
  <c r="U1079" i="4"/>
  <c r="U1132" i="4"/>
  <c r="U944" i="4"/>
  <c r="U1120" i="4"/>
  <c r="U946" i="4"/>
  <c r="U1117" i="4"/>
  <c r="U980" i="4"/>
  <c r="U999" i="4"/>
  <c r="U898" i="4"/>
  <c r="U882" i="4"/>
  <c r="U906" i="4"/>
  <c r="U1392" i="4"/>
  <c r="U1001" i="4"/>
  <c r="U1539" i="4"/>
  <c r="U1703" i="4"/>
  <c r="U1779" i="4"/>
  <c r="U1419" i="4"/>
  <c r="U1251" i="4"/>
  <c r="U1391" i="4"/>
  <c r="U1565" i="4"/>
  <c r="U1673" i="4"/>
  <c r="U1629" i="4"/>
  <c r="U1004" i="4"/>
  <c r="U1114" i="4"/>
  <c r="U1052" i="4"/>
  <c r="U1119" i="4"/>
  <c r="U1036" i="4"/>
  <c r="U1737" i="4"/>
  <c r="U1773" i="4"/>
  <c r="U1064" i="4"/>
  <c r="U1648" i="4"/>
  <c r="U973" i="4"/>
  <c r="U859" i="4"/>
  <c r="U1044" i="4"/>
  <c r="U1238" i="4"/>
  <c r="S913" i="4"/>
  <c r="T913" i="4" s="1"/>
  <c r="U1589" i="4"/>
  <c r="U1625" i="4"/>
  <c r="U1592" i="4"/>
  <c r="U1467" i="4"/>
  <c r="U1427" i="4"/>
  <c r="S1263" i="4"/>
  <c r="S1265" i="4" s="1"/>
  <c r="U1303" i="4"/>
  <c r="U1507" i="4"/>
  <c r="U1147" i="4"/>
  <c r="U1682" i="4"/>
  <c r="U1506" i="4"/>
  <c r="U1780" i="4"/>
  <c r="U1605" i="4"/>
  <c r="U1408" i="4"/>
  <c r="U1399" i="4"/>
  <c r="U1393" i="4"/>
  <c r="U1226" i="4"/>
  <c r="U1208" i="4"/>
  <c r="U1149" i="4"/>
  <c r="U1022" i="4"/>
  <c r="U1213" i="4"/>
  <c r="U964" i="4"/>
  <c r="U998" i="4"/>
  <c r="U830" i="4"/>
  <c r="U800" i="4"/>
  <c r="U1751" i="4"/>
  <c r="S1214" i="4"/>
  <c r="U1225" i="4"/>
  <c r="U1247" i="4"/>
  <c r="U1220" i="4"/>
  <c r="U1273" i="4"/>
  <c r="U1198" i="4"/>
  <c r="U1621" i="4"/>
  <c r="U1415" i="4"/>
  <c r="U1274" i="4"/>
  <c r="U1527" i="4"/>
  <c r="U1672" i="4"/>
  <c r="U1727" i="4"/>
  <c r="U1130" i="4"/>
  <c r="U1489" i="4"/>
  <c r="U1782" i="4"/>
  <c r="U1512" i="4"/>
  <c r="U1716" i="4"/>
  <c r="U1762" i="4"/>
  <c r="U1134" i="4"/>
  <c r="U1470" i="4"/>
  <c r="U1757" i="4"/>
  <c r="U1110" i="4"/>
  <c r="U1488" i="4"/>
  <c r="U1602" i="4"/>
  <c r="U1307" i="4"/>
  <c r="U1337" i="4"/>
  <c r="U1596" i="4"/>
  <c r="U1709" i="4"/>
  <c r="U1676" i="4"/>
  <c r="U1755" i="4"/>
  <c r="U1209" i="4"/>
  <c r="U1194" i="4"/>
  <c r="S962" i="4"/>
  <c r="S1786" i="4"/>
  <c r="U1776" i="4"/>
  <c r="U1818" i="4"/>
  <c r="U1276" i="4"/>
  <c r="U1741" i="4"/>
  <c r="U1499" i="4"/>
  <c r="U1654" i="4"/>
  <c r="U1300" i="4"/>
  <c r="U858" i="4"/>
  <c r="U1118" i="4"/>
  <c r="U1080" i="4"/>
  <c r="U1183" i="4"/>
  <c r="U833" i="4"/>
  <c r="U1019" i="4"/>
  <c r="U1133" i="4"/>
  <c r="U1287" i="4"/>
  <c r="U1458" i="4"/>
  <c r="U921" i="4"/>
  <c r="U1150" i="4"/>
  <c r="U1383" i="4"/>
  <c r="U934" i="4"/>
  <c r="U1404" i="4"/>
  <c r="U1356" i="4"/>
  <c r="U1002" i="4"/>
  <c r="U1129" i="4"/>
  <c r="U968" i="4"/>
  <c r="U1154" i="4"/>
  <c r="U1823" i="4"/>
  <c r="U925" i="4"/>
  <c r="U1707" i="4"/>
  <c r="U1501" i="4"/>
  <c r="U1093" i="4"/>
  <c r="U1058" i="4"/>
  <c r="U1653" i="4"/>
  <c r="U933" i="4"/>
  <c r="S912" i="4"/>
  <c r="U986" i="4"/>
  <c r="S896" i="4"/>
  <c r="S884" i="4"/>
  <c r="U941" i="4"/>
  <c r="U880" i="4"/>
  <c r="U927" i="4"/>
  <c r="U908" i="4"/>
  <c r="U857" i="4"/>
  <c r="U1122" i="4"/>
  <c r="U1060" i="4"/>
  <c r="U955" i="4"/>
  <c r="U864" i="4"/>
  <c r="U1046" i="4"/>
  <c r="U1542" i="4"/>
  <c r="U1023" i="4"/>
  <c r="U1295" i="4"/>
  <c r="U1495" i="4"/>
  <c r="U1819" i="4"/>
  <c r="U811" i="4"/>
  <c r="U1268" i="4"/>
  <c r="U1768" i="4"/>
  <c r="U945" i="4"/>
  <c r="U1405" i="4"/>
  <c r="S1339" i="4"/>
  <c r="T1339" i="4" s="1"/>
  <c r="U1007" i="4"/>
  <c r="U1547" i="4"/>
  <c r="U878" i="4"/>
  <c r="U1607" i="4"/>
  <c r="U1151" i="4"/>
  <c r="U1758" i="4"/>
  <c r="U1051" i="4"/>
  <c r="S904" i="4"/>
  <c r="U904" i="4"/>
  <c r="U896" i="4"/>
  <c r="U914" i="4"/>
  <c r="U952" i="4"/>
  <c r="U966" i="4"/>
  <c r="U877" i="4"/>
  <c r="U922" i="4"/>
  <c r="U935" i="4"/>
  <c r="U1072" i="4"/>
  <c r="U967" i="4"/>
  <c r="U937" i="4"/>
  <c r="U1158" i="4"/>
  <c r="U1554" i="4"/>
  <c r="U1099" i="4"/>
  <c r="U1371" i="4"/>
  <c r="U1747" i="4"/>
  <c r="U1577" i="4"/>
  <c r="U1056" i="4"/>
  <c r="U1304" i="4"/>
  <c r="U1816" i="4"/>
  <c r="U977" i="4"/>
  <c r="U1429" i="4"/>
  <c r="S1442" i="4"/>
  <c r="T1442" i="4" s="1"/>
  <c r="S1260" i="4"/>
  <c r="S938" i="4"/>
  <c r="V938" i="4" s="1"/>
  <c r="S835" i="4"/>
  <c r="V835" i="4" s="1"/>
  <c r="S1444" i="4"/>
  <c r="S1460" i="4"/>
  <c r="V1460" i="4" s="1"/>
  <c r="S1168" i="4"/>
  <c r="S1171" i="4" s="1"/>
  <c r="V1171" i="4" s="1"/>
  <c r="U930" i="4"/>
  <c r="S930" i="4" s="1"/>
  <c r="V930" i="4" s="1"/>
  <c r="U1368" i="4"/>
  <c r="U1606" i="4"/>
  <c r="U1746" i="4"/>
  <c r="U1057" i="4"/>
  <c r="U994" i="4"/>
  <c r="U1199" i="4"/>
  <c r="U926" i="4"/>
  <c r="U958" i="4"/>
  <c r="U889" i="4"/>
  <c r="U918" i="4"/>
  <c r="U963" i="4"/>
  <c r="U910" i="4"/>
  <c r="U875" i="4"/>
  <c r="U893" i="4"/>
  <c r="U954" i="4"/>
  <c r="U995" i="4"/>
  <c r="U872" i="4"/>
  <c r="U867" i="4"/>
  <c r="U841" i="4"/>
  <c r="U1202" i="4"/>
  <c r="U846" i="4"/>
  <c r="U1163" i="4"/>
  <c r="U1435" i="4"/>
  <c r="U1787" i="4"/>
  <c r="U1650" i="4"/>
  <c r="U1084" i="4"/>
  <c r="U1548" i="4"/>
  <c r="U1601" i="4"/>
  <c r="U985" i="4"/>
  <c r="U1714" i="4"/>
  <c r="S874" i="4"/>
  <c r="S1148" i="4"/>
  <c r="S1152" i="4" s="1"/>
  <c r="V1152" i="4" s="1"/>
  <c r="S819" i="4"/>
  <c r="S856" i="4" s="1"/>
  <c r="V856" i="4" s="1"/>
  <c r="S1077" i="4"/>
  <c r="V1077" i="4" s="1"/>
  <c r="S1656" i="4"/>
  <c r="S1712" i="4" s="1"/>
  <c r="V1712" i="4" s="1"/>
  <c r="S1204" i="4"/>
  <c r="V1204" i="4" s="1"/>
  <c r="S1128" i="4"/>
  <c r="V1128" i="4" s="1"/>
  <c r="S852" i="4"/>
  <c r="V852" i="4" s="1"/>
  <c r="U949" i="4"/>
  <c r="U1614" i="4"/>
  <c r="U1255" i="4"/>
  <c r="U923" i="4"/>
  <c r="U1140" i="4"/>
  <c r="U1096" i="4"/>
  <c r="U1073" i="4"/>
  <c r="U917" i="4"/>
  <c r="U951" i="4"/>
  <c r="U987" i="4"/>
  <c r="U909" i="4"/>
  <c r="U928" i="4"/>
  <c r="U978" i="4"/>
  <c r="U892" i="4"/>
  <c r="U905" i="4"/>
  <c r="U974" i="4"/>
  <c r="U1091" i="4"/>
  <c r="U883" i="4"/>
  <c r="U948" i="4"/>
  <c r="U1018" i="4"/>
  <c r="U1434" i="4"/>
  <c r="U959" i="4"/>
  <c r="U1203" i="4"/>
  <c r="U1475" i="4"/>
  <c r="U1791" i="4"/>
  <c r="U803" i="4"/>
  <c r="U1176" i="4"/>
  <c r="U1564" i="4"/>
  <c r="U1609" i="4"/>
  <c r="U1065" i="4"/>
  <c r="U1778" i="4"/>
  <c r="U874" i="4"/>
  <c r="S1524" i="4"/>
  <c r="V1524" i="4" s="1"/>
  <c r="S976" i="4"/>
  <c r="V976" i="4" s="1"/>
  <c r="S799" i="4"/>
  <c r="S890" i="4" s="1"/>
  <c r="V890" i="4" s="1"/>
  <c r="S868" i="4"/>
  <c r="S1206" i="4"/>
  <c r="S1215" i="4" s="1"/>
  <c r="V1215" i="4" s="1"/>
  <c r="S1224" i="4"/>
  <c r="V1224" i="4" s="1"/>
  <c r="S1066" i="4"/>
  <c r="S1100" i="4" s="1"/>
  <c r="V1100" i="4" s="1"/>
  <c r="S1035" i="4"/>
  <c r="V1035" i="4" s="1"/>
  <c r="S1454" i="4"/>
  <c r="V1454" i="4" s="1"/>
  <c r="S895" i="4"/>
  <c r="T895" i="4" s="1"/>
  <c r="S1250" i="4"/>
  <c r="S1286" i="4" s="1"/>
  <c r="S1085" i="4"/>
  <c r="S1369" i="4"/>
  <c r="V1369" i="4" s="1"/>
  <c r="V1840" i="4"/>
  <c r="V1846" i="4"/>
  <c r="V1841" i="4"/>
  <c r="V1847" i="4"/>
  <c r="V1844" i="4"/>
  <c r="V1848" i="4"/>
  <c r="V1839" i="4"/>
  <c r="V1845" i="4"/>
  <c r="M1843" i="4"/>
  <c r="N1843" i="4" s="1"/>
  <c r="V1828" i="4"/>
  <c r="V1832" i="4"/>
  <c r="V1836" i="4"/>
  <c r="V1827" i="4"/>
  <c r="V1835" i="4"/>
  <c r="V1829" i="4"/>
  <c r="V1833" i="4"/>
  <c r="V1837" i="4"/>
  <c r="V1831" i="4"/>
  <c r="V1826" i="4"/>
  <c r="V1830" i="4"/>
  <c r="V1834" i="4"/>
  <c r="M1842" i="4"/>
  <c r="N1842" i="4" s="1"/>
  <c r="M1830" i="4"/>
  <c r="N1830" i="4" s="1"/>
  <c r="V1824" i="4"/>
  <c r="V1825" i="4"/>
  <c r="M782" i="4"/>
  <c r="N782" i="4" s="1"/>
  <c r="V782" i="4"/>
  <c r="V763" i="4"/>
  <c r="V767" i="4"/>
  <c r="V771" i="4"/>
  <c r="V775" i="4"/>
  <c r="V780" i="4"/>
  <c r="V785" i="4"/>
  <c r="V792" i="4"/>
  <c r="V801" i="4"/>
  <c r="V805" i="4"/>
  <c r="V813" i="4"/>
  <c r="V822" i="4"/>
  <c r="V826" i="4"/>
  <c r="V833" i="4"/>
  <c r="V851" i="4"/>
  <c r="V863" i="4"/>
  <c r="V879" i="4"/>
  <c r="V884" i="4"/>
  <c r="V891" i="4"/>
  <c r="V899" i="4"/>
  <c r="V907" i="4"/>
  <c r="V912" i="4"/>
  <c r="V920" i="4"/>
  <c r="V926" i="4"/>
  <c r="V934" i="4"/>
  <c r="V940" i="4"/>
  <c r="V945" i="4"/>
  <c r="V953" i="4"/>
  <c r="V963" i="4"/>
  <c r="V984" i="4"/>
  <c r="V988" i="4"/>
  <c r="V992" i="4"/>
  <c r="V996" i="4"/>
  <c r="V1000" i="4"/>
  <c r="V1004" i="4"/>
  <c r="V1011" i="4"/>
  <c r="V1015" i="4"/>
  <c r="V1025" i="4"/>
  <c r="V1029" i="4"/>
  <c r="V1040" i="4"/>
  <c r="V1050" i="4"/>
  <c r="V1055" i="4"/>
  <c r="V1061" i="4"/>
  <c r="V1071" i="4"/>
  <c r="V1082" i="4"/>
  <c r="V1087" i="4"/>
  <c r="V1106" i="4"/>
  <c r="V1110" i="4"/>
  <c r="V1115" i="4"/>
  <c r="V1125" i="4"/>
  <c r="V1132" i="4"/>
  <c r="V1136" i="4"/>
  <c r="V1140" i="4"/>
  <c r="V1146" i="4"/>
  <c r="V1157" i="4"/>
  <c r="V1162" i="4"/>
  <c r="V1166" i="4"/>
  <c r="V1172" i="4"/>
  <c r="V1180" i="4"/>
  <c r="V1184" i="4"/>
  <c r="V1190" i="4"/>
  <c r="V1196" i="4"/>
  <c r="V1203" i="4"/>
  <c r="V1210" i="4"/>
  <c r="V1230" i="4"/>
  <c r="V1235" i="4"/>
  <c r="V1241" i="4"/>
  <c r="V1252" i="4"/>
  <c r="V1261" i="4"/>
  <c r="V1266" i="4"/>
  <c r="V1272" i="4"/>
  <c r="V1276" i="4"/>
  <c r="V1281" i="4"/>
  <c r="V1293" i="4"/>
  <c r="V1297" i="4"/>
  <c r="V1301" i="4"/>
  <c r="V1306" i="4"/>
  <c r="V1310" i="4"/>
  <c r="V1314" i="4"/>
  <c r="V1319" i="4"/>
  <c r="V1327" i="4"/>
  <c r="V1337" i="4"/>
  <c r="V1343" i="4"/>
  <c r="V1352" i="4"/>
  <c r="V1376" i="4"/>
  <c r="V1383" i="4"/>
  <c r="V1390" i="4"/>
  <c r="V1395" i="4"/>
  <c r="V1401" i="4"/>
  <c r="V1407" i="4"/>
  <c r="V1414" i="4"/>
  <c r="V1418" i="4"/>
  <c r="V1422" i="4"/>
  <c r="V1426" i="4"/>
  <c r="V1430" i="4"/>
  <c r="V1434" i="4"/>
  <c r="V1439" i="4"/>
  <c r="V1457" i="4"/>
  <c r="V1463" i="4"/>
  <c r="V1467" i="4"/>
  <c r="V1472" i="4"/>
  <c r="V1480" i="4"/>
  <c r="V1491" i="4"/>
  <c r="V1504" i="4"/>
  <c r="V1510" i="4"/>
  <c r="V1515" i="4"/>
  <c r="V1526" i="4"/>
  <c r="V1533" i="4"/>
  <c r="V1541" i="4"/>
  <c r="V1564" i="4"/>
  <c r="V1568" i="4"/>
  <c r="V1572" i="4"/>
  <c r="V1579" i="4"/>
  <c r="V1583" i="4"/>
  <c r="V1587" i="4"/>
  <c r="V1591" i="4"/>
  <c r="V1598" i="4"/>
  <c r="V1605" i="4"/>
  <c r="V1616" i="4"/>
  <c r="V1621" i="4"/>
  <c r="V1625" i="4"/>
  <c r="V1634" i="4"/>
  <c r="V1643" i="4"/>
  <c r="V1649" i="4"/>
  <c r="V1655" i="4"/>
  <c r="V1665" i="4"/>
  <c r="V1669" i="4"/>
  <c r="V1674" i="4"/>
  <c r="V1681" i="4"/>
  <c r="V1690" i="4"/>
  <c r="V1696" i="4"/>
  <c r="V1703" i="4"/>
  <c r="V1714" i="4"/>
  <c r="V1719" i="4"/>
  <c r="V1725" i="4"/>
  <c r="V1734" i="4"/>
  <c r="V1740" i="4"/>
  <c r="V1751" i="4"/>
  <c r="V1757" i="4"/>
  <c r="V1763" i="4"/>
  <c r="V1771" i="4"/>
  <c r="V1782" i="4"/>
  <c r="V1789" i="4"/>
  <c r="V1795" i="4"/>
  <c r="V1802" i="4"/>
  <c r="V1808" i="4"/>
  <c r="V1819" i="4"/>
  <c r="V762" i="4"/>
  <c r="V768" i="4"/>
  <c r="V773" i="4"/>
  <c r="V779" i="4"/>
  <c r="V786" i="4"/>
  <c r="V796" i="4"/>
  <c r="V804" i="4"/>
  <c r="V814" i="4"/>
  <c r="V824" i="4"/>
  <c r="V832" i="4"/>
  <c r="V854" i="4"/>
  <c r="V867" i="4"/>
  <c r="V882" i="4"/>
  <c r="V894" i="4"/>
  <c r="V904" i="4"/>
  <c r="V911" i="4"/>
  <c r="V921" i="4"/>
  <c r="V932" i="4"/>
  <c r="V937" i="4"/>
  <c r="V947" i="4"/>
  <c r="V958" i="4"/>
  <c r="V983" i="4"/>
  <c r="V989" i="4"/>
  <c r="V994" i="4"/>
  <c r="V999" i="4"/>
  <c r="V1008" i="4"/>
  <c r="V1013" i="4"/>
  <c r="V1018" i="4"/>
  <c r="V1030" i="4"/>
  <c r="V1048" i="4"/>
  <c r="V1053" i="4"/>
  <c r="V1062" i="4"/>
  <c r="V1080" i="4"/>
  <c r="V1086" i="4"/>
  <c r="V1107" i="4"/>
  <c r="V1112" i="4"/>
  <c r="V1118" i="4"/>
  <c r="V1133" i="4"/>
  <c r="V1138" i="4"/>
  <c r="V1145" i="4"/>
  <c r="V1159" i="4"/>
  <c r="V1164" i="4"/>
  <c r="V1170" i="4"/>
  <c r="V1181" i="4"/>
  <c r="V1188" i="4"/>
  <c r="V1195" i="4"/>
  <c r="V1207" i="4"/>
  <c r="V1222" i="4"/>
  <c r="V1234" i="4"/>
  <c r="V1246" i="4"/>
  <c r="V1257" i="4"/>
  <c r="V1264" i="4"/>
  <c r="V1273" i="4"/>
  <c r="V1278" i="4"/>
  <c r="V1292" i="4"/>
  <c r="V1298" i="4"/>
  <c r="V1304" i="4"/>
  <c r="V1309" i="4"/>
  <c r="V1315" i="4"/>
  <c r="V1322" i="4"/>
  <c r="V1336" i="4"/>
  <c r="V1344" i="4"/>
  <c r="V1374" i="4"/>
  <c r="V1382" i="4"/>
  <c r="V1391" i="4"/>
  <c r="V1398" i="4"/>
  <c r="V1405" i="4"/>
  <c r="V1415" i="4"/>
  <c r="V1420" i="4"/>
  <c r="V1425" i="4"/>
  <c r="V1431" i="4"/>
  <c r="V1436" i="4"/>
  <c r="V1456" i="4"/>
  <c r="V1464" i="4"/>
  <c r="V1470" i="4"/>
  <c r="V1479" i="4"/>
  <c r="V1493" i="4"/>
  <c r="V1507" i="4"/>
  <c r="V1514" i="4"/>
  <c r="V1527" i="4"/>
  <c r="V1539" i="4"/>
  <c r="V1563" i="4"/>
  <c r="V1569" i="4"/>
  <c r="V1574" i="4"/>
  <c r="V1582" i="4"/>
  <c r="V1588" i="4"/>
  <c r="V1596" i="4"/>
  <c r="V1604" i="4"/>
  <c r="V1617" i="4"/>
  <c r="V1623" i="4"/>
  <c r="V1633" i="4"/>
  <c r="V1644" i="4"/>
  <c r="V1652" i="4"/>
  <c r="V1664" i="4"/>
  <c r="V1671" i="4"/>
  <c r="V1676" i="4"/>
  <c r="V1687" i="4"/>
  <c r="V1697" i="4"/>
  <c r="V1710" i="4"/>
  <c r="V1718" i="4"/>
  <c r="V1727" i="4"/>
  <c r="V1736" i="4"/>
  <c r="V1748" i="4"/>
  <c r="V1758" i="4"/>
  <c r="V1769" i="4"/>
  <c r="V1779" i="4"/>
  <c r="V1790" i="4"/>
  <c r="V1798" i="4"/>
  <c r="V1805" i="4"/>
  <c r="V1820" i="4"/>
  <c r="V765" i="4"/>
  <c r="V772" i="4"/>
  <c r="V781" i="4"/>
  <c r="V791" i="4"/>
  <c r="V803" i="4"/>
  <c r="V815" i="4"/>
  <c r="V830" i="4"/>
  <c r="V850" i="4"/>
  <c r="V876" i="4"/>
  <c r="V886" i="4"/>
  <c r="V902" i="4"/>
  <c r="V916" i="4"/>
  <c r="V923" i="4"/>
  <c r="V936" i="4"/>
  <c r="V948" i="4"/>
  <c r="V964" i="4"/>
  <c r="V987" i="4"/>
  <c r="V995" i="4"/>
  <c r="V1002" i="4"/>
  <c r="V1012" i="4"/>
  <c r="V1026" i="4"/>
  <c r="V1039" i="4"/>
  <c r="V1052" i="4"/>
  <c r="V1069" i="4"/>
  <c r="V1083" i="4"/>
  <c r="V1096" i="4"/>
  <c r="V1114" i="4"/>
  <c r="V1130" i="4"/>
  <c r="V1137" i="4"/>
  <c r="V1147" i="4"/>
  <c r="V1161" i="4"/>
  <c r="V1169" i="4"/>
  <c r="V1182" i="4"/>
  <c r="V1191" i="4"/>
  <c r="V1199" i="4"/>
  <c r="V1227" i="4"/>
  <c r="V1237" i="4"/>
  <c r="V1254" i="4"/>
  <c r="V1267" i="4"/>
  <c r="V1275" i="4"/>
  <c r="V1283" i="4"/>
  <c r="V1299" i="4"/>
  <c r="V1307" i="4"/>
  <c r="V1313" i="4"/>
  <c r="V1326" i="4"/>
  <c r="V1340" i="4"/>
  <c r="V1353" i="4"/>
  <c r="V1384" i="4"/>
  <c r="V1394" i="4"/>
  <c r="V1403" i="4"/>
  <c r="V1416" i="4"/>
  <c r="V1423" i="4"/>
  <c r="V1429" i="4"/>
  <c r="V1438" i="4"/>
  <c r="V1459" i="4"/>
  <c r="V1468" i="4"/>
  <c r="V1488" i="4"/>
  <c r="V1495" i="4"/>
  <c r="V1512" i="4"/>
  <c r="V1528" i="4"/>
  <c r="V1542" i="4"/>
  <c r="V1567" i="4"/>
  <c r="V1577" i="4"/>
  <c r="V1585" i="4"/>
  <c r="V1592" i="4"/>
  <c r="V1610" i="4"/>
  <c r="V1619" i="4"/>
  <c r="V1628" i="4"/>
  <c r="V1645" i="4"/>
  <c r="V1658" i="4"/>
  <c r="V1668" i="4"/>
  <c r="V1677" i="4"/>
  <c r="V1692" i="4"/>
  <c r="V1709" i="4"/>
  <c r="V1721" i="4"/>
  <c r="V1731" i="4"/>
  <c r="V1744" i="4"/>
  <c r="V1759" i="4"/>
  <c r="V1777" i="4"/>
  <c r="V1788" i="4"/>
  <c r="V1801" i="4"/>
  <c r="V1813" i="4"/>
  <c r="V769" i="4"/>
  <c r="V778" i="4"/>
  <c r="V795" i="4"/>
  <c r="V807" i="4"/>
  <c r="V825" i="4"/>
  <c r="V855" i="4"/>
  <c r="V881" i="4"/>
  <c r="V898" i="4"/>
  <c r="V917" i="4"/>
  <c r="V933" i="4"/>
  <c r="V944" i="4"/>
  <c r="V966" i="4"/>
  <c r="V991" i="4"/>
  <c r="V1001" i="4"/>
  <c r="V1014" i="4"/>
  <c r="V1028" i="4"/>
  <c r="V1051" i="4"/>
  <c r="V1070" i="4"/>
  <c r="V1088" i="4"/>
  <c r="V1111" i="4"/>
  <c r="V1131" i="4"/>
  <c r="V1142" i="4"/>
  <c r="V1160" i="4"/>
  <c r="V1173" i="4"/>
  <c r="V1187" i="4"/>
  <c r="V1198" i="4"/>
  <c r="V1231" i="4"/>
  <c r="V1248" i="4"/>
  <c r="V1263" i="4"/>
  <c r="V1277" i="4"/>
  <c r="V1295" i="4"/>
  <c r="V1305" i="4"/>
  <c r="V1317" i="4"/>
  <c r="V1330" i="4"/>
  <c r="V1351" i="4"/>
  <c r="V1385" i="4"/>
  <c r="V1400" i="4"/>
  <c r="V1413" i="4"/>
  <c r="V1424" i="4"/>
  <c r="V1433" i="4"/>
  <c r="V1458" i="4"/>
  <c r="V1471" i="4"/>
  <c r="V1490" i="4"/>
  <c r="V1511" i="4"/>
  <c r="V1529" i="4"/>
  <c r="V1565" i="4"/>
  <c r="V1573" i="4"/>
  <c r="V1586" i="4"/>
  <c r="V1602" i="4"/>
  <c r="V1618" i="4"/>
  <c r="V1637" i="4"/>
  <c r="V1651" i="4"/>
  <c r="V1667" i="4"/>
  <c r="V1684" i="4"/>
  <c r="V1698" i="4"/>
  <c r="V1717" i="4"/>
  <c r="V1735" i="4"/>
  <c r="V1755" i="4"/>
  <c r="V1770" i="4"/>
  <c r="V1792" i="4"/>
  <c r="V1804" i="4"/>
  <c r="V1822" i="4"/>
  <c r="V761" i="4"/>
  <c r="V774" i="4"/>
  <c r="V790" i="4"/>
  <c r="V808" i="4"/>
  <c r="V842" i="4"/>
  <c r="V880" i="4"/>
  <c r="V906" i="4"/>
  <c r="V922" i="4"/>
  <c r="V943" i="4"/>
  <c r="V985" i="4"/>
  <c r="V997" i="4"/>
  <c r="V1010" i="4"/>
  <c r="V1031" i="4"/>
  <c r="V1058" i="4"/>
  <c r="V1084" i="4"/>
  <c r="V1116" i="4"/>
  <c r="V1135" i="4"/>
  <c r="V1156" i="4"/>
  <c r="V1178" i="4"/>
  <c r="V1193" i="4"/>
  <c r="V1214" i="4"/>
  <c r="V1251" i="4"/>
  <c r="V1269" i="4"/>
  <c r="V1294" i="4"/>
  <c r="V1308" i="4"/>
  <c r="V1321" i="4"/>
  <c r="V1348" i="4"/>
  <c r="V1388" i="4"/>
  <c r="V1408" i="4"/>
  <c r="V1421" i="4"/>
  <c r="V1435" i="4"/>
  <c r="V1465" i="4"/>
  <c r="V1489" i="4"/>
  <c r="V1517" i="4"/>
  <c r="V1540" i="4"/>
  <c r="V1571" i="4"/>
  <c r="V1589" i="4"/>
  <c r="V1613" i="4"/>
  <c r="V1626" i="4"/>
  <c r="V1654" i="4"/>
  <c r="V1673" i="4"/>
  <c r="V1693" i="4"/>
  <c r="V1722" i="4"/>
  <c r="V1743" i="4"/>
  <c r="V1765" i="4"/>
  <c r="V1793" i="4"/>
  <c r="V1818" i="4"/>
  <c r="V766" i="4"/>
  <c r="V784" i="4"/>
  <c r="V816" i="4"/>
  <c r="V862" i="4"/>
  <c r="V896" i="4"/>
  <c r="V929" i="4"/>
  <c r="V957" i="4"/>
  <c r="V993" i="4"/>
  <c r="V1016" i="4"/>
  <c r="V1049" i="4"/>
  <c r="V1081" i="4"/>
  <c r="V1117" i="4"/>
  <c r="V1144" i="4"/>
  <c r="V1167" i="4"/>
  <c r="V1197" i="4"/>
  <c r="V1236" i="4"/>
  <c r="V1268" i="4"/>
  <c r="V1296" i="4"/>
  <c r="V1312" i="4"/>
  <c r="V1341" i="4"/>
  <c r="V1392" i="4"/>
  <c r="V1417" i="4"/>
  <c r="V1432" i="4"/>
  <c r="V1466" i="4"/>
  <c r="V1506" i="4"/>
  <c r="V1536" i="4"/>
  <c r="V1580" i="4"/>
  <c r="V1597" i="4"/>
  <c r="V1624" i="4"/>
  <c r="V1659" i="4"/>
  <c r="V1685" i="4"/>
  <c r="V1716" i="4"/>
  <c r="V1752" i="4"/>
  <c r="V1783" i="4"/>
  <c r="V1812" i="4"/>
  <c r="V770" i="4"/>
  <c r="V797" i="4"/>
  <c r="V823" i="4"/>
  <c r="V865" i="4"/>
  <c r="V909" i="4"/>
  <c r="V935" i="4"/>
  <c r="V962" i="4"/>
  <c r="V998" i="4"/>
  <c r="V1017" i="4"/>
  <c r="V1056" i="4"/>
  <c r="V1089" i="4"/>
  <c r="V1129" i="4"/>
  <c r="V1149" i="4"/>
  <c r="V1179" i="4"/>
  <c r="V1208" i="4"/>
  <c r="V1240" i="4"/>
  <c r="V1274" i="4"/>
  <c r="V1300" i="4"/>
  <c r="V1318" i="4"/>
  <c r="V1375" i="4"/>
  <c r="V1396" i="4"/>
  <c r="V1419" i="4"/>
  <c r="V1441" i="4"/>
  <c r="V1477" i="4"/>
  <c r="V1509" i="4"/>
  <c r="V1562" i="4"/>
  <c r="V1581" i="4"/>
  <c r="V1603" i="4"/>
  <c r="V1640" i="4"/>
  <c r="V1666" i="4"/>
  <c r="V1691" i="4"/>
  <c r="V1723" i="4"/>
  <c r="V1756" i="4"/>
  <c r="V1786" i="4"/>
  <c r="V1821" i="4"/>
  <c r="V802" i="4"/>
  <c r="V885" i="4"/>
  <c r="V941" i="4"/>
  <c r="V1003" i="4"/>
  <c r="V1060" i="4"/>
  <c r="V1134" i="4"/>
  <c r="V1183" i="4"/>
  <c r="V1259" i="4"/>
  <c r="V1303" i="4"/>
  <c r="V1377" i="4"/>
  <c r="V1427" i="4"/>
  <c r="V1478" i="4"/>
  <c r="V1566" i="4"/>
  <c r="V1615" i="4"/>
  <c r="V1672" i="4"/>
  <c r="V1728" i="4"/>
  <c r="V1797" i="4"/>
  <c r="V764" i="4"/>
  <c r="V806" i="4"/>
  <c r="V887" i="4"/>
  <c r="V952" i="4"/>
  <c r="V1009" i="4"/>
  <c r="V1079" i="4"/>
  <c r="V1139" i="4"/>
  <c r="V1189" i="4"/>
  <c r="V1262" i="4"/>
  <c r="V1311" i="4"/>
  <c r="V1381" i="4"/>
  <c r="V1428" i="4"/>
  <c r="V1494" i="4"/>
  <c r="V1570" i="4"/>
  <c r="V1622" i="4"/>
  <c r="V1675" i="4"/>
  <c r="V1737" i="4"/>
  <c r="V1803" i="4"/>
  <c r="V776" i="4"/>
  <c r="V831" i="4"/>
  <c r="V910" i="4"/>
  <c r="V986" i="4"/>
  <c r="V1027" i="4"/>
  <c r="V1108" i="4"/>
  <c r="V1163" i="4"/>
  <c r="V1209" i="4"/>
  <c r="V1279" i="4"/>
  <c r="V1329" i="4"/>
  <c r="V1402" i="4"/>
  <c r="V1455" i="4"/>
  <c r="V1519" i="4"/>
  <c r="V1584" i="4"/>
  <c r="V1642" i="4"/>
  <c r="V1701" i="4"/>
  <c r="V1762" i="4"/>
  <c r="V783" i="4"/>
  <c r="V849" i="4"/>
  <c r="V919" i="4"/>
  <c r="V990" i="4"/>
  <c r="V1047" i="4"/>
  <c r="V1109" i="4"/>
  <c r="V1165" i="4"/>
  <c r="V1232" i="4"/>
  <c r="V1282" i="4"/>
  <c r="V1338" i="4"/>
  <c r="V1409" i="4"/>
  <c r="V1461" i="4"/>
  <c r="V1523" i="4"/>
  <c r="V1590" i="4"/>
  <c r="V1648" i="4"/>
  <c r="V1711" i="4"/>
  <c r="V1778" i="4"/>
  <c r="M942" i="4"/>
  <c r="N942" i="4" s="1"/>
  <c r="V1141" i="4"/>
  <c r="V927" i="4"/>
  <c r="V820" i="4"/>
  <c r="M1715" i="4"/>
  <c r="N1715" i="4" s="1"/>
  <c r="M1683" i="4"/>
  <c r="M1639" i="4"/>
  <c r="N1639" i="4" s="1"/>
  <c r="M1611" i="4"/>
  <c r="N1611" i="4" s="1"/>
  <c r="M1575" i="4"/>
  <c r="N1575" i="4" s="1"/>
  <c r="M1551" i="4"/>
  <c r="N1551" i="4" s="1"/>
  <c r="M1531" i="4"/>
  <c r="N1531" i="4" s="1"/>
  <c r="M1447" i="4"/>
  <c r="N1447" i="4" s="1"/>
  <c r="M1387" i="4"/>
  <c r="N1387" i="4" s="1"/>
  <c r="M1363" i="4"/>
  <c r="N1363" i="4" s="1"/>
  <c r="M1339" i="4"/>
  <c r="N1339" i="4" s="1"/>
  <c r="M1291" i="4"/>
  <c r="N1291" i="4" s="1"/>
  <c r="M1247" i="4"/>
  <c r="N1247" i="4" s="1"/>
  <c r="M1219" i="4"/>
  <c r="N1219" i="4" s="1"/>
  <c r="M1171" i="4"/>
  <c r="N1171" i="4" s="1"/>
  <c r="M1127" i="4"/>
  <c r="N1127" i="4" s="1"/>
  <c r="M1099" i="4"/>
  <c r="N1099" i="4" s="1"/>
  <c r="M1067" i="4"/>
  <c r="N1067" i="4" s="1"/>
  <c r="M1035" i="4"/>
  <c r="N1035" i="4" s="1"/>
  <c r="M979" i="4"/>
  <c r="N979" i="4" s="1"/>
  <c r="M959" i="4"/>
  <c r="N959" i="4" s="1"/>
  <c r="M931" i="4"/>
  <c r="N931" i="4" s="1"/>
  <c r="M903" i="4"/>
  <c r="N903" i="4" s="1"/>
  <c r="M859" i="4"/>
  <c r="N859" i="4" s="1"/>
  <c r="M835" i="4"/>
  <c r="N835" i="4" s="1"/>
  <c r="M799" i="4"/>
  <c r="N799" i="4" s="1"/>
  <c r="M1766" i="4"/>
  <c r="N1766" i="4" s="1"/>
  <c r="M1706" i="4"/>
  <c r="N1706" i="4" s="1"/>
  <c r="M1678" i="4"/>
  <c r="N1678" i="4" s="1"/>
  <c r="M1594" i="4"/>
  <c r="N1594" i="4" s="1"/>
  <c r="M1482" i="4"/>
  <c r="N1482" i="4" s="1"/>
  <c r="M1454" i="4"/>
  <c r="N1454" i="4" s="1"/>
  <c r="M1362" i="4"/>
  <c r="N1362" i="4" s="1"/>
  <c r="M1346" i="4"/>
  <c r="N1346" i="4" s="1"/>
  <c r="M1286" i="4"/>
  <c r="N1286" i="4" s="1"/>
  <c r="M1218" i="4"/>
  <c r="N1218" i="4" s="1"/>
  <c r="M1186" i="4"/>
  <c r="N1186" i="4" s="1"/>
  <c r="M1098" i="4"/>
  <c r="N1098" i="4" s="1"/>
  <c r="M1078" i="4"/>
  <c r="N1078" i="4" s="1"/>
  <c r="M1046" i="4"/>
  <c r="N1046" i="4" s="1"/>
  <c r="M918" i="4"/>
  <c r="N918" i="4" s="1"/>
  <c r="M870" i="4"/>
  <c r="N870" i="4" s="1"/>
  <c r="M834" i="4"/>
  <c r="N834" i="4" s="1"/>
  <c r="M1806" i="4"/>
  <c r="N1806" i="4" s="1"/>
  <c r="M1750" i="4"/>
  <c r="N1750" i="4" s="1"/>
  <c r="M1738" i="4"/>
  <c r="N1738" i="4" s="1"/>
  <c r="M1646" i="4"/>
  <c r="N1646" i="4" s="1"/>
  <c r="M1554" i="4"/>
  <c r="N1554" i="4" s="1"/>
  <c r="M1518" i="4"/>
  <c r="N1518" i="4" s="1"/>
  <c r="M1442" i="4"/>
  <c r="N1442" i="4" s="1"/>
  <c r="M1366" i="4"/>
  <c r="N1366" i="4" s="1"/>
  <c r="M1238" i="4"/>
  <c r="N1238" i="4" s="1"/>
  <c r="M1122" i="4"/>
  <c r="N1122" i="4" s="1"/>
  <c r="M1042" i="4"/>
  <c r="N1042" i="4" s="1"/>
  <c r="M978" i="4"/>
  <c r="N978" i="4" s="1"/>
  <c r="M954" i="4"/>
  <c r="N954" i="4" s="1"/>
  <c r="M890" i="4"/>
  <c r="N890" i="4" s="1"/>
  <c r="M794" i="4"/>
  <c r="N794" i="4" s="1"/>
  <c r="M874" i="4"/>
  <c r="N874" i="4" s="1"/>
  <c r="M1707" i="4"/>
  <c r="N1707" i="4" s="1"/>
  <c r="M1679" i="4"/>
  <c r="N1679" i="4" s="1"/>
  <c r="M1635" i="4"/>
  <c r="N1635" i="4" s="1"/>
  <c r="M1607" i="4"/>
  <c r="N1607" i="4" s="1"/>
  <c r="M1559" i="4"/>
  <c r="N1559" i="4" s="1"/>
  <c r="M1547" i="4"/>
  <c r="N1547" i="4" s="1"/>
  <c r="M1503" i="4"/>
  <c r="N1503" i="4" s="1"/>
  <c r="M1483" i="4"/>
  <c r="N1483" i="4" s="1"/>
  <c r="M1443" i="4"/>
  <c r="N1443" i="4" s="1"/>
  <c r="M1379" i="4"/>
  <c r="N1379" i="4" s="1"/>
  <c r="M1359" i="4"/>
  <c r="N1359" i="4" s="1"/>
  <c r="M1335" i="4"/>
  <c r="N1335" i="4" s="1"/>
  <c r="M1287" i="4"/>
  <c r="N1287" i="4" s="1"/>
  <c r="M1243" i="4"/>
  <c r="N1243" i="4" s="1"/>
  <c r="M1215" i="4"/>
  <c r="N1215" i="4" s="1"/>
  <c r="M1155" i="4"/>
  <c r="N1155" i="4" s="1"/>
  <c r="M1123" i="4"/>
  <c r="N1123" i="4" s="1"/>
  <c r="M1095" i="4"/>
  <c r="N1095" i="4" s="1"/>
  <c r="M1063" i="4"/>
  <c r="N1063" i="4" s="1"/>
  <c r="M1023" i="4"/>
  <c r="N1023" i="4" s="1"/>
  <c r="M975" i="4"/>
  <c r="N975" i="4" s="1"/>
  <c r="M955" i="4"/>
  <c r="N955" i="4" s="1"/>
  <c r="M895" i="4"/>
  <c r="N895" i="4" s="1"/>
  <c r="M847" i="4"/>
  <c r="N847" i="4" s="1"/>
  <c r="M827" i="4"/>
  <c r="N827" i="4" s="1"/>
  <c r="M787" i="4"/>
  <c r="N787" i="4" s="1"/>
  <c r="M1694" i="4"/>
  <c r="M1662" i="4"/>
  <c r="N1662" i="4" s="1"/>
  <c r="M1578" i="4"/>
  <c r="N1578" i="4" s="1"/>
  <c r="M1530" i="4"/>
  <c r="N1530" i="4" s="1"/>
  <c r="M1446" i="4"/>
  <c r="N1446" i="4" s="1"/>
  <c r="M1358" i="4"/>
  <c r="N1358" i="4" s="1"/>
  <c r="M1342" i="4"/>
  <c r="N1342" i="4" s="1"/>
  <c r="M1270" i="4"/>
  <c r="N1270" i="4" s="1"/>
  <c r="M1206" i="4"/>
  <c r="N1206" i="4" s="1"/>
  <c r="M1158" i="4"/>
  <c r="N1158" i="4" s="1"/>
  <c r="M1038" i="4"/>
  <c r="N1038" i="4" s="1"/>
  <c r="M914" i="4"/>
  <c r="N914" i="4" s="1"/>
  <c r="M1794" i="4"/>
  <c r="N1794" i="4" s="1"/>
  <c r="M1746" i="4"/>
  <c r="N1746" i="4" s="1"/>
  <c r="M1702" i="4"/>
  <c r="N1702" i="4" s="1"/>
  <c r="M1638" i="4"/>
  <c r="N1638" i="4" s="1"/>
  <c r="M1550" i="4"/>
  <c r="N1550" i="4" s="1"/>
  <c r="M1502" i="4"/>
  <c r="N1502" i="4" s="1"/>
  <c r="M1410" i="4"/>
  <c r="N1410" i="4" s="1"/>
  <c r="M1290" i="4"/>
  <c r="N1290" i="4" s="1"/>
  <c r="M1226" i="4"/>
  <c r="N1226" i="4" s="1"/>
  <c r="M1102" i="4"/>
  <c r="N1102" i="4" s="1"/>
  <c r="M1022" i="4"/>
  <c r="N1022" i="4" s="1"/>
  <c r="M974" i="4"/>
  <c r="N974" i="4" s="1"/>
  <c r="M950" i="4"/>
  <c r="N950" i="4" s="1"/>
  <c r="M858" i="4"/>
  <c r="N858" i="4" s="1"/>
  <c r="M810" i="4"/>
  <c r="N810" i="4" s="1"/>
  <c r="V1484" i="4"/>
  <c r="V874" i="4"/>
  <c r="M1747" i="4"/>
  <c r="N1747" i="4" s="1"/>
  <c r="M1699" i="4"/>
  <c r="N1699" i="4" s="1"/>
  <c r="M1663" i="4"/>
  <c r="M1631" i="4"/>
  <c r="N1631" i="4" s="1"/>
  <c r="M1599" i="4"/>
  <c r="M1555" i="4"/>
  <c r="N1555" i="4" s="1"/>
  <c r="M1543" i="4"/>
  <c r="N1543" i="4" s="1"/>
  <c r="M1499" i="4"/>
  <c r="N1499" i="4" s="1"/>
  <c r="M1475" i="4"/>
  <c r="N1475" i="4" s="1"/>
  <c r="M1411" i="4"/>
  <c r="N1411" i="4" s="1"/>
  <c r="M1371" i="4"/>
  <c r="N1371" i="4" s="1"/>
  <c r="M1355" i="4"/>
  <c r="N1355" i="4" s="1"/>
  <c r="M1331" i="4"/>
  <c r="N1331" i="4" s="1"/>
  <c r="M1271" i="4"/>
  <c r="N1271" i="4" s="1"/>
  <c r="M1239" i="4"/>
  <c r="N1239" i="4" s="1"/>
  <c r="M1211" i="4"/>
  <c r="N1211" i="4" s="1"/>
  <c r="M1151" i="4"/>
  <c r="N1151" i="4" s="1"/>
  <c r="M1119" i="4"/>
  <c r="N1119" i="4" s="1"/>
  <c r="M1091" i="4"/>
  <c r="N1091" i="4" s="1"/>
  <c r="M1059" i="4"/>
  <c r="N1059" i="4" s="1"/>
  <c r="M1019" i="4"/>
  <c r="N1019" i="4" s="1"/>
  <c r="M971" i="4"/>
  <c r="N971" i="4" s="1"/>
  <c r="M951" i="4"/>
  <c r="N951" i="4" s="1"/>
  <c r="M928" i="4"/>
  <c r="N928" i="4" s="1"/>
  <c r="M883" i="4"/>
  <c r="N883" i="4" s="1"/>
  <c r="M843" i="4"/>
  <c r="N843" i="4" s="1"/>
  <c r="M819" i="4"/>
  <c r="N819" i="4" s="1"/>
  <c r="M1730" i="4"/>
  <c r="N1730" i="4" s="1"/>
  <c r="M1686" i="4"/>
  <c r="N1686" i="4" s="1"/>
  <c r="M1630" i="4"/>
  <c r="N1630" i="4" s="1"/>
  <c r="M1538" i="4"/>
  <c r="N1538" i="4" s="1"/>
  <c r="M1486" i="4"/>
  <c r="M1474" i="4"/>
  <c r="N1474" i="4" s="1"/>
  <c r="M1378" i="4"/>
  <c r="N1378" i="4" s="1"/>
  <c r="M1354" i="4"/>
  <c r="N1354" i="4" s="1"/>
  <c r="M1334" i="4"/>
  <c r="N1334" i="4" s="1"/>
  <c r="M1250" i="4"/>
  <c r="N1250" i="4" s="1"/>
  <c r="M1202" i="4"/>
  <c r="N1202" i="4" s="1"/>
  <c r="M1154" i="4"/>
  <c r="N1154" i="4" s="1"/>
  <c r="M1090" i="4"/>
  <c r="N1090" i="4" s="1"/>
  <c r="M1074" i="4"/>
  <c r="N1074" i="4" s="1"/>
  <c r="M1034" i="4"/>
  <c r="N1034" i="4" s="1"/>
  <c r="M878" i="4"/>
  <c r="N878" i="4" s="1"/>
  <c r="M866" i="4"/>
  <c r="N866" i="4" s="1"/>
  <c r="M1774" i="4"/>
  <c r="N1774" i="4" s="1"/>
  <c r="M1742" i="4"/>
  <c r="N1742" i="4" s="1"/>
  <c r="M1670" i="4"/>
  <c r="M1614" i="4"/>
  <c r="N1614" i="4" s="1"/>
  <c r="M1546" i="4"/>
  <c r="N1546" i="4" s="1"/>
  <c r="M1498" i="4"/>
  <c r="N1498" i="4" s="1"/>
  <c r="M1406" i="4"/>
  <c r="N1406" i="4" s="1"/>
  <c r="M1258" i="4"/>
  <c r="N1258" i="4" s="1"/>
  <c r="M1174" i="4"/>
  <c r="N1174" i="4" s="1"/>
  <c r="M1094" i="4"/>
  <c r="N1094" i="4" s="1"/>
  <c r="M1006" i="4"/>
  <c r="N1006" i="4" s="1"/>
  <c r="M970" i="4"/>
  <c r="N970" i="4" s="1"/>
  <c r="M946" i="4"/>
  <c r="N946" i="4" s="1"/>
  <c r="M846" i="4"/>
  <c r="N846" i="4" s="1"/>
  <c r="M777" i="4"/>
  <c r="N777" i="4" s="1"/>
  <c r="M927" i="4"/>
  <c r="N927" i="4" s="1"/>
  <c r="M1739" i="4"/>
  <c r="N1739" i="4" s="1"/>
  <c r="M1695" i="4"/>
  <c r="M1647" i="4"/>
  <c r="N1647" i="4" s="1"/>
  <c r="M1627" i="4"/>
  <c r="N1627" i="4" s="1"/>
  <c r="M1595" i="4"/>
  <c r="N1595" i="4" s="1"/>
  <c r="V1555" i="4"/>
  <c r="M1535" i="4"/>
  <c r="N1535" i="4" s="1"/>
  <c r="M1487" i="4"/>
  <c r="M1451" i="4"/>
  <c r="N1451" i="4" s="1"/>
  <c r="M1399" i="4"/>
  <c r="N1399" i="4" s="1"/>
  <c r="M1367" i="4"/>
  <c r="N1367" i="4" s="1"/>
  <c r="M1347" i="4"/>
  <c r="N1347" i="4" s="1"/>
  <c r="M1323" i="4"/>
  <c r="N1323" i="4" s="1"/>
  <c r="M1255" i="4"/>
  <c r="N1255" i="4" s="1"/>
  <c r="M1223" i="4"/>
  <c r="N1223" i="4" s="1"/>
  <c r="M1175" i="4"/>
  <c r="N1175" i="4" s="1"/>
  <c r="M1143" i="4"/>
  <c r="N1143" i="4" s="1"/>
  <c r="M1103" i="4"/>
  <c r="N1103" i="4" s="1"/>
  <c r="M1075" i="4"/>
  <c r="N1075" i="4" s="1"/>
  <c r="M1043" i="4"/>
  <c r="N1043" i="4" s="1"/>
  <c r="M1007" i="4"/>
  <c r="N1007" i="4" s="1"/>
  <c r="M967" i="4"/>
  <c r="N967" i="4" s="1"/>
  <c r="M939" i="4"/>
  <c r="N939" i="4" s="1"/>
  <c r="M915" i="4"/>
  <c r="N915" i="4" s="1"/>
  <c r="M871" i="4"/>
  <c r="N871" i="4" s="1"/>
  <c r="M839" i="4"/>
  <c r="N839" i="4" s="1"/>
  <c r="M811" i="4"/>
  <c r="N811" i="4" s="1"/>
  <c r="M1810" i="4"/>
  <c r="N1810" i="4" s="1"/>
  <c r="M1726" i="4"/>
  <c r="N1726" i="4" s="1"/>
  <c r="M1682" i="4"/>
  <c r="M1606" i="4"/>
  <c r="N1606" i="4" s="1"/>
  <c r="M1534" i="4"/>
  <c r="N1534" i="4" s="1"/>
  <c r="M1462" i="4"/>
  <c r="N1462" i="4" s="1"/>
  <c r="M1370" i="4"/>
  <c r="N1370" i="4" s="1"/>
  <c r="M1350" i="4"/>
  <c r="N1350" i="4" s="1"/>
  <c r="M1302" i="4"/>
  <c r="N1302" i="4" s="1"/>
  <c r="M1242" i="4"/>
  <c r="N1242" i="4" s="1"/>
  <c r="M1194" i="4"/>
  <c r="N1194" i="4" s="1"/>
  <c r="M1150" i="4"/>
  <c r="N1150" i="4" s="1"/>
  <c r="V1090" i="4"/>
  <c r="M1054" i="4"/>
  <c r="N1054" i="4" s="1"/>
  <c r="M938" i="4"/>
  <c r="N938" i="4" s="1"/>
  <c r="M875" i="4"/>
  <c r="N875" i="4" s="1"/>
  <c r="M838" i="4"/>
  <c r="N838" i="4" s="1"/>
  <c r="M1814" i="4"/>
  <c r="N1814" i="4" s="1"/>
  <c r="M1754" i="4"/>
  <c r="M1650" i="4"/>
  <c r="N1650" i="4" s="1"/>
  <c r="M1558" i="4"/>
  <c r="N1558" i="4" s="1"/>
  <c r="M1522" i="4"/>
  <c r="N1522" i="4" s="1"/>
  <c r="M1450" i="4"/>
  <c r="N1450" i="4" s="1"/>
  <c r="M1386" i="4"/>
  <c r="N1386" i="4" s="1"/>
  <c r="M1126" i="4"/>
  <c r="N1126" i="4" s="1"/>
  <c r="M1066" i="4"/>
  <c r="N1066" i="4" s="1"/>
  <c r="M982" i="4"/>
  <c r="M930" i="4"/>
  <c r="N930" i="4" s="1"/>
  <c r="M818" i="4"/>
  <c r="N818" i="4" s="1"/>
  <c r="M798" i="4"/>
  <c r="N798" i="4" s="1"/>
  <c r="M1809" i="4"/>
  <c r="N1809" i="4" s="1"/>
  <c r="M1793" i="4"/>
  <c r="N1793" i="4" s="1"/>
  <c r="M1777" i="4"/>
  <c r="N1777" i="4" s="1"/>
  <c r="M1761" i="4"/>
  <c r="N1761" i="4" s="1"/>
  <c r="M1745" i="4"/>
  <c r="N1745" i="4" s="1"/>
  <c r="M1729" i="4"/>
  <c r="N1729" i="4" s="1"/>
  <c r="M1713" i="4"/>
  <c r="N1713" i="4" s="1"/>
  <c r="M1697" i="4"/>
  <c r="N1697" i="4" s="1"/>
  <c r="M1681" i="4"/>
  <c r="N1681" i="4" s="1"/>
  <c r="M1665" i="4"/>
  <c r="M1649" i="4"/>
  <c r="N1649" i="4" s="1"/>
  <c r="M1633" i="4"/>
  <c r="N1633" i="4" s="1"/>
  <c r="M1617" i="4"/>
  <c r="N1617" i="4" s="1"/>
  <c r="M1601" i="4"/>
  <c r="N1601" i="4" s="1"/>
  <c r="M1585" i="4"/>
  <c r="M1569" i="4"/>
  <c r="N1569" i="4" s="1"/>
  <c r="M1553" i="4"/>
  <c r="N1553" i="4" s="1"/>
  <c r="M1537" i="4"/>
  <c r="N1537" i="4" s="1"/>
  <c r="M1521" i="4"/>
  <c r="N1521" i="4" s="1"/>
  <c r="M1505" i="4"/>
  <c r="N1505" i="4" s="1"/>
  <c r="M1489" i="4"/>
  <c r="N1489" i="4" s="1"/>
  <c r="M1473" i="4"/>
  <c r="N1473" i="4" s="1"/>
  <c r="M1457" i="4"/>
  <c r="N1457" i="4" s="1"/>
  <c r="M1441" i="4"/>
  <c r="N1441" i="4" s="1"/>
  <c r="M1425" i="4"/>
  <c r="M1409" i="4"/>
  <c r="N1409" i="4" s="1"/>
  <c r="M1393" i="4"/>
  <c r="N1393" i="4" s="1"/>
  <c r="M1377" i="4"/>
  <c r="N1377" i="4" s="1"/>
  <c r="M1361" i="4"/>
  <c r="N1361" i="4" s="1"/>
  <c r="M1345" i="4"/>
  <c r="N1345" i="4" s="1"/>
  <c r="M1329" i="4"/>
  <c r="N1329" i="4" s="1"/>
  <c r="M1313" i="4"/>
  <c r="N1313" i="4" s="1"/>
  <c r="M1297" i="4"/>
  <c r="N1297" i="4" s="1"/>
  <c r="M1281" i="4"/>
  <c r="N1281" i="4" s="1"/>
  <c r="M1265" i="4"/>
  <c r="N1265" i="4" s="1"/>
  <c r="M1249" i="4"/>
  <c r="N1249" i="4" s="1"/>
  <c r="M1233" i="4"/>
  <c r="N1233" i="4" s="1"/>
  <c r="M1217" i="4"/>
  <c r="N1217" i="4" s="1"/>
  <c r="M1201" i="4"/>
  <c r="N1201" i="4" s="1"/>
  <c r="M1185" i="4"/>
  <c r="N1185" i="4" s="1"/>
  <c r="M1169" i="4"/>
  <c r="N1169" i="4" s="1"/>
  <c r="M1153" i="4"/>
  <c r="N1153" i="4" s="1"/>
  <c r="M1137" i="4"/>
  <c r="N1137" i="4" s="1"/>
  <c r="M1121" i="4"/>
  <c r="N1121" i="4" s="1"/>
  <c r="M1105" i="4"/>
  <c r="N1105" i="4" s="1"/>
  <c r="M1089" i="4"/>
  <c r="N1089" i="4" s="1"/>
  <c r="M1073" i="4"/>
  <c r="N1073" i="4" s="1"/>
  <c r="M1057" i="4"/>
  <c r="N1057" i="4" s="1"/>
  <c r="M1041" i="4"/>
  <c r="N1041" i="4" s="1"/>
  <c r="M1025" i="4"/>
  <c r="N1025" i="4" s="1"/>
  <c r="M1009" i="4"/>
  <c r="N1009" i="4" s="1"/>
  <c r="M993" i="4"/>
  <c r="N993" i="4" s="1"/>
  <c r="M977" i="4"/>
  <c r="N977" i="4" s="1"/>
  <c r="M961" i="4"/>
  <c r="N961" i="4" s="1"/>
  <c r="M945" i="4"/>
  <c r="N945" i="4" s="1"/>
  <c r="M925" i="4"/>
  <c r="N925" i="4" s="1"/>
  <c r="M909" i="4"/>
  <c r="N909" i="4" s="1"/>
  <c r="M893" i="4"/>
  <c r="N893" i="4" s="1"/>
  <c r="M873" i="4"/>
  <c r="N873" i="4" s="1"/>
  <c r="M857" i="4"/>
  <c r="N857" i="4" s="1"/>
  <c r="M841" i="4"/>
  <c r="N841" i="4" s="1"/>
  <c r="M825" i="4"/>
  <c r="N825" i="4" s="1"/>
  <c r="M809" i="4"/>
  <c r="N809" i="4" s="1"/>
  <c r="M793" i="4"/>
  <c r="N793" i="4" s="1"/>
  <c r="M776" i="4"/>
  <c r="N776" i="4" s="1"/>
  <c r="M1213" i="4"/>
  <c r="N1213" i="4" s="1"/>
  <c r="M1085" i="4"/>
  <c r="N1085" i="4" s="1"/>
  <c r="M1053" i="4"/>
  <c r="N1053" i="4" s="1"/>
  <c r="M1005" i="4"/>
  <c r="N1005" i="4" s="1"/>
  <c r="M973" i="4"/>
  <c r="N973" i="4" s="1"/>
  <c r="M937" i="4"/>
  <c r="N937" i="4" s="1"/>
  <c r="M905" i="4"/>
  <c r="N905" i="4" s="1"/>
  <c r="M869" i="4"/>
  <c r="N869" i="4" s="1"/>
  <c r="M837" i="4"/>
  <c r="N837" i="4" s="1"/>
  <c r="M805" i="4"/>
  <c r="N805" i="4" s="1"/>
  <c r="M772" i="4"/>
  <c r="M1753" i="4"/>
  <c r="N1753" i="4" s="1"/>
  <c r="M1529" i="4"/>
  <c r="N1529" i="4" s="1"/>
  <c r="M1481" i="4"/>
  <c r="N1481" i="4" s="1"/>
  <c r="M1433" i="4"/>
  <c r="N1433" i="4" s="1"/>
  <c r="M1401" i="4"/>
  <c r="N1401" i="4" s="1"/>
  <c r="M1369" i="4"/>
  <c r="N1369" i="4" s="1"/>
  <c r="M1321" i="4"/>
  <c r="N1321" i="4" s="1"/>
  <c r="M1289" i="4"/>
  <c r="N1289" i="4" s="1"/>
  <c r="M1257" i="4"/>
  <c r="N1257" i="4" s="1"/>
  <c r="M1225" i="4"/>
  <c r="N1225" i="4" s="1"/>
  <c r="M1177" i="4"/>
  <c r="N1177" i="4" s="1"/>
  <c r="M1145" i="4"/>
  <c r="N1145" i="4" s="1"/>
  <c r="M1113" i="4"/>
  <c r="N1113" i="4" s="1"/>
  <c r="M1081" i="4"/>
  <c r="N1081" i="4" s="1"/>
  <c r="M1033" i="4"/>
  <c r="N1033" i="4" s="1"/>
  <c r="M985" i="4"/>
  <c r="N985" i="4" s="1"/>
  <c r="M953" i="4"/>
  <c r="N953" i="4" s="1"/>
  <c r="M917" i="4"/>
  <c r="N917" i="4" s="1"/>
  <c r="M901" i="4"/>
  <c r="N901" i="4" s="1"/>
  <c r="M865" i="4"/>
  <c r="N865" i="4" s="1"/>
  <c r="M833" i="4"/>
  <c r="N833" i="4" s="1"/>
  <c r="M801" i="4"/>
  <c r="N801" i="4" s="1"/>
  <c r="M1817" i="4"/>
  <c r="N1817" i="4" s="1"/>
  <c r="M1801" i="4"/>
  <c r="M1785" i="4"/>
  <c r="N1785" i="4" s="1"/>
  <c r="M1769" i="4"/>
  <c r="N1769" i="4" s="1"/>
  <c r="M1721" i="4"/>
  <c r="N1721" i="4" s="1"/>
  <c r="M1705" i="4"/>
  <c r="N1705" i="4" s="1"/>
  <c r="M1689" i="4"/>
  <c r="M1673" i="4"/>
  <c r="N1673" i="4" s="1"/>
  <c r="M1657" i="4"/>
  <c r="N1657" i="4" s="1"/>
  <c r="M1641" i="4"/>
  <c r="N1641" i="4" s="1"/>
  <c r="M1625" i="4"/>
  <c r="N1625" i="4" s="1"/>
  <c r="M1609" i="4"/>
  <c r="N1609" i="4" s="1"/>
  <c r="M1593" i="4"/>
  <c r="N1593" i="4" s="1"/>
  <c r="M1577" i="4"/>
  <c r="N1577" i="4" s="1"/>
  <c r="M1561" i="4"/>
  <c r="M1513" i="4"/>
  <c r="N1513" i="4" s="1"/>
  <c r="M1449" i="4"/>
  <c r="N1449" i="4" s="1"/>
  <c r="M1353" i="4"/>
  <c r="N1353" i="4" s="1"/>
  <c r="M1209" i="4"/>
  <c r="N1209" i="4" s="1"/>
  <c r="M1017" i="4"/>
  <c r="N1017" i="4" s="1"/>
  <c r="M768" i="4"/>
  <c r="N768" i="4" s="1"/>
  <c r="M1813" i="4"/>
  <c r="N1813" i="4" s="1"/>
  <c r="M1797" i="4"/>
  <c r="N1797" i="4" s="1"/>
  <c r="M1781" i="4"/>
  <c r="N1781" i="4" s="1"/>
  <c r="M1765" i="4"/>
  <c r="N1765" i="4" s="1"/>
  <c r="M1749" i="4"/>
  <c r="N1749" i="4" s="1"/>
  <c r="M1733" i="4"/>
  <c r="M1717" i="4"/>
  <c r="N1717" i="4" s="1"/>
  <c r="M1701" i="4"/>
  <c r="N1701" i="4" s="1"/>
  <c r="M1685" i="4"/>
  <c r="N1685" i="4" s="1"/>
  <c r="M1669" i="4"/>
  <c r="N1669" i="4" s="1"/>
  <c r="M1653" i="4"/>
  <c r="N1653" i="4" s="1"/>
  <c r="M1637" i="4"/>
  <c r="N1637" i="4" s="1"/>
  <c r="M1621" i="4"/>
  <c r="M1605" i="4"/>
  <c r="N1605" i="4" s="1"/>
  <c r="M1589" i="4"/>
  <c r="N1589" i="4" s="1"/>
  <c r="M1573" i="4"/>
  <c r="N1573" i="4" s="1"/>
  <c r="M1557" i="4"/>
  <c r="N1557" i="4" s="1"/>
  <c r="M1541" i="4"/>
  <c r="N1541" i="4" s="1"/>
  <c r="M1525" i="4"/>
  <c r="M1509" i="4"/>
  <c r="N1509" i="4" s="1"/>
  <c r="M1493" i="4"/>
  <c r="N1493" i="4" s="1"/>
  <c r="M1477" i="4"/>
  <c r="N1477" i="4" s="1"/>
  <c r="M1461" i="4"/>
  <c r="N1461" i="4" s="1"/>
  <c r="M1445" i="4"/>
  <c r="N1445" i="4" s="1"/>
  <c r="M1429" i="4"/>
  <c r="N1429" i="4" s="1"/>
  <c r="M1413" i="4"/>
  <c r="M1397" i="4"/>
  <c r="N1397" i="4" s="1"/>
  <c r="M1381" i="4"/>
  <c r="N1381" i="4" s="1"/>
  <c r="M1365" i="4"/>
  <c r="N1365" i="4" s="1"/>
  <c r="M1349" i="4"/>
  <c r="N1349" i="4" s="1"/>
  <c r="M1333" i="4"/>
  <c r="N1333" i="4" s="1"/>
  <c r="M1317" i="4"/>
  <c r="N1317" i="4" s="1"/>
  <c r="M1301" i="4"/>
  <c r="N1301" i="4" s="1"/>
  <c r="M1285" i="4"/>
  <c r="N1285" i="4" s="1"/>
  <c r="M1269" i="4"/>
  <c r="N1269" i="4" s="1"/>
  <c r="M1253" i="4"/>
  <c r="N1253" i="4" s="1"/>
  <c r="M1237" i="4"/>
  <c r="N1237" i="4" s="1"/>
  <c r="M1221" i="4"/>
  <c r="N1221" i="4" s="1"/>
  <c r="M1205" i="4"/>
  <c r="N1205" i="4" s="1"/>
  <c r="M1189" i="4"/>
  <c r="N1189" i="4" s="1"/>
  <c r="M1173" i="4"/>
  <c r="N1173" i="4" s="1"/>
  <c r="M1157" i="4"/>
  <c r="N1157" i="4" s="1"/>
  <c r="M1141" i="4"/>
  <c r="N1141" i="4" s="1"/>
  <c r="M1125" i="4"/>
  <c r="N1125" i="4" s="1"/>
  <c r="M1109" i="4"/>
  <c r="N1109" i="4" s="1"/>
  <c r="M1093" i="4"/>
  <c r="N1093" i="4" s="1"/>
  <c r="M1077" i="4"/>
  <c r="N1077" i="4" s="1"/>
  <c r="M1061" i="4"/>
  <c r="N1061" i="4" s="1"/>
  <c r="M1045" i="4"/>
  <c r="N1045" i="4" s="1"/>
  <c r="M1029" i="4"/>
  <c r="N1029" i="4" s="1"/>
  <c r="M1013" i="4"/>
  <c r="N1013" i="4" s="1"/>
  <c r="M997" i="4"/>
  <c r="N997" i="4" s="1"/>
  <c r="M981" i="4"/>
  <c r="M965" i="4"/>
  <c r="N965" i="4" s="1"/>
  <c r="M949" i="4"/>
  <c r="N949" i="4" s="1"/>
  <c r="M929" i="4"/>
  <c r="N929" i="4" s="1"/>
  <c r="M913" i="4"/>
  <c r="N913" i="4" s="1"/>
  <c r="M897" i="4"/>
  <c r="N897" i="4" s="1"/>
  <c r="M881" i="4"/>
  <c r="M861" i="4"/>
  <c r="N861" i="4" s="1"/>
  <c r="M845" i="4"/>
  <c r="N845" i="4" s="1"/>
  <c r="M829" i="4"/>
  <c r="N829" i="4" s="1"/>
  <c r="M813" i="4"/>
  <c r="N813" i="4" s="1"/>
  <c r="M797" i="4"/>
  <c r="N797" i="4" s="1"/>
  <c r="M780" i="4"/>
  <c r="N780" i="4" s="1"/>
  <c r="M764" i="4"/>
  <c r="N764" i="4" s="1"/>
  <c r="M1821" i="4"/>
  <c r="N1821" i="4" s="1"/>
  <c r="M1805" i="4"/>
  <c r="N1805" i="4" s="1"/>
  <c r="M1789" i="4"/>
  <c r="N1789" i="4" s="1"/>
  <c r="M1773" i="4"/>
  <c r="N1773" i="4" s="1"/>
  <c r="M1757" i="4"/>
  <c r="N1757" i="4" s="1"/>
  <c r="M1741" i="4"/>
  <c r="N1741" i="4" s="1"/>
  <c r="M1725" i="4"/>
  <c r="N1725" i="4" s="1"/>
  <c r="M1709" i="4"/>
  <c r="M1693" i="4"/>
  <c r="N1693" i="4" s="1"/>
  <c r="M1677" i="4"/>
  <c r="N1677" i="4" s="1"/>
  <c r="M1661" i="4"/>
  <c r="N1661" i="4" s="1"/>
  <c r="M1645" i="4"/>
  <c r="N1645" i="4" s="1"/>
  <c r="M1629" i="4"/>
  <c r="N1629" i="4" s="1"/>
  <c r="M1613" i="4"/>
  <c r="N1613" i="4" s="1"/>
  <c r="M1597" i="4"/>
  <c r="N1597" i="4" s="1"/>
  <c r="M1581" i="4"/>
  <c r="M1565" i="4"/>
  <c r="N1565" i="4" s="1"/>
  <c r="M1549" i="4"/>
  <c r="N1549" i="4" s="1"/>
  <c r="M1533" i="4"/>
  <c r="N1533" i="4" s="1"/>
  <c r="M1517" i="4"/>
  <c r="N1517" i="4" s="1"/>
  <c r="M1501" i="4"/>
  <c r="N1501" i="4" s="1"/>
  <c r="M1485" i="4"/>
  <c r="N1485" i="4" s="1"/>
  <c r="M1469" i="4"/>
  <c r="N1469" i="4" s="1"/>
  <c r="M1453" i="4"/>
  <c r="N1453" i="4" s="1"/>
  <c r="M1437" i="4"/>
  <c r="N1437" i="4" s="1"/>
  <c r="M1421" i="4"/>
  <c r="N1421" i="4" s="1"/>
  <c r="M1405" i="4"/>
  <c r="N1405" i="4" s="1"/>
  <c r="M1389" i="4"/>
  <c r="N1389" i="4" s="1"/>
  <c r="M1373" i="4"/>
  <c r="N1373" i="4" s="1"/>
  <c r="M1357" i="4"/>
  <c r="N1357" i="4" s="1"/>
  <c r="M1341" i="4"/>
  <c r="N1341" i="4" s="1"/>
  <c r="M1325" i="4"/>
  <c r="N1325" i="4" s="1"/>
  <c r="M1309" i="4"/>
  <c r="N1309" i="4" s="1"/>
  <c r="M1293" i="4"/>
  <c r="N1293" i="4" s="1"/>
  <c r="M1277" i="4"/>
  <c r="N1277" i="4" s="1"/>
  <c r="M1261" i="4"/>
  <c r="N1261" i="4" s="1"/>
  <c r="M1245" i="4"/>
  <c r="N1245" i="4" s="1"/>
  <c r="M1229" i="4"/>
  <c r="N1229" i="4" s="1"/>
  <c r="M1197" i="4"/>
  <c r="N1197" i="4" s="1"/>
  <c r="M1181" i="4"/>
  <c r="N1181" i="4" s="1"/>
  <c r="M1165" i="4"/>
  <c r="N1165" i="4" s="1"/>
  <c r="M1149" i="4"/>
  <c r="N1149" i="4" s="1"/>
  <c r="M1133" i="4"/>
  <c r="N1133" i="4" s="1"/>
  <c r="M1117" i="4"/>
  <c r="N1117" i="4" s="1"/>
  <c r="M1101" i="4"/>
  <c r="N1101" i="4" s="1"/>
  <c r="M1069" i="4"/>
  <c r="N1069" i="4" s="1"/>
  <c r="M1037" i="4"/>
  <c r="N1037" i="4" s="1"/>
  <c r="M1021" i="4"/>
  <c r="N1021" i="4" s="1"/>
  <c r="M989" i="4"/>
  <c r="M957" i="4"/>
  <c r="N957" i="4" s="1"/>
  <c r="M921" i="4"/>
  <c r="N921" i="4" s="1"/>
  <c r="M889" i="4"/>
  <c r="N889" i="4" s="1"/>
  <c r="M853" i="4"/>
  <c r="M821" i="4"/>
  <c r="N821" i="4" s="1"/>
  <c r="M789" i="4"/>
  <c r="N789" i="4" s="1"/>
  <c r="M1737" i="4"/>
  <c r="N1737" i="4" s="1"/>
  <c r="M1545" i="4"/>
  <c r="N1545" i="4" s="1"/>
  <c r="M1497" i="4"/>
  <c r="N1497" i="4" s="1"/>
  <c r="M1465" i="4"/>
  <c r="N1465" i="4" s="1"/>
  <c r="M1417" i="4"/>
  <c r="N1417" i="4" s="1"/>
  <c r="M1385" i="4"/>
  <c r="N1385" i="4" s="1"/>
  <c r="M1337" i="4"/>
  <c r="M1305" i="4"/>
  <c r="N1305" i="4" s="1"/>
  <c r="M1273" i="4"/>
  <c r="N1273" i="4" s="1"/>
  <c r="M1241" i="4"/>
  <c r="N1241" i="4" s="1"/>
  <c r="M1193" i="4"/>
  <c r="N1193" i="4" s="1"/>
  <c r="M1161" i="4"/>
  <c r="N1161" i="4" s="1"/>
  <c r="M1129" i="4"/>
  <c r="N1129" i="4" s="1"/>
  <c r="M1097" i="4"/>
  <c r="N1097" i="4" s="1"/>
  <c r="M1065" i="4"/>
  <c r="N1065" i="4" s="1"/>
  <c r="M1049" i="4"/>
  <c r="N1049" i="4" s="1"/>
  <c r="M1001" i="4"/>
  <c r="N1001" i="4" s="1"/>
  <c r="M969" i="4"/>
  <c r="N969" i="4" s="1"/>
  <c r="M933" i="4"/>
  <c r="N933" i="4" s="1"/>
  <c r="M885" i="4"/>
  <c r="N885" i="4" s="1"/>
  <c r="M849" i="4"/>
  <c r="M817" i="4"/>
  <c r="N817" i="4" s="1"/>
  <c r="M785" i="4"/>
  <c r="N785" i="4" s="1"/>
  <c r="V1260" i="4"/>
  <c r="V1442" i="4"/>
  <c r="V1339" i="4"/>
  <c r="V913" i="4"/>
  <c r="V1444" i="4"/>
  <c r="V562" i="4"/>
  <c r="V574" i="4"/>
  <c r="V590" i="4"/>
  <c r="V610" i="4"/>
  <c r="V618" i="4"/>
  <c r="V631" i="4"/>
  <c r="V640" i="4"/>
  <c r="V654" i="4"/>
  <c r="V663" i="4"/>
  <c r="V674" i="4"/>
  <c r="V700" i="4"/>
  <c r="V711" i="4"/>
  <c r="V718" i="4"/>
  <c r="V726" i="4"/>
  <c r="V738" i="4"/>
  <c r="V748" i="4"/>
  <c r="V758" i="4"/>
  <c r="V564" i="4"/>
  <c r="V582" i="4"/>
  <c r="V608" i="4"/>
  <c r="V622" i="4"/>
  <c r="V634" i="4"/>
  <c r="V650" i="4"/>
  <c r="V666" i="4"/>
  <c r="V686" i="4"/>
  <c r="V708" i="4"/>
  <c r="V719" i="4"/>
  <c r="V734" i="4"/>
  <c r="V746" i="4"/>
  <c r="V759" i="4"/>
  <c r="V611" i="4"/>
  <c r="V638" i="4"/>
  <c r="V670" i="4"/>
  <c r="V714" i="4"/>
  <c r="V750" i="4"/>
  <c r="V566" i="4"/>
  <c r="V626" i="4"/>
  <c r="V722" i="4"/>
  <c r="V570" i="4"/>
  <c r="V598" i="4"/>
  <c r="V614" i="4"/>
  <c r="V630" i="4"/>
  <c r="V646" i="4"/>
  <c r="V658" i="4"/>
  <c r="V672" i="4"/>
  <c r="V702" i="4"/>
  <c r="V715" i="4"/>
  <c r="V723" i="4"/>
  <c r="V740" i="4"/>
  <c r="V754" i="4"/>
  <c r="V558" i="4"/>
  <c r="V578" i="4"/>
  <c r="V602" i="4"/>
  <c r="V615" i="4"/>
  <c r="V632" i="4"/>
  <c r="V649" i="4"/>
  <c r="V662" i="4"/>
  <c r="V682" i="4"/>
  <c r="V703" i="4"/>
  <c r="V717" i="4"/>
  <c r="V730" i="4"/>
  <c r="V742" i="4"/>
  <c r="V756" i="4"/>
  <c r="V586" i="4"/>
  <c r="V656" i="4"/>
  <c r="V694" i="4"/>
  <c r="V735" i="4"/>
  <c r="V697" i="4"/>
  <c r="V633" i="4"/>
  <c r="V600" i="4"/>
  <c r="V589" i="4"/>
  <c r="V725" i="4"/>
  <c r="V688" i="4"/>
  <c r="V616" i="4"/>
  <c r="V760" i="4"/>
  <c r="V744" i="4"/>
  <c r="V716" i="4"/>
  <c r="V652" i="4"/>
  <c r="V684" i="4"/>
  <c r="V584" i="4"/>
  <c r="V755" i="4"/>
  <c r="V747" i="4"/>
  <c r="V687" i="4"/>
  <c r="V683" i="4"/>
  <c r="V709" i="4"/>
  <c r="V693" i="4"/>
  <c r="V677" i="4"/>
  <c r="V661" i="4"/>
  <c r="V577" i="4"/>
  <c r="V689" i="4"/>
  <c r="V713" i="4"/>
  <c r="V732" i="4"/>
  <c r="V680" i="4"/>
  <c r="V612" i="4"/>
  <c r="V736" i="4"/>
  <c r="V712" i="4"/>
  <c r="V636" i="4"/>
  <c r="V628" i="4"/>
  <c r="V699" i="4"/>
  <c r="V659" i="4"/>
  <c r="V641" i="4"/>
  <c r="V593" i="4"/>
  <c r="V576" i="4"/>
  <c r="V721" i="4"/>
  <c r="V569" i="4"/>
  <c r="V645" i="4"/>
  <c r="V573" i="4"/>
  <c r="V704" i="4"/>
  <c r="V648" i="4"/>
  <c r="V580" i="4"/>
  <c r="V724" i="4"/>
  <c r="V676" i="4"/>
  <c r="V572" i="4"/>
  <c r="V728" i="4"/>
  <c r="V620" i="4"/>
  <c r="V679" i="4"/>
  <c r="V637" i="4"/>
  <c r="V665" i="4"/>
  <c r="V613" i="4"/>
  <c r="V565" i="4"/>
  <c r="V696" i="4"/>
  <c r="V624" i="4"/>
  <c r="V568" i="4"/>
  <c r="V752" i="4"/>
  <c r="V720" i="4"/>
  <c r="V660" i="4"/>
  <c r="V560" i="4"/>
  <c r="V692" i="4"/>
  <c r="V592" i="4"/>
  <c r="V667" i="4"/>
  <c r="V655" i="4"/>
  <c r="V635" i="4"/>
  <c r="V627" i="4"/>
  <c r="V567" i="4"/>
  <c r="V691" i="4"/>
  <c r="V739" i="4"/>
  <c r="V563" i="4"/>
  <c r="V597" i="4"/>
  <c r="V643" i="4"/>
  <c r="V571" i="4"/>
  <c r="V559" i="4"/>
  <c r="V695" i="4"/>
  <c r="V675" i="4"/>
  <c r="V749" i="4"/>
  <c r="V753" i="4"/>
  <c r="V581" i="4"/>
  <c r="V639" i="4"/>
  <c r="V619" i="4"/>
  <c r="V587" i="4"/>
  <c r="V603" i="4"/>
  <c r="V599" i="4"/>
  <c r="V729" i="4"/>
  <c r="V651" i="4"/>
  <c r="V647" i="4"/>
  <c r="V623" i="4"/>
  <c r="V707" i="4"/>
  <c r="V595" i="4"/>
  <c r="V588" i="4"/>
  <c r="V669" i="4"/>
  <c r="V737" i="4"/>
  <c r="V605" i="4"/>
  <c r="V625" i="4"/>
  <c r="V741" i="4"/>
  <c r="V757" i="4"/>
  <c r="V733" i="4"/>
  <c r="X558" i="4"/>
  <c r="X570" i="4"/>
  <c r="X581" i="4"/>
  <c r="X590" i="4"/>
  <c r="X602" i="4"/>
  <c r="X610" i="4"/>
  <c r="X622" i="4"/>
  <c r="X634" i="4"/>
  <c r="X645" i="4"/>
  <c r="X654" i="4"/>
  <c r="X666" i="4"/>
  <c r="X674" i="4"/>
  <c r="X686" i="4"/>
  <c r="X698" i="4"/>
  <c r="X709" i="4"/>
  <c r="X718" i="4"/>
  <c r="X730" i="4"/>
  <c r="X738" i="4"/>
  <c r="X743" i="4"/>
  <c r="X751" i="4"/>
  <c r="X758" i="4"/>
  <c r="X574" i="4"/>
  <c r="X586" i="4"/>
  <c r="X598" i="4"/>
  <c r="X614" i="4"/>
  <c r="X626" i="4"/>
  <c r="X642" i="4"/>
  <c r="X656" i="4"/>
  <c r="X672" i="4"/>
  <c r="X682" i="4"/>
  <c r="X702" i="4"/>
  <c r="X714" i="4"/>
  <c r="X726" i="4"/>
  <c r="X739" i="4"/>
  <c r="X747" i="4"/>
  <c r="X757" i="4"/>
  <c r="X576" i="4"/>
  <c r="X589" i="4"/>
  <c r="X630" i="4"/>
  <c r="X673" i="4"/>
  <c r="X704" i="4"/>
  <c r="X731" i="4"/>
  <c r="X759" i="4"/>
  <c r="X578" i="4"/>
  <c r="X638" i="4"/>
  <c r="X662" i="4"/>
  <c r="X706" i="4"/>
  <c r="X734" i="4"/>
  <c r="X646" i="4"/>
  <c r="X750" i="4"/>
  <c r="X608" i="4"/>
  <c r="X754" i="4"/>
  <c r="X562" i="4"/>
  <c r="X618" i="4"/>
  <c r="X690" i="4"/>
  <c r="X566" i="4"/>
  <c r="X582" i="4"/>
  <c r="X594" i="4"/>
  <c r="X609" i="4"/>
  <c r="X624" i="4"/>
  <c r="X640" i="4"/>
  <c r="X653" i="4"/>
  <c r="X670" i="4"/>
  <c r="X681" i="4"/>
  <c r="X694" i="4"/>
  <c r="X710" i="4"/>
  <c r="X722" i="4"/>
  <c r="X735" i="4"/>
  <c r="X746" i="4"/>
  <c r="X755" i="4"/>
  <c r="X560" i="4"/>
  <c r="X606" i="4"/>
  <c r="X617" i="4"/>
  <c r="X658" i="4"/>
  <c r="X688" i="4"/>
  <c r="X717" i="4"/>
  <c r="X741" i="4"/>
  <c r="X592" i="4"/>
  <c r="X650" i="4"/>
  <c r="X678" i="4"/>
  <c r="X720" i="4"/>
  <c r="X742" i="4"/>
  <c r="X701" i="4"/>
  <c r="X637" i="4"/>
  <c r="X573" i="4"/>
  <c r="X749" i="4"/>
  <c r="X685" i="4"/>
  <c r="X621" i="4"/>
  <c r="X753" i="4"/>
  <c r="X689" i="4"/>
  <c r="X625" i="4"/>
  <c r="X561" i="4"/>
  <c r="X676" i="4"/>
  <c r="X612" i="4"/>
  <c r="X744" i="4"/>
  <c r="X728" i="4"/>
  <c r="X664" i="4"/>
  <c r="X600" i="4"/>
  <c r="X700" i="4"/>
  <c r="X636" i="4"/>
  <c r="X572" i="4"/>
  <c r="X711" i="4"/>
  <c r="X703" i="4"/>
  <c r="X699" i="4"/>
  <c r="X695" i="4"/>
  <c r="X675" i="4"/>
  <c r="X663" i="4"/>
  <c r="X745" i="4"/>
  <c r="X693" i="4"/>
  <c r="X629" i="4"/>
  <c r="X565" i="4"/>
  <c r="X733" i="4"/>
  <c r="X677" i="4"/>
  <c r="X613" i="4"/>
  <c r="X737" i="4"/>
  <c r="X669" i="4"/>
  <c r="X605" i="4"/>
  <c r="X724" i="4"/>
  <c r="X660" i="4"/>
  <c r="X596" i="4"/>
  <c r="X756" i="4"/>
  <c r="X740" i="4"/>
  <c r="X712" i="4"/>
  <c r="X648" i="4"/>
  <c r="X584" i="4"/>
  <c r="X684" i="4"/>
  <c r="X620" i="4"/>
  <c r="X719" i="4"/>
  <c r="X715" i="4"/>
  <c r="X683" i="4"/>
  <c r="X667" i="4"/>
  <c r="X729" i="4"/>
  <c r="X665" i="4"/>
  <c r="X601" i="4"/>
  <c r="X713" i="4"/>
  <c r="X649" i="4"/>
  <c r="X585" i="4"/>
  <c r="X725" i="4"/>
  <c r="X661" i="4"/>
  <c r="X597" i="4"/>
  <c r="X708" i="4"/>
  <c r="X644" i="4"/>
  <c r="X580" i="4"/>
  <c r="X752" i="4"/>
  <c r="X736" i="4"/>
  <c r="X696" i="4"/>
  <c r="X632" i="4"/>
  <c r="X568" i="4"/>
  <c r="X668" i="4"/>
  <c r="X604" i="4"/>
  <c r="X723" i="4"/>
  <c r="X707" i="4"/>
  <c r="X687" i="4"/>
  <c r="X679" i="4"/>
  <c r="X671" i="4"/>
  <c r="X721" i="4"/>
  <c r="X657" i="4"/>
  <c r="X593" i="4"/>
  <c r="X705" i="4"/>
  <c r="X641" i="4"/>
  <c r="X577" i="4"/>
  <c r="X697" i="4"/>
  <c r="X633" i="4"/>
  <c r="X569" i="4"/>
  <c r="X692" i="4"/>
  <c r="X628" i="4"/>
  <c r="X564" i="4"/>
  <c r="X748" i="4"/>
  <c r="X732" i="4"/>
  <c r="X680" i="4"/>
  <c r="X616" i="4"/>
  <c r="X716" i="4"/>
  <c r="X652" i="4"/>
  <c r="X588" i="4"/>
  <c r="X727" i="4"/>
  <c r="X691" i="4"/>
  <c r="X619" i="4"/>
  <c r="X607" i="4"/>
  <c r="X599" i="4"/>
  <c r="X587" i="4"/>
  <c r="X575" i="4"/>
  <c r="X563" i="4"/>
  <c r="X559" i="4"/>
  <c r="X623" i="4"/>
  <c r="X591" i="4"/>
  <c r="X659" i="4"/>
  <c r="X655" i="4"/>
  <c r="X651" i="4"/>
  <c r="X647" i="4"/>
  <c r="X627" i="4"/>
  <c r="X611" i="4"/>
  <c r="X603" i="4"/>
  <c r="X579" i="4"/>
  <c r="X567" i="4"/>
  <c r="X760" i="4"/>
  <c r="X643" i="4"/>
  <c r="X639" i="4"/>
  <c r="X635" i="4"/>
  <c r="X631" i="4"/>
  <c r="X615" i="4"/>
  <c r="X595" i="4"/>
  <c r="X583" i="4"/>
  <c r="X571" i="4"/>
  <c r="W562" i="4"/>
  <c r="M562" i="4" s="1"/>
  <c r="N562" i="4" s="1"/>
  <c r="W575" i="4"/>
  <c r="M575" i="4" s="1"/>
  <c r="N575" i="4" s="1"/>
  <c r="W590" i="4"/>
  <c r="M590" i="4" s="1"/>
  <c r="N590" i="4" s="1"/>
  <c r="W602" i="4"/>
  <c r="M602" i="4" s="1"/>
  <c r="N602" i="4" s="1"/>
  <c r="W614" i="4"/>
  <c r="M614" i="4" s="1"/>
  <c r="N614" i="4" s="1"/>
  <c r="W626" i="4"/>
  <c r="M626" i="4" s="1"/>
  <c r="N626" i="4" s="1"/>
  <c r="W636" i="4"/>
  <c r="M636" i="4" s="1"/>
  <c r="N636" i="4" s="1"/>
  <c r="W646" i="4"/>
  <c r="M646" i="4" s="1"/>
  <c r="N646" i="4" s="1"/>
  <c r="W656" i="4"/>
  <c r="M656" i="4" s="1"/>
  <c r="N656" i="4" s="1"/>
  <c r="W666" i="4"/>
  <c r="M666" i="4" s="1"/>
  <c r="N666" i="4" s="1"/>
  <c r="W678" i="4"/>
  <c r="M678" i="4" s="1"/>
  <c r="N678" i="4" s="1"/>
  <c r="W690" i="4"/>
  <c r="M690" i="4" s="1"/>
  <c r="N690" i="4" s="1"/>
  <c r="W700" i="4"/>
  <c r="M700" i="4" s="1"/>
  <c r="N700" i="4" s="1"/>
  <c r="W710" i="4"/>
  <c r="M710" i="4" s="1"/>
  <c r="N710" i="4" s="1"/>
  <c r="W720" i="4"/>
  <c r="M720" i="4" s="1"/>
  <c r="N720" i="4" s="1"/>
  <c r="W730" i="4"/>
  <c r="M730" i="4" s="1"/>
  <c r="N730" i="4" s="1"/>
  <c r="W742" i="4"/>
  <c r="M742" i="4" s="1"/>
  <c r="N742" i="4" s="1"/>
  <c r="W754" i="4"/>
  <c r="M754" i="4" s="1"/>
  <c r="N754" i="4" s="1"/>
  <c r="W570" i="4"/>
  <c r="M570" i="4" s="1"/>
  <c r="N570" i="4" s="1"/>
  <c r="W586" i="4"/>
  <c r="M586" i="4" s="1"/>
  <c r="N586" i="4" s="1"/>
  <c r="W606" i="4"/>
  <c r="M606" i="4" s="1"/>
  <c r="N606" i="4" s="1"/>
  <c r="W622" i="4"/>
  <c r="M622" i="4" s="1"/>
  <c r="N622" i="4" s="1"/>
  <c r="W634" i="4"/>
  <c r="M634" i="4" s="1"/>
  <c r="N634" i="4" s="1"/>
  <c r="W650" i="4"/>
  <c r="M650" i="4" s="1"/>
  <c r="N650" i="4" s="1"/>
  <c r="W662" i="4"/>
  <c r="M662" i="4" s="1"/>
  <c r="N662" i="4" s="1"/>
  <c r="W674" i="4"/>
  <c r="M674" i="4" s="1"/>
  <c r="N674" i="4" s="1"/>
  <c r="W692" i="4"/>
  <c r="M692" i="4" s="1"/>
  <c r="N692" i="4" s="1"/>
  <c r="W703" i="4"/>
  <c r="M703" i="4" s="1"/>
  <c r="N703" i="4" s="1"/>
  <c r="W719" i="4"/>
  <c r="M719" i="4" s="1"/>
  <c r="N719" i="4" s="1"/>
  <c r="W734" i="4"/>
  <c r="M734" i="4" s="1"/>
  <c r="N734" i="4" s="1"/>
  <c r="W750" i="4"/>
  <c r="M750" i="4" s="1"/>
  <c r="N750" i="4" s="1"/>
  <c r="W759" i="4"/>
  <c r="M759" i="4" s="1"/>
  <c r="N759" i="4" s="1"/>
  <c r="W574" i="4"/>
  <c r="M574" i="4" s="1"/>
  <c r="N574" i="4" s="1"/>
  <c r="W623" i="4"/>
  <c r="M623" i="4" s="1"/>
  <c r="N623" i="4" s="1"/>
  <c r="W654" i="4"/>
  <c r="M654" i="4" s="1"/>
  <c r="N654" i="4" s="1"/>
  <c r="W682" i="4"/>
  <c r="M682" i="4" s="1"/>
  <c r="N682" i="4" s="1"/>
  <c r="W706" i="4"/>
  <c r="M706" i="4" s="1"/>
  <c r="N706" i="4" s="1"/>
  <c r="W751" i="4"/>
  <c r="M751" i="4" s="1"/>
  <c r="N751" i="4" s="1"/>
  <c r="W594" i="4"/>
  <c r="M594" i="4" s="1"/>
  <c r="N594" i="4" s="1"/>
  <c r="W714" i="4"/>
  <c r="M714" i="4" s="1"/>
  <c r="N714" i="4" s="1"/>
  <c r="W607" i="4"/>
  <c r="M607" i="4" s="1"/>
  <c r="N607" i="4" s="1"/>
  <c r="W722" i="4"/>
  <c r="M722" i="4" s="1"/>
  <c r="N722" i="4" s="1"/>
  <c r="W559" i="4"/>
  <c r="M559" i="4" s="1"/>
  <c r="N559" i="4" s="1"/>
  <c r="W578" i="4"/>
  <c r="M578" i="4" s="1"/>
  <c r="N578" i="4" s="1"/>
  <c r="W628" i="4"/>
  <c r="M628" i="4" s="1"/>
  <c r="N628" i="4" s="1"/>
  <c r="W639" i="4"/>
  <c r="M639" i="4" s="1"/>
  <c r="N639" i="4" s="1"/>
  <c r="W655" i="4"/>
  <c r="M655" i="4" s="1"/>
  <c r="N655" i="4" s="1"/>
  <c r="W670" i="4"/>
  <c r="M670" i="4" s="1"/>
  <c r="N670" i="4" s="1"/>
  <c r="W686" i="4"/>
  <c r="M686" i="4" s="1"/>
  <c r="N686" i="4" s="1"/>
  <c r="W698" i="4"/>
  <c r="M698" i="4" s="1"/>
  <c r="N698" i="4" s="1"/>
  <c r="W738" i="4"/>
  <c r="M738" i="4" s="1"/>
  <c r="N738" i="4" s="1"/>
  <c r="W566" i="4"/>
  <c r="M566" i="4" s="1"/>
  <c r="N566" i="4" s="1"/>
  <c r="W582" i="4"/>
  <c r="M582" i="4" s="1"/>
  <c r="N582" i="4" s="1"/>
  <c r="W598" i="4"/>
  <c r="M598" i="4" s="1"/>
  <c r="N598" i="4" s="1"/>
  <c r="W618" i="4"/>
  <c r="M618" i="4" s="1"/>
  <c r="N618" i="4" s="1"/>
  <c r="W630" i="4"/>
  <c r="M630" i="4" s="1"/>
  <c r="N630" i="4" s="1"/>
  <c r="W642" i="4"/>
  <c r="M642" i="4" s="1"/>
  <c r="N642" i="4" s="1"/>
  <c r="W658" i="4"/>
  <c r="M658" i="4" s="1"/>
  <c r="N658" i="4" s="1"/>
  <c r="W671" i="4"/>
  <c r="M671" i="4" s="1"/>
  <c r="N671" i="4" s="1"/>
  <c r="W687" i="4"/>
  <c r="M687" i="4" s="1"/>
  <c r="N687" i="4" s="1"/>
  <c r="W702" i="4"/>
  <c r="M702" i="4" s="1"/>
  <c r="N702" i="4" s="1"/>
  <c r="W718" i="4"/>
  <c r="M718" i="4" s="1"/>
  <c r="N718" i="4" s="1"/>
  <c r="W728" i="4"/>
  <c r="M728" i="4" s="1"/>
  <c r="N728" i="4" s="1"/>
  <c r="W746" i="4"/>
  <c r="M746" i="4" s="1"/>
  <c r="N746" i="4" s="1"/>
  <c r="W758" i="4"/>
  <c r="M758" i="4" s="1"/>
  <c r="N758" i="4" s="1"/>
  <c r="W558" i="4"/>
  <c r="M558" i="4" s="1"/>
  <c r="N558" i="4" s="1"/>
  <c r="W591" i="4"/>
  <c r="M591" i="4" s="1"/>
  <c r="N591" i="4" s="1"/>
  <c r="W638" i="4"/>
  <c r="M638" i="4" s="1"/>
  <c r="N638" i="4" s="1"/>
  <c r="W664" i="4"/>
  <c r="W694" i="4"/>
  <c r="M694" i="4" s="1"/>
  <c r="N694" i="4" s="1"/>
  <c r="W735" i="4"/>
  <c r="M735" i="4" s="1"/>
  <c r="N735" i="4" s="1"/>
  <c r="W610" i="4"/>
  <c r="M610" i="4" s="1"/>
  <c r="N610" i="4" s="1"/>
  <c r="W726" i="4"/>
  <c r="M726" i="4" s="1"/>
  <c r="N726" i="4" s="1"/>
  <c r="W756" i="4"/>
  <c r="M756" i="4" s="1"/>
  <c r="N756" i="4" s="1"/>
  <c r="W745" i="4"/>
  <c r="M745" i="4" s="1"/>
  <c r="N745" i="4" s="1"/>
  <c r="W681" i="4"/>
  <c r="M681" i="4" s="1"/>
  <c r="N681" i="4" s="1"/>
  <c r="W617" i="4"/>
  <c r="M617" i="4" s="1"/>
  <c r="N617" i="4" s="1"/>
  <c r="W601" i="4"/>
  <c r="M601" i="4" s="1"/>
  <c r="N601" i="4" s="1"/>
  <c r="W585" i="4"/>
  <c r="W584" i="4"/>
  <c r="M584" i="4" s="1"/>
  <c r="N584" i="4" s="1"/>
  <c r="W748" i="4"/>
  <c r="M748" i="4" s="1"/>
  <c r="N748" i="4" s="1"/>
  <c r="W684" i="4"/>
  <c r="M684" i="4" s="1"/>
  <c r="N684" i="4" s="1"/>
  <c r="W620" i="4"/>
  <c r="M620" i="4" s="1"/>
  <c r="N620" i="4" s="1"/>
  <c r="W564" i="4"/>
  <c r="M564" i="4" s="1"/>
  <c r="N564" i="4" s="1"/>
  <c r="W732" i="4"/>
  <c r="M732" i="4" s="1"/>
  <c r="N732" i="4" s="1"/>
  <c r="W668" i="4"/>
  <c r="M668" i="4" s="1"/>
  <c r="N668" i="4" s="1"/>
  <c r="W604" i="4"/>
  <c r="M604" i="4" s="1"/>
  <c r="N604" i="4" s="1"/>
  <c r="W708" i="4"/>
  <c r="M708" i="4" s="1"/>
  <c r="N708" i="4" s="1"/>
  <c r="W644" i="4"/>
  <c r="W576" i="4"/>
  <c r="M576" i="4" s="1"/>
  <c r="N576" i="4" s="1"/>
  <c r="W723" i="4"/>
  <c r="M723" i="4" s="1"/>
  <c r="N723" i="4" s="1"/>
  <c r="W629" i="4"/>
  <c r="M629" i="4" s="1"/>
  <c r="N629" i="4" s="1"/>
  <c r="W740" i="4"/>
  <c r="M740" i="4" s="1"/>
  <c r="N740" i="4" s="1"/>
  <c r="W676" i="4"/>
  <c r="M676" i="4" s="1"/>
  <c r="N676" i="4" s="1"/>
  <c r="W612" i="4"/>
  <c r="M612" i="4" s="1"/>
  <c r="N612" i="4" s="1"/>
  <c r="W724" i="4"/>
  <c r="M724" i="4" s="1"/>
  <c r="N724" i="4" s="1"/>
  <c r="W660" i="4"/>
  <c r="M660" i="4" s="1"/>
  <c r="N660" i="4" s="1"/>
  <c r="W588" i="4"/>
  <c r="M588" i="4" s="1"/>
  <c r="N588" i="4" s="1"/>
  <c r="W744" i="4"/>
  <c r="M744" i="4" s="1"/>
  <c r="N744" i="4" s="1"/>
  <c r="W680" i="4"/>
  <c r="M680" i="4" s="1"/>
  <c r="N680" i="4" s="1"/>
  <c r="W616" i="4"/>
  <c r="M616" i="4" s="1"/>
  <c r="N616" i="4" s="1"/>
  <c r="W560" i="4"/>
  <c r="M560" i="4" s="1"/>
  <c r="N560" i="4" s="1"/>
  <c r="W727" i="4"/>
  <c r="M727" i="4" s="1"/>
  <c r="N727" i="4" s="1"/>
  <c r="W691" i="4"/>
  <c r="M691" i="4" s="1"/>
  <c r="N691" i="4" s="1"/>
  <c r="W679" i="4"/>
  <c r="M679" i="4" s="1"/>
  <c r="N679" i="4" s="1"/>
  <c r="W609" i="4"/>
  <c r="M609" i="4" s="1"/>
  <c r="N609" i="4" s="1"/>
  <c r="W561" i="4"/>
  <c r="W712" i="4"/>
  <c r="M712" i="4" s="1"/>
  <c r="N712" i="4" s="1"/>
  <c r="W648" i="4"/>
  <c r="M648" i="4" s="1"/>
  <c r="N648" i="4" s="1"/>
  <c r="W596" i="4"/>
  <c r="M596" i="4" s="1"/>
  <c r="N596" i="4" s="1"/>
  <c r="W696" i="4"/>
  <c r="M696" i="4" s="1"/>
  <c r="N696" i="4" s="1"/>
  <c r="W632" i="4"/>
  <c r="M632" i="4" s="1"/>
  <c r="N632" i="4" s="1"/>
  <c r="W572" i="4"/>
  <c r="M572" i="4" s="1"/>
  <c r="N572" i="4" s="1"/>
  <c r="W736" i="4"/>
  <c r="M736" i="4" s="1"/>
  <c r="N736" i="4" s="1"/>
  <c r="W672" i="4"/>
  <c r="M672" i="4" s="1"/>
  <c r="N672" i="4" s="1"/>
  <c r="W608" i="4"/>
  <c r="M608" i="4" s="1"/>
  <c r="N608" i="4" s="1"/>
  <c r="W747" i="4"/>
  <c r="M747" i="4" s="1"/>
  <c r="N747" i="4" s="1"/>
  <c r="W743" i="4"/>
  <c r="M743" i="4" s="1"/>
  <c r="N743" i="4" s="1"/>
  <c r="W715" i="4"/>
  <c r="M715" i="4" s="1"/>
  <c r="N715" i="4" s="1"/>
  <c r="W695" i="4"/>
  <c r="M695" i="4" s="1"/>
  <c r="N695" i="4" s="1"/>
  <c r="W663" i="4"/>
  <c r="M663" i="4" s="1"/>
  <c r="N663" i="4" s="1"/>
  <c r="W760" i="4"/>
  <c r="M760" i="4" s="1"/>
  <c r="N760" i="4" s="1"/>
  <c r="W704" i="4"/>
  <c r="M704" i="4" s="1"/>
  <c r="N704" i="4" s="1"/>
  <c r="W640" i="4"/>
  <c r="M640" i="4" s="1"/>
  <c r="N640" i="4" s="1"/>
  <c r="W580" i="4"/>
  <c r="M580" i="4" s="1"/>
  <c r="N580" i="4" s="1"/>
  <c r="W752" i="4"/>
  <c r="M752" i="4" s="1"/>
  <c r="N752" i="4" s="1"/>
  <c r="W688" i="4"/>
  <c r="M688" i="4" s="1"/>
  <c r="N688" i="4" s="1"/>
  <c r="W624" i="4"/>
  <c r="M624" i="4" s="1"/>
  <c r="N624" i="4" s="1"/>
  <c r="W716" i="4"/>
  <c r="M716" i="4" s="1"/>
  <c r="N716" i="4" s="1"/>
  <c r="W652" i="4"/>
  <c r="M652" i="4" s="1"/>
  <c r="N652" i="4" s="1"/>
  <c r="W592" i="4"/>
  <c r="M592" i="4" s="1"/>
  <c r="N592" i="4" s="1"/>
  <c r="W731" i="4"/>
  <c r="M731" i="4" s="1"/>
  <c r="N731" i="4" s="1"/>
  <c r="W711" i="4"/>
  <c r="M711" i="4" s="1"/>
  <c r="N711" i="4" s="1"/>
  <c r="W611" i="4"/>
  <c r="M611" i="4" s="1"/>
  <c r="N611" i="4" s="1"/>
  <c r="W579" i="4"/>
  <c r="M579" i="4" s="1"/>
  <c r="N579" i="4" s="1"/>
  <c r="W739" i="4"/>
  <c r="M739" i="4" s="1"/>
  <c r="N739" i="4" s="1"/>
  <c r="W627" i="4"/>
  <c r="M627" i="4" s="1"/>
  <c r="N627" i="4" s="1"/>
  <c r="W651" i="4"/>
  <c r="M651" i="4" s="1"/>
  <c r="N651" i="4" s="1"/>
  <c r="W571" i="4"/>
  <c r="M571" i="4" s="1"/>
  <c r="N571" i="4" s="1"/>
  <c r="W600" i="4"/>
  <c r="M600" i="4" s="1"/>
  <c r="N600" i="4" s="1"/>
  <c r="W613" i="4"/>
  <c r="M613" i="4" s="1"/>
  <c r="N613" i="4" s="1"/>
  <c r="W589" i="4"/>
  <c r="M589" i="4" s="1"/>
  <c r="N589" i="4" s="1"/>
  <c r="W569" i="4"/>
  <c r="M569" i="4" s="1"/>
  <c r="N569" i="4" s="1"/>
  <c r="W647" i="4"/>
  <c r="M647" i="4" s="1"/>
  <c r="N647" i="4" s="1"/>
  <c r="W631" i="4"/>
  <c r="M631" i="4" s="1"/>
  <c r="N631" i="4" s="1"/>
  <c r="W595" i="4"/>
  <c r="M595" i="4" s="1"/>
  <c r="N595" i="4" s="1"/>
  <c r="W583" i="4"/>
  <c r="M583" i="4" s="1"/>
  <c r="N583" i="4" s="1"/>
  <c r="W707" i="4"/>
  <c r="M707" i="4" s="1"/>
  <c r="N707" i="4" s="1"/>
  <c r="W599" i="4"/>
  <c r="M599" i="4" s="1"/>
  <c r="N599" i="4" s="1"/>
  <c r="W699" i="4"/>
  <c r="M699" i="4" s="1"/>
  <c r="N699" i="4" s="1"/>
  <c r="W635" i="4"/>
  <c r="M635" i="4" s="1"/>
  <c r="N635" i="4" s="1"/>
  <c r="W568" i="4"/>
  <c r="M568" i="4" s="1"/>
  <c r="N568" i="4" s="1"/>
  <c r="W597" i="4"/>
  <c r="M597" i="4" s="1"/>
  <c r="N597" i="4" s="1"/>
  <c r="W577" i="4"/>
  <c r="M577" i="4" s="1"/>
  <c r="N577" i="4" s="1"/>
  <c r="W753" i="4"/>
  <c r="M753" i="4" s="1"/>
  <c r="N753" i="4" s="1"/>
  <c r="W733" i="4"/>
  <c r="M733" i="4" s="1"/>
  <c r="N733" i="4" s="1"/>
  <c r="W717" i="4"/>
  <c r="M717" i="4" s="1"/>
  <c r="N717" i="4" s="1"/>
  <c r="W701" i="4"/>
  <c r="M701" i="4" s="1"/>
  <c r="N701" i="4" s="1"/>
  <c r="W685" i="4"/>
  <c r="M685" i="4" s="1"/>
  <c r="N685" i="4" s="1"/>
  <c r="W665" i="4"/>
  <c r="M665" i="4" s="1"/>
  <c r="N665" i="4" s="1"/>
  <c r="W649" i="4"/>
  <c r="M649" i="4" s="1"/>
  <c r="N649" i="4" s="1"/>
  <c r="W633" i="4"/>
  <c r="M633" i="4" s="1"/>
  <c r="N633" i="4" s="1"/>
  <c r="W615" i="4"/>
  <c r="M615" i="4" s="1"/>
  <c r="N615" i="4" s="1"/>
  <c r="W675" i="4"/>
  <c r="M675" i="4" s="1"/>
  <c r="N675" i="4" s="1"/>
  <c r="W587" i="4"/>
  <c r="M587" i="4" s="1"/>
  <c r="N587" i="4" s="1"/>
  <c r="W683" i="4"/>
  <c r="M683" i="4" s="1"/>
  <c r="N683" i="4" s="1"/>
  <c r="W619" i="4"/>
  <c r="M619" i="4" s="1"/>
  <c r="N619" i="4" s="1"/>
  <c r="W563" i="4"/>
  <c r="M563" i="4" s="1"/>
  <c r="N563" i="4" s="1"/>
  <c r="W573" i="4"/>
  <c r="M573" i="4" s="1"/>
  <c r="N573" i="4" s="1"/>
  <c r="W565" i="4"/>
  <c r="M565" i="4" s="1"/>
  <c r="N565" i="4" s="1"/>
  <c r="W749" i="4"/>
  <c r="M749" i="4" s="1"/>
  <c r="N749" i="4" s="1"/>
  <c r="W729" i="4"/>
  <c r="M729" i="4" s="1"/>
  <c r="N729" i="4" s="1"/>
  <c r="W713" i="4"/>
  <c r="M713" i="4" s="1"/>
  <c r="N713" i="4" s="1"/>
  <c r="W697" i="4"/>
  <c r="M697" i="4" s="1"/>
  <c r="N697" i="4" s="1"/>
  <c r="W677" i="4"/>
  <c r="M677" i="4" s="1"/>
  <c r="N677" i="4" s="1"/>
  <c r="W661" i="4"/>
  <c r="M661" i="4" s="1"/>
  <c r="N661" i="4" s="1"/>
  <c r="W645" i="4"/>
  <c r="M645" i="4" s="1"/>
  <c r="N645" i="4" s="1"/>
  <c r="W625" i="4"/>
  <c r="M625" i="4" s="1"/>
  <c r="N625" i="4" s="1"/>
  <c r="W643" i="4"/>
  <c r="M643" i="4" s="1"/>
  <c r="N643" i="4" s="1"/>
  <c r="W755" i="4"/>
  <c r="M755" i="4" s="1"/>
  <c r="N755" i="4" s="1"/>
  <c r="W659" i="4"/>
  <c r="M659" i="4" s="1"/>
  <c r="N659" i="4" s="1"/>
  <c r="W567" i="4"/>
  <c r="M567" i="4" s="1"/>
  <c r="N567" i="4" s="1"/>
  <c r="W667" i="4"/>
  <c r="M667" i="4" s="1"/>
  <c r="N667" i="4" s="1"/>
  <c r="W603" i="4"/>
  <c r="M603" i="4" s="1"/>
  <c r="N603" i="4" s="1"/>
  <c r="W605" i="4"/>
  <c r="M605" i="4" s="1"/>
  <c r="N605" i="4" s="1"/>
  <c r="W593" i="4"/>
  <c r="M593" i="4" s="1"/>
  <c r="N593" i="4" s="1"/>
  <c r="W581" i="4"/>
  <c r="M581" i="4" s="1"/>
  <c r="N581" i="4" s="1"/>
  <c r="W741" i="4"/>
  <c r="M741" i="4" s="1"/>
  <c r="N741" i="4" s="1"/>
  <c r="W725" i="4"/>
  <c r="M725" i="4" s="1"/>
  <c r="N725" i="4" s="1"/>
  <c r="W709" i="4"/>
  <c r="M709" i="4" s="1"/>
  <c r="N709" i="4" s="1"/>
  <c r="W693" i="4"/>
  <c r="M693" i="4" s="1"/>
  <c r="N693" i="4" s="1"/>
  <c r="W673" i="4"/>
  <c r="M673" i="4" s="1"/>
  <c r="N673" i="4" s="1"/>
  <c r="W657" i="4"/>
  <c r="M657" i="4" s="1"/>
  <c r="N657" i="4" s="1"/>
  <c r="W641" i="4"/>
  <c r="M641" i="4" s="1"/>
  <c r="N641" i="4" s="1"/>
  <c r="W621" i="4"/>
  <c r="M621" i="4" s="1"/>
  <c r="N621" i="4" s="1"/>
  <c r="W737" i="4"/>
  <c r="M737" i="4" s="1"/>
  <c r="N737" i="4" s="1"/>
  <c r="W669" i="4"/>
  <c r="M669" i="4" s="1"/>
  <c r="N669" i="4" s="1"/>
  <c r="W721" i="4"/>
  <c r="M721" i="4" s="1"/>
  <c r="N721" i="4" s="1"/>
  <c r="W653" i="4"/>
  <c r="M653" i="4" s="1"/>
  <c r="N653" i="4" s="1"/>
  <c r="W705" i="4"/>
  <c r="M705" i="4" s="1"/>
  <c r="N705" i="4" s="1"/>
  <c r="W637" i="4"/>
  <c r="M637" i="4" s="1"/>
  <c r="N637" i="4" s="1"/>
  <c r="W757" i="4"/>
  <c r="M757" i="4" s="1"/>
  <c r="N757" i="4" s="1"/>
  <c r="W689" i="4"/>
  <c r="M689" i="4" s="1"/>
  <c r="N689" i="4" s="1"/>
  <c r="P566" i="4"/>
  <c r="P582" i="4"/>
  <c r="P598" i="4"/>
  <c r="P614" i="4"/>
  <c r="P630" i="4"/>
  <c r="S630" i="4" s="1"/>
  <c r="P662" i="4"/>
  <c r="U662" i="4" s="1"/>
  <c r="P678" i="4"/>
  <c r="P710" i="4"/>
  <c r="P742" i="4"/>
  <c r="P562" i="4"/>
  <c r="U562" i="4" s="1"/>
  <c r="P578" i="4"/>
  <c r="P594" i="4"/>
  <c r="P610" i="4"/>
  <c r="S610" i="4" s="1"/>
  <c r="P626" i="4"/>
  <c r="P642" i="4"/>
  <c r="P658" i="4"/>
  <c r="S658" i="4" s="1"/>
  <c r="P674" i="4"/>
  <c r="P690" i="4"/>
  <c r="P706" i="4"/>
  <c r="P722" i="4"/>
  <c r="P738" i="4"/>
  <c r="P754" i="4"/>
  <c r="P646" i="4"/>
  <c r="S646" i="4" s="1"/>
  <c r="P694" i="4"/>
  <c r="S694" i="4" s="1"/>
  <c r="P726" i="4"/>
  <c r="S726" i="4" s="1"/>
  <c r="P758" i="4"/>
  <c r="P574" i="4"/>
  <c r="S574" i="4" s="1"/>
  <c r="P606" i="4"/>
  <c r="P638" i="4"/>
  <c r="S638" i="4" s="1"/>
  <c r="P670" i="4"/>
  <c r="S670" i="4" s="1"/>
  <c r="P702" i="4"/>
  <c r="S702" i="4" s="1"/>
  <c r="P734" i="4"/>
  <c r="P558" i="4"/>
  <c r="S558" i="4" s="1"/>
  <c r="P586" i="4"/>
  <c r="P618" i="4"/>
  <c r="P650" i="4"/>
  <c r="S650" i="4" s="1"/>
  <c r="P682" i="4"/>
  <c r="S682" i="4" s="1"/>
  <c r="P714" i="4"/>
  <c r="P746" i="4"/>
  <c r="P561" i="4"/>
  <c r="P590" i="4"/>
  <c r="P622" i="4"/>
  <c r="P654" i="4"/>
  <c r="U654" i="4" s="1"/>
  <c r="P686" i="4"/>
  <c r="P718" i="4"/>
  <c r="S718" i="4" s="1"/>
  <c r="P750" i="4"/>
  <c r="S750" i="4" s="1"/>
  <c r="P570" i="4"/>
  <c r="S570" i="4" s="1"/>
  <c r="P602" i="4"/>
  <c r="S602" i="4" s="1"/>
  <c r="P634" i="4"/>
  <c r="S634" i="4" s="1"/>
  <c r="P666" i="4"/>
  <c r="S666" i="4" s="1"/>
  <c r="P698" i="4"/>
  <c r="P730" i="4"/>
  <c r="S730" i="4" s="1"/>
  <c r="P752" i="4"/>
  <c r="P729" i="4"/>
  <c r="S729" i="4" s="1"/>
  <c r="P756" i="4"/>
  <c r="P732" i="4"/>
  <c r="P748" i="4"/>
  <c r="S748" i="4" s="1"/>
  <c r="P713" i="4"/>
  <c r="S713" i="4" s="1"/>
  <c r="P569" i="4"/>
  <c r="P712" i="4"/>
  <c r="P696" i="4"/>
  <c r="S696" i="4" s="1"/>
  <c r="P680" i="4"/>
  <c r="S680" i="4" s="1"/>
  <c r="P664" i="4"/>
  <c r="P648" i="4"/>
  <c r="S648" i="4" s="1"/>
  <c r="P632" i="4"/>
  <c r="S632" i="4" s="1"/>
  <c r="P616" i="4"/>
  <c r="S616" i="4" s="1"/>
  <c r="P760" i="4"/>
  <c r="P731" i="4"/>
  <c r="P679" i="4"/>
  <c r="P667" i="4"/>
  <c r="S667" i="4" s="1"/>
  <c r="P757" i="4"/>
  <c r="S757" i="4" s="1"/>
  <c r="P741" i="4"/>
  <c r="S741" i="4" s="1"/>
  <c r="P725" i="4"/>
  <c r="S725" i="4" s="1"/>
  <c r="P744" i="4"/>
  <c r="S744" i="4" s="1"/>
  <c r="P759" i="4"/>
  <c r="S759" i="4" s="1"/>
  <c r="P613" i="4"/>
  <c r="S613" i="4" s="1"/>
  <c r="P597" i="4"/>
  <c r="P581" i="4"/>
  <c r="S581" i="4" s="1"/>
  <c r="P565" i="4"/>
  <c r="P708" i="4"/>
  <c r="P692" i="4"/>
  <c r="S692" i="4" s="1"/>
  <c r="P676" i="4"/>
  <c r="S676" i="4" s="1"/>
  <c r="P660" i="4"/>
  <c r="P644" i="4"/>
  <c r="P628" i="4"/>
  <c r="S628" i="4" s="1"/>
  <c r="P612" i="4"/>
  <c r="U616" i="4" s="1"/>
  <c r="P596" i="4"/>
  <c r="P580" i="4"/>
  <c r="P564" i="4"/>
  <c r="P755" i="4"/>
  <c r="S755" i="4" s="1"/>
  <c r="P743" i="4"/>
  <c r="P723" i="4"/>
  <c r="S723" i="4" s="1"/>
  <c r="P707" i="4"/>
  <c r="S707" i="4" s="1"/>
  <c r="P687" i="4"/>
  <c r="S687" i="4" s="1"/>
  <c r="P671" i="4"/>
  <c r="P753" i="4"/>
  <c r="S753" i="4" s="1"/>
  <c r="P737" i="4"/>
  <c r="P751" i="4"/>
  <c r="P705" i="4"/>
  <c r="P689" i="4"/>
  <c r="S689" i="4" s="1"/>
  <c r="P673" i="4"/>
  <c r="P657" i="4"/>
  <c r="P625" i="4"/>
  <c r="S625" i="4" s="1"/>
  <c r="P577" i="4"/>
  <c r="S577" i="4" s="1"/>
  <c r="P704" i="4"/>
  <c r="U704" i="4" s="1"/>
  <c r="P688" i="4"/>
  <c r="S688" i="4" s="1"/>
  <c r="P672" i="4"/>
  <c r="S672" i="4" s="1"/>
  <c r="P656" i="4"/>
  <c r="S656" i="4" s="1"/>
  <c r="P640" i="4"/>
  <c r="P608" i="4"/>
  <c r="P592" i="4"/>
  <c r="P560" i="4"/>
  <c r="P727" i="4"/>
  <c r="P711" i="4"/>
  <c r="S711" i="4" s="1"/>
  <c r="P699" i="4"/>
  <c r="P691" i="4"/>
  <c r="P659" i="4"/>
  <c r="P733" i="4"/>
  <c r="S733" i="4" s="1"/>
  <c r="P736" i="4"/>
  <c r="P720" i="4"/>
  <c r="S720" i="4" s="1"/>
  <c r="P735" i="4"/>
  <c r="P701" i="4"/>
  <c r="P685" i="4"/>
  <c r="P669" i="4"/>
  <c r="S669" i="4" s="1"/>
  <c r="P653" i="4"/>
  <c r="P621" i="4"/>
  <c r="P605" i="4"/>
  <c r="S605" i="4" s="1"/>
  <c r="P589" i="4"/>
  <c r="S589" i="4" s="1"/>
  <c r="P573" i="4"/>
  <c r="P700" i="4"/>
  <c r="S700" i="4" s="1"/>
  <c r="P684" i="4"/>
  <c r="S684" i="4" s="1"/>
  <c r="P668" i="4"/>
  <c r="P652" i="4"/>
  <c r="S652" i="4" s="1"/>
  <c r="P636" i="4"/>
  <c r="S636" i="4" s="1"/>
  <c r="P620" i="4"/>
  <c r="U620" i="4" s="1"/>
  <c r="P604" i="4"/>
  <c r="P572" i="4"/>
  <c r="P739" i="4"/>
  <c r="S739" i="4" s="1"/>
  <c r="P747" i="4"/>
  <c r="S747" i="4" s="1"/>
  <c r="P719" i="4"/>
  <c r="P715" i="4"/>
  <c r="S715" i="4" s="1"/>
  <c r="P703" i="4"/>
  <c r="S703" i="4" s="1"/>
  <c r="P695" i="4"/>
  <c r="P683" i="4"/>
  <c r="S683" i="4" s="1"/>
  <c r="P675" i="4"/>
  <c r="S675" i="4" s="1"/>
  <c r="P663" i="4"/>
  <c r="S663" i="4" s="1"/>
  <c r="P651" i="4"/>
  <c r="P647" i="4"/>
  <c r="P643" i="4"/>
  <c r="P623" i="4"/>
  <c r="S623" i="4" s="1"/>
  <c r="P591" i="4"/>
  <c r="P717" i="4"/>
  <c r="P681" i="4"/>
  <c r="P649" i="4"/>
  <c r="P633" i="4"/>
  <c r="P601" i="4"/>
  <c r="P724" i="4"/>
  <c r="P588" i="4"/>
  <c r="P655" i="4"/>
  <c r="P639" i="4"/>
  <c r="P635" i="4"/>
  <c r="P627" i="4"/>
  <c r="S627" i="4" s="1"/>
  <c r="P615" i="4"/>
  <c r="S615" i="4" s="1"/>
  <c r="P611" i="4"/>
  <c r="U613" i="4" s="1"/>
  <c r="P603" i="4"/>
  <c r="S603" i="4" s="1"/>
  <c r="P579" i="4"/>
  <c r="P567" i="4"/>
  <c r="S567" i="4" s="1"/>
  <c r="P749" i="4"/>
  <c r="P709" i="4"/>
  <c r="S709" i="4" s="1"/>
  <c r="P677" i="4"/>
  <c r="S677" i="4" s="1"/>
  <c r="P645" i="4"/>
  <c r="P629" i="4"/>
  <c r="P593" i="4"/>
  <c r="S593" i="4" s="1"/>
  <c r="P716" i="4"/>
  <c r="P584" i="4"/>
  <c r="P631" i="4"/>
  <c r="P595" i="4"/>
  <c r="P583" i="4"/>
  <c r="P571" i="4"/>
  <c r="S571" i="4" s="1"/>
  <c r="P559" i="4"/>
  <c r="U560" i="4" s="1"/>
  <c r="P745" i="4"/>
  <c r="P697" i="4"/>
  <c r="S697" i="4" s="1"/>
  <c r="P665" i="4"/>
  <c r="P641" i="4"/>
  <c r="U641" i="4" s="1"/>
  <c r="P617" i="4"/>
  <c r="P585" i="4"/>
  <c r="P740" i="4"/>
  <c r="P624" i="4"/>
  <c r="P576" i="4"/>
  <c r="S576" i="4" s="1"/>
  <c r="P619" i="4"/>
  <c r="S619" i="4" s="1"/>
  <c r="P607" i="4"/>
  <c r="P599" i="4"/>
  <c r="S599" i="4" s="1"/>
  <c r="P587" i="4"/>
  <c r="S587" i="4" s="1"/>
  <c r="P575" i="4"/>
  <c r="P563" i="4"/>
  <c r="S563" i="4" s="1"/>
  <c r="P721" i="4"/>
  <c r="P693" i="4"/>
  <c r="P661" i="4"/>
  <c r="P637" i="4"/>
  <c r="P609" i="4"/>
  <c r="P728" i="4"/>
  <c r="P600" i="4"/>
  <c r="S600" i="4" s="1"/>
  <c r="P568" i="4"/>
  <c r="S566" i="4"/>
  <c r="S590" i="4"/>
  <c r="S618" i="4"/>
  <c r="S674" i="4"/>
  <c r="S722" i="4"/>
  <c r="S736" i="4"/>
  <c r="S758" i="4"/>
  <c r="S578" i="4"/>
  <c r="S622" i="4"/>
  <c r="S598" i="4"/>
  <c r="S686" i="4"/>
  <c r="S734" i="4"/>
  <c r="S754" i="4"/>
  <c r="S735" i="4"/>
  <c r="S582" i="4"/>
  <c r="S614" i="4"/>
  <c r="S586" i="4"/>
  <c r="S626" i="4"/>
  <c r="S714" i="4"/>
  <c r="S738" i="4"/>
  <c r="S592" i="4"/>
  <c r="S647" i="4"/>
  <c r="S746" i="4"/>
  <c r="S691" i="4"/>
  <c r="S665" i="4"/>
  <c r="S649" i="4"/>
  <c r="S568" i="4"/>
  <c r="S661" i="4"/>
  <c r="S752" i="4"/>
  <c r="S719" i="4"/>
  <c r="S728" i="4"/>
  <c r="S645" i="4"/>
  <c r="S580" i="4"/>
  <c r="S608" i="4"/>
  <c r="S708" i="4"/>
  <c r="S695" i="4"/>
  <c r="S721" i="4"/>
  <c r="S740" i="4"/>
  <c r="S724" i="4"/>
  <c r="S624" i="4"/>
  <c r="S564" i="4"/>
  <c r="S584" i="4"/>
  <c r="S749" i="4"/>
  <c r="S717" i="4"/>
  <c r="S716" i="4"/>
  <c r="S588" i="4"/>
  <c r="S572" i="4"/>
  <c r="S699" i="4"/>
  <c r="S679" i="4"/>
  <c r="S639" i="4"/>
  <c r="S631" i="4"/>
  <c r="S651" i="4"/>
  <c r="S712" i="4"/>
  <c r="S732" i="4"/>
  <c r="S560" i="4"/>
  <c r="S569" i="4"/>
  <c r="S637" i="4"/>
  <c r="S643" i="4"/>
  <c r="S635" i="4"/>
  <c r="S760" i="4"/>
  <c r="S756" i="4"/>
  <c r="S633" i="4"/>
  <c r="S655" i="4"/>
  <c r="S559" i="4"/>
  <c r="S660" i="4"/>
  <c r="S573" i="4"/>
  <c r="S565" i="4"/>
  <c r="S693" i="4"/>
  <c r="S597" i="4"/>
  <c r="S557" i="4"/>
  <c r="S556" i="4"/>
  <c r="V557" i="4"/>
  <c r="V556" i="4"/>
  <c r="P557" i="4"/>
  <c r="P556" i="4"/>
  <c r="X556" i="4"/>
  <c r="X557" i="4"/>
  <c r="W557" i="4"/>
  <c r="M557" i="4" s="1"/>
  <c r="N557" i="4" s="1"/>
  <c r="W556" i="4"/>
  <c r="M556" i="4" s="1"/>
  <c r="N556" i="4" s="1"/>
  <c r="V554" i="4"/>
  <c r="V553" i="4"/>
  <c r="V453" i="4"/>
  <c r="V473" i="4"/>
  <c r="V478" i="4"/>
  <c r="V497" i="4"/>
  <c r="V513" i="4"/>
  <c r="V518" i="4"/>
  <c r="V533" i="4"/>
  <c r="V545" i="4"/>
  <c r="V529" i="4"/>
  <c r="V448" i="4"/>
  <c r="V454" i="4"/>
  <c r="V474" i="4"/>
  <c r="V481" i="4"/>
  <c r="V501" i="4"/>
  <c r="V514" i="4"/>
  <c r="V521" i="4"/>
  <c r="V537" i="4"/>
  <c r="V549" i="4"/>
  <c r="V449" i="4"/>
  <c r="V457" i="4"/>
  <c r="V476" i="4"/>
  <c r="V485" i="4"/>
  <c r="V505" i="4"/>
  <c r="V516" i="4"/>
  <c r="V525" i="4"/>
  <c r="V452" i="4"/>
  <c r="V461" i="4"/>
  <c r="V477" i="4"/>
  <c r="V493" i="4"/>
  <c r="V509" i="4"/>
  <c r="V517" i="4"/>
  <c r="V541" i="4"/>
  <c r="V555" i="4"/>
  <c r="V530" i="4"/>
  <c r="V492" i="4"/>
  <c r="V548" i="4"/>
  <c r="V512" i="4"/>
  <c r="V472" i="4"/>
  <c r="V528" i="4"/>
  <c r="V539" i="4"/>
  <c r="V459" i="4"/>
  <c r="V543" i="4"/>
  <c r="V499" i="4"/>
  <c r="V475" i="4"/>
  <c r="V510" i="4"/>
  <c r="V462" i="4"/>
  <c r="V538" i="4"/>
  <c r="V508" i="4"/>
  <c r="V540" i="4"/>
  <c r="V504" i="4"/>
  <c r="V456" i="4"/>
  <c r="V520" i="4"/>
  <c r="V531" i="4"/>
  <c r="V522" i="4"/>
  <c r="V495" i="4"/>
  <c r="V507" i="4"/>
  <c r="V506" i="4"/>
  <c r="V498" i="4"/>
  <c r="V450" i="4"/>
  <c r="V544" i="4"/>
  <c r="V500" i="4"/>
  <c r="V480" i="4"/>
  <c r="V532" i="4"/>
  <c r="V496" i="4"/>
  <c r="V460" i="4"/>
  <c r="V511" i="4"/>
  <c r="V479" i="4"/>
  <c r="V455" i="4"/>
  <c r="V551" i="4"/>
  <c r="V550" i="4"/>
  <c r="V491" i="4"/>
  <c r="V515" i="4"/>
  <c r="V463" i="4"/>
  <c r="V494" i="4"/>
  <c r="V534" i="4"/>
  <c r="V524" i="4"/>
  <c r="V484" i="4"/>
  <c r="V552" i="4"/>
  <c r="V519" i="4"/>
  <c r="V547" i="4"/>
  <c r="V546" i="4"/>
  <c r="V482" i="4"/>
  <c r="V523" i="4"/>
  <c r="V451" i="4"/>
  <c r="M478" i="4"/>
  <c r="N478" i="4" s="1"/>
  <c r="V490" i="4"/>
  <c r="P453" i="4"/>
  <c r="S453" i="4" s="1"/>
  <c r="T453" i="4" s="1"/>
  <c r="P465" i="4"/>
  <c r="P473" i="4"/>
  <c r="S473" i="4" s="1"/>
  <c r="P485" i="4"/>
  <c r="P497" i="4"/>
  <c r="S497" i="4" s="1"/>
  <c r="P508" i="4"/>
  <c r="S508" i="4" s="1"/>
  <c r="P517" i="4"/>
  <c r="S517" i="4" s="1"/>
  <c r="P529" i="4"/>
  <c r="P537" i="4"/>
  <c r="S537" i="4" s="1"/>
  <c r="P549" i="4"/>
  <c r="P554" i="4"/>
  <c r="P455" i="4"/>
  <c r="P469" i="4"/>
  <c r="P477" i="4"/>
  <c r="P487" i="4"/>
  <c r="P501" i="4"/>
  <c r="P509" i="4"/>
  <c r="P519" i="4"/>
  <c r="P533" i="4"/>
  <c r="P541" i="4"/>
  <c r="P551" i="4"/>
  <c r="P553" i="4"/>
  <c r="P555" i="4"/>
  <c r="S555" i="4" s="1"/>
  <c r="P449" i="4"/>
  <c r="P457" i="4"/>
  <c r="U457" i="4" s="1"/>
  <c r="P471" i="4"/>
  <c r="P480" i="4"/>
  <c r="P489" i="4"/>
  <c r="P503" i="4"/>
  <c r="P513" i="4"/>
  <c r="S513" i="4" s="1"/>
  <c r="P521" i="4"/>
  <c r="S521" i="4" s="1"/>
  <c r="P535" i="4"/>
  <c r="P452" i="4"/>
  <c r="U452" i="4" s="1"/>
  <c r="P461" i="4"/>
  <c r="P472" i="4"/>
  <c r="P481" i="4"/>
  <c r="P493" i="4"/>
  <c r="P505" i="4"/>
  <c r="P516" i="4"/>
  <c r="P525" i="4"/>
  <c r="S525" i="4" s="1"/>
  <c r="P536" i="4"/>
  <c r="P545" i="4"/>
  <c r="P550" i="4"/>
  <c r="P552" i="4"/>
  <c r="S552" i="4" s="1"/>
  <c r="P532" i="4"/>
  <c r="P468" i="4"/>
  <c r="P520" i="4"/>
  <c r="P504" i="4"/>
  <c r="S504" i="4" s="1"/>
  <c r="P522" i="4"/>
  <c r="P450" i="4"/>
  <c r="S450" i="4" s="1"/>
  <c r="P511" i="4"/>
  <c r="P459" i="4"/>
  <c r="P506" i="4"/>
  <c r="P498" i="4"/>
  <c r="U498" i="4" s="1"/>
  <c r="P478" i="4"/>
  <c r="S478" i="4" s="1"/>
  <c r="P499" i="4"/>
  <c r="P546" i="4"/>
  <c r="S546" i="4" s="1"/>
  <c r="P526" i="4"/>
  <c r="P502" i="4"/>
  <c r="P548" i="4"/>
  <c r="P524" i="4"/>
  <c r="P488" i="4"/>
  <c r="P464" i="4"/>
  <c r="P448" i="4"/>
  <c r="P500" i="4"/>
  <c r="P484" i="4"/>
  <c r="S484" i="4" s="1"/>
  <c r="P482" i="4"/>
  <c r="P458" i="4"/>
  <c r="P495" i="4"/>
  <c r="P539" i="4"/>
  <c r="S539" i="4" s="1"/>
  <c r="P542" i="4"/>
  <c r="P534" i="4"/>
  <c r="S534" i="4" s="1"/>
  <c r="P490" i="4"/>
  <c r="P462" i="4"/>
  <c r="S462" i="4" s="1"/>
  <c r="P547" i="4"/>
  <c r="P483" i="4"/>
  <c r="P544" i="4"/>
  <c r="P514" i="4"/>
  <c r="S514" i="4" s="1"/>
  <c r="P460" i="4"/>
  <c r="P463" i="4"/>
  <c r="P492" i="4"/>
  <c r="S492" i="4" s="1"/>
  <c r="P540" i="4"/>
  <c r="U540" i="4" s="1"/>
  <c r="P476" i="4"/>
  <c r="P523" i="4"/>
  <c r="P494" i="4"/>
  <c r="P543" i="4"/>
  <c r="P479" i="4"/>
  <c r="P507" i="4"/>
  <c r="P470" i="4"/>
  <c r="P531" i="4"/>
  <c r="P467" i="4"/>
  <c r="P510" i="4"/>
  <c r="P496" i="4"/>
  <c r="S496" i="4" s="1"/>
  <c r="P528" i="4"/>
  <c r="S528" i="4" s="1"/>
  <c r="P456" i="4"/>
  <c r="U458" i="4" s="1"/>
  <c r="P512" i="4"/>
  <c r="P491" i="4"/>
  <c r="S491" i="4" s="1"/>
  <c r="P518" i="4"/>
  <c r="P486" i="4"/>
  <c r="P474" i="4"/>
  <c r="P466" i="4"/>
  <c r="P527" i="4"/>
  <c r="P475" i="4"/>
  <c r="P538" i="4"/>
  <c r="S538" i="4" s="1"/>
  <c r="P530" i="4"/>
  <c r="P454" i="4"/>
  <c r="U454" i="4" s="1"/>
  <c r="P515" i="4"/>
  <c r="P451" i="4"/>
  <c r="U451" i="4" s="1"/>
  <c r="W555" i="4"/>
  <c r="M555" i="4" s="1"/>
  <c r="N555" i="4" s="1"/>
  <c r="W554" i="4"/>
  <c r="M554" i="4" s="1"/>
  <c r="N554" i="4" s="1"/>
  <c r="W553" i="4"/>
  <c r="M553" i="4" s="1"/>
  <c r="N553" i="4" s="1"/>
  <c r="W450" i="4"/>
  <c r="M450" i="4" s="1"/>
  <c r="N450" i="4" s="1"/>
  <c r="W462" i="4"/>
  <c r="M462" i="4" s="1"/>
  <c r="N462" i="4" s="1"/>
  <c r="W469" i="4"/>
  <c r="M469" i="4" s="1"/>
  <c r="N469" i="4" s="1"/>
  <c r="W477" i="4"/>
  <c r="M477" i="4" s="1"/>
  <c r="N477" i="4" s="1"/>
  <c r="W485" i="4"/>
  <c r="M485" i="4" s="1"/>
  <c r="N485" i="4" s="1"/>
  <c r="W497" i="4"/>
  <c r="M497" i="4" s="1"/>
  <c r="N497" i="4" s="1"/>
  <c r="W502" i="4"/>
  <c r="M502" i="4" s="1"/>
  <c r="N502" i="4" s="1"/>
  <c r="W512" i="4"/>
  <c r="M512" i="4" s="1"/>
  <c r="N512" i="4" s="1"/>
  <c r="W521" i="4"/>
  <c r="M521" i="4" s="1"/>
  <c r="N521" i="4" s="1"/>
  <c r="W529" i="4"/>
  <c r="M529" i="4" s="1"/>
  <c r="N529" i="4" s="1"/>
  <c r="W537" i="4"/>
  <c r="M537" i="4" s="1"/>
  <c r="N537" i="4" s="1"/>
  <c r="W545" i="4"/>
  <c r="M545" i="4" s="1"/>
  <c r="N545" i="4" s="1"/>
  <c r="W498" i="4"/>
  <c r="M498" i="4" s="1"/>
  <c r="N498" i="4" s="1"/>
  <c r="W513" i="4"/>
  <c r="M513" i="4" s="1"/>
  <c r="N513" i="4" s="1"/>
  <c r="W532" i="4"/>
  <c r="M532" i="4" s="1"/>
  <c r="N532" i="4" s="1"/>
  <c r="W484" i="4"/>
  <c r="M484" i="4" s="1"/>
  <c r="N484" i="4" s="1"/>
  <c r="W528" i="4"/>
  <c r="M528" i="4" s="1"/>
  <c r="N528" i="4" s="1"/>
  <c r="W550" i="4"/>
  <c r="M550" i="4" s="1"/>
  <c r="N550" i="4" s="1"/>
  <c r="W453" i="4"/>
  <c r="M453" i="4" s="1"/>
  <c r="N453" i="4" s="1"/>
  <c r="W464" i="4"/>
  <c r="M464" i="4" s="1"/>
  <c r="N464" i="4" s="1"/>
  <c r="W472" i="4"/>
  <c r="M472" i="4" s="1"/>
  <c r="N472" i="4" s="1"/>
  <c r="W480" i="4"/>
  <c r="M480" i="4" s="1"/>
  <c r="N480" i="4" s="1"/>
  <c r="W486" i="4"/>
  <c r="W505" i="4"/>
  <c r="M505" i="4" s="1"/>
  <c r="N505" i="4" s="1"/>
  <c r="W525" i="4"/>
  <c r="M525" i="4" s="1"/>
  <c r="N525" i="4" s="1"/>
  <c r="W540" i="4"/>
  <c r="M540" i="4" s="1"/>
  <c r="N540" i="4" s="1"/>
  <c r="W548" i="4"/>
  <c r="M548" i="4" s="1"/>
  <c r="N548" i="4" s="1"/>
  <c r="W449" i="4"/>
  <c r="M449" i="4" s="1"/>
  <c r="N449" i="4" s="1"/>
  <c r="W468" i="4"/>
  <c r="M468" i="4" s="1"/>
  <c r="N468" i="4" s="1"/>
  <c r="W493" i="4"/>
  <c r="M493" i="4" s="1"/>
  <c r="N493" i="4" s="1"/>
  <c r="W510" i="4"/>
  <c r="M510" i="4" s="1"/>
  <c r="N510" i="4" s="1"/>
  <c r="W536" i="4"/>
  <c r="M536" i="4" s="1"/>
  <c r="N536" i="4" s="1"/>
  <c r="W448" i="4"/>
  <c r="M448" i="4" s="1"/>
  <c r="N448" i="4" s="1"/>
  <c r="W457" i="4"/>
  <c r="M457" i="4" s="1"/>
  <c r="N457" i="4" s="1"/>
  <c r="W465" i="4"/>
  <c r="M465" i="4" s="1"/>
  <c r="N465" i="4" s="1"/>
  <c r="W473" i="4"/>
  <c r="M473" i="4" s="1"/>
  <c r="N473" i="4" s="1"/>
  <c r="W481" i="4"/>
  <c r="M481" i="4" s="1"/>
  <c r="N481" i="4" s="1"/>
  <c r="W489" i="4"/>
  <c r="M489" i="4" s="1"/>
  <c r="N489" i="4" s="1"/>
  <c r="W500" i="4"/>
  <c r="M500" i="4" s="1"/>
  <c r="N500" i="4" s="1"/>
  <c r="W509" i="4"/>
  <c r="M509" i="4" s="1"/>
  <c r="N509" i="4" s="1"/>
  <c r="W514" i="4"/>
  <c r="M514" i="4" s="1"/>
  <c r="N514" i="4" s="1"/>
  <c r="W526" i="4"/>
  <c r="M526" i="4" s="1"/>
  <c r="N526" i="4" s="1"/>
  <c r="W533" i="4"/>
  <c r="M533" i="4" s="1"/>
  <c r="N533" i="4" s="1"/>
  <c r="W541" i="4"/>
  <c r="M541" i="4" s="1"/>
  <c r="N541" i="4" s="1"/>
  <c r="W549" i="4"/>
  <c r="M549" i="4" s="1"/>
  <c r="N549" i="4" s="1"/>
  <c r="W461" i="4"/>
  <c r="M461" i="4" s="1"/>
  <c r="N461" i="4" s="1"/>
  <c r="W476" i="4"/>
  <c r="M476" i="4" s="1"/>
  <c r="N476" i="4" s="1"/>
  <c r="W501" i="4"/>
  <c r="M501" i="4" s="1"/>
  <c r="N501" i="4" s="1"/>
  <c r="W517" i="4"/>
  <c r="M517" i="4" s="1"/>
  <c r="N517" i="4" s="1"/>
  <c r="W544" i="4"/>
  <c r="M544" i="4" s="1"/>
  <c r="N544" i="4" s="1"/>
  <c r="W543" i="4"/>
  <c r="M543" i="4" s="1"/>
  <c r="N543" i="4" s="1"/>
  <c r="W471" i="4"/>
  <c r="M471" i="4" s="1"/>
  <c r="N471" i="4" s="1"/>
  <c r="W516" i="4"/>
  <c r="M516" i="4" s="1"/>
  <c r="N516" i="4" s="1"/>
  <c r="W488" i="4"/>
  <c r="M488" i="4" s="1"/>
  <c r="N488" i="4" s="1"/>
  <c r="W519" i="4"/>
  <c r="M519" i="4" s="1"/>
  <c r="N519" i="4" s="1"/>
  <c r="W503" i="4"/>
  <c r="M503" i="4" s="1"/>
  <c r="N503" i="4" s="1"/>
  <c r="W474" i="4"/>
  <c r="M474" i="4" s="1"/>
  <c r="N474" i="4" s="1"/>
  <c r="W518" i="4"/>
  <c r="M518" i="4" s="1"/>
  <c r="N518" i="4" s="1"/>
  <c r="W531" i="4"/>
  <c r="M531" i="4" s="1"/>
  <c r="N531" i="4" s="1"/>
  <c r="W523" i="4"/>
  <c r="M523" i="4" s="1"/>
  <c r="N523" i="4" s="1"/>
  <c r="W451" i="4"/>
  <c r="M451" i="4" s="1"/>
  <c r="N451" i="4" s="1"/>
  <c r="W538" i="4"/>
  <c r="M538" i="4" s="1"/>
  <c r="N538" i="4" s="1"/>
  <c r="W534" i="4"/>
  <c r="M534" i="4" s="1"/>
  <c r="N534" i="4" s="1"/>
  <c r="W535" i="4"/>
  <c r="M535" i="4" s="1"/>
  <c r="N535" i="4" s="1"/>
  <c r="W467" i="4"/>
  <c r="M467" i="4" s="1"/>
  <c r="N467" i="4" s="1"/>
  <c r="W504" i="4"/>
  <c r="M504" i="4" s="1"/>
  <c r="N504" i="4" s="1"/>
  <c r="W520" i="4"/>
  <c r="M520" i="4" s="1"/>
  <c r="N520" i="4" s="1"/>
  <c r="W460" i="4"/>
  <c r="M460" i="4" s="1"/>
  <c r="N460" i="4" s="1"/>
  <c r="W539" i="4"/>
  <c r="M539" i="4" s="1"/>
  <c r="N539" i="4" s="1"/>
  <c r="W499" i="4"/>
  <c r="M499" i="4" s="1"/>
  <c r="N499" i="4" s="1"/>
  <c r="W491" i="4"/>
  <c r="M491" i="4" s="1"/>
  <c r="N491" i="4" s="1"/>
  <c r="W479" i="4"/>
  <c r="M479" i="4" s="1"/>
  <c r="N479" i="4" s="1"/>
  <c r="W466" i="4"/>
  <c r="M466" i="4" s="1"/>
  <c r="N466" i="4" s="1"/>
  <c r="W463" i="4"/>
  <c r="M463" i="4" s="1"/>
  <c r="N463" i="4" s="1"/>
  <c r="W494" i="4"/>
  <c r="M494" i="4" s="1"/>
  <c r="N494" i="4" s="1"/>
  <c r="W542" i="4"/>
  <c r="M542" i="4" s="1"/>
  <c r="N542" i="4" s="1"/>
  <c r="W478" i="4"/>
  <c r="X478" i="4" s="1"/>
  <c r="W551" i="4"/>
  <c r="M551" i="4" s="1"/>
  <c r="N551" i="4" s="1"/>
  <c r="W552" i="4"/>
  <c r="M552" i="4" s="1"/>
  <c r="N552" i="4" s="1"/>
  <c r="W492" i="4"/>
  <c r="M492" i="4" s="1"/>
  <c r="N492" i="4" s="1"/>
  <c r="W508" i="4"/>
  <c r="M508" i="4" s="1"/>
  <c r="N508" i="4" s="1"/>
  <c r="W452" i="4"/>
  <c r="M452" i="4" s="1"/>
  <c r="N452" i="4" s="1"/>
  <c r="W522" i="4"/>
  <c r="M522" i="4" s="1"/>
  <c r="N522" i="4" s="1"/>
  <c r="W458" i="4"/>
  <c r="M458" i="4" s="1"/>
  <c r="N458" i="4" s="1"/>
  <c r="W507" i="4"/>
  <c r="M507" i="4" s="1"/>
  <c r="N507" i="4" s="1"/>
  <c r="W506" i="4"/>
  <c r="M506" i="4" s="1"/>
  <c r="N506" i="4" s="1"/>
  <c r="W490" i="4"/>
  <c r="M490" i="4" s="1"/>
  <c r="N490" i="4" s="1"/>
  <c r="W482" i="4"/>
  <c r="M482" i="4" s="1"/>
  <c r="N482" i="4" s="1"/>
  <c r="W454" i="4"/>
  <c r="M454" i="4" s="1"/>
  <c r="N454" i="4" s="1"/>
  <c r="W527" i="4"/>
  <c r="M527" i="4" s="1"/>
  <c r="N527" i="4" s="1"/>
  <c r="W483" i="4"/>
  <c r="M483" i="4" s="1"/>
  <c r="N483" i="4" s="1"/>
  <c r="W524" i="4"/>
  <c r="M524" i="4" s="1"/>
  <c r="N524" i="4" s="1"/>
  <c r="W456" i="4"/>
  <c r="M456" i="4" s="1"/>
  <c r="N456" i="4" s="1"/>
  <c r="W496" i="4"/>
  <c r="M496" i="4" s="1"/>
  <c r="N496" i="4" s="1"/>
  <c r="W511" i="4"/>
  <c r="M511" i="4" s="1"/>
  <c r="N511" i="4" s="1"/>
  <c r="W495" i="4"/>
  <c r="M495" i="4" s="1"/>
  <c r="N495" i="4" s="1"/>
  <c r="W487" i="4"/>
  <c r="M487" i="4" s="1"/>
  <c r="N487" i="4" s="1"/>
  <c r="W459" i="4"/>
  <c r="M459" i="4" s="1"/>
  <c r="N459" i="4" s="1"/>
  <c r="W455" i="4"/>
  <c r="M455" i="4" s="1"/>
  <c r="N455" i="4" s="1"/>
  <c r="W530" i="4"/>
  <c r="M530" i="4" s="1"/>
  <c r="N530" i="4" s="1"/>
  <c r="W547" i="4"/>
  <c r="M547" i="4" s="1"/>
  <c r="N547" i="4" s="1"/>
  <c r="W515" i="4"/>
  <c r="M515" i="4" s="1"/>
  <c r="N515" i="4" s="1"/>
  <c r="W475" i="4"/>
  <c r="M475" i="4" s="1"/>
  <c r="N475" i="4" s="1"/>
  <c r="W546" i="4"/>
  <c r="M546" i="4" s="1"/>
  <c r="N546" i="4" s="1"/>
  <c r="W470" i="4"/>
  <c r="M470" i="4" s="1"/>
  <c r="N470" i="4" s="1"/>
  <c r="X448" i="4"/>
  <c r="X457" i="4"/>
  <c r="X465" i="4"/>
  <c r="X473" i="4"/>
  <c r="X481" i="4"/>
  <c r="X492" i="4"/>
  <c r="X501" i="4"/>
  <c r="X517" i="4"/>
  <c r="X533" i="4"/>
  <c r="X549" i="4"/>
  <c r="X449" i="4"/>
  <c r="X468" i="4"/>
  <c r="X485" i="4"/>
  <c r="X521" i="4"/>
  <c r="X472" i="4"/>
  <c r="X497" i="4"/>
  <c r="X545" i="4"/>
  <c r="X461" i="4"/>
  <c r="X476" i="4"/>
  <c r="X493" i="4"/>
  <c r="X505" i="4"/>
  <c r="X537" i="4"/>
  <c r="X464" i="4"/>
  <c r="X490" i="4"/>
  <c r="X513" i="4"/>
  <c r="X553" i="4"/>
  <c r="X451" i="4"/>
  <c r="X463" i="4"/>
  <c r="X469" i="4"/>
  <c r="X477" i="4"/>
  <c r="X489" i="4"/>
  <c r="X494" i="4"/>
  <c r="X509" i="4"/>
  <c r="X525" i="4"/>
  <c r="X541" i="4"/>
  <c r="X453" i="4"/>
  <c r="X479" i="4"/>
  <c r="X529" i="4"/>
  <c r="X555" i="4"/>
  <c r="X554" i="4"/>
  <c r="X523" i="4"/>
  <c r="X540" i="4"/>
  <c r="X508" i="4"/>
  <c r="X460" i="4"/>
  <c r="X520" i="4"/>
  <c r="X484" i="4"/>
  <c r="X495" i="4"/>
  <c r="X487" i="4"/>
  <c r="X455" i="4"/>
  <c r="X458" i="4"/>
  <c r="X535" i="4"/>
  <c r="X503" i="4"/>
  <c r="X462" i="4"/>
  <c r="X550" i="4"/>
  <c r="X534" i="4"/>
  <c r="X518" i="4"/>
  <c r="X502" i="4"/>
  <c r="X515" i="4"/>
  <c r="X532" i="4"/>
  <c r="X500" i="4"/>
  <c r="X452" i="4"/>
  <c r="X552" i="4"/>
  <c r="X512" i="4"/>
  <c r="X483" i="4"/>
  <c r="X474" i="4"/>
  <c r="X551" i="4"/>
  <c r="X527" i="4"/>
  <c r="X498" i="4"/>
  <c r="X467" i="4"/>
  <c r="X546" i="4"/>
  <c r="X530" i="4"/>
  <c r="X514" i="4"/>
  <c r="X475" i="4"/>
  <c r="X531" i="4"/>
  <c r="X507" i="4"/>
  <c r="X524" i="4"/>
  <c r="X488" i="4"/>
  <c r="X544" i="4"/>
  <c r="X504" i="4"/>
  <c r="X499" i="4"/>
  <c r="X491" i="4"/>
  <c r="X482" i="4"/>
  <c r="X466" i="4"/>
  <c r="X543" i="4"/>
  <c r="X519" i="4"/>
  <c r="X471" i="4"/>
  <c r="X454" i="4"/>
  <c r="X542" i="4"/>
  <c r="X526" i="4"/>
  <c r="X510" i="4"/>
  <c r="X459" i="4"/>
  <c r="X536" i="4"/>
  <c r="X456" i="4"/>
  <c r="X547" i="4"/>
  <c r="X548" i="4"/>
  <c r="X516" i="4"/>
  <c r="X480" i="4"/>
  <c r="X528" i="4"/>
  <c r="X496" i="4"/>
  <c r="X450" i="4"/>
  <c r="X539" i="4"/>
  <c r="X511" i="4"/>
  <c r="X470" i="4"/>
  <c r="X538" i="4"/>
  <c r="X522" i="4"/>
  <c r="X506" i="4"/>
  <c r="S529" i="4"/>
  <c r="S544" i="4"/>
  <c r="S554" i="4"/>
  <c r="S481" i="4"/>
  <c r="S501" i="4"/>
  <c r="S533" i="4"/>
  <c r="S545" i="4"/>
  <c r="S553" i="4"/>
  <c r="S461" i="4"/>
  <c r="S485" i="4"/>
  <c r="S505" i="4"/>
  <c r="S493" i="4"/>
  <c r="S509" i="4"/>
  <c r="S541" i="4"/>
  <c r="S549" i="4"/>
  <c r="S548" i="4"/>
  <c r="S506" i="4"/>
  <c r="S512" i="4"/>
  <c r="S524" i="4"/>
  <c r="S518" i="4"/>
  <c r="S463" i="4"/>
  <c r="S507" i="4"/>
  <c r="S543" i="4"/>
  <c r="S522" i="4"/>
  <c r="S448" i="4"/>
  <c r="S460" i="4"/>
  <c r="S511" i="4"/>
  <c r="S494" i="4"/>
  <c r="S550" i="4"/>
  <c r="S459" i="4"/>
  <c r="S531" i="4"/>
  <c r="S515" i="4"/>
  <c r="S510" i="4"/>
  <c r="S520" i="4"/>
  <c r="S500" i="4"/>
  <c r="S519" i="4"/>
  <c r="S523" i="4"/>
  <c r="S551" i="4"/>
  <c r="S530" i="4"/>
  <c r="S499" i="4"/>
  <c r="S516" i="4"/>
  <c r="S532" i="4"/>
  <c r="S480" i="4"/>
  <c r="S495" i="4"/>
  <c r="S547" i="4"/>
  <c r="S498" i="4"/>
  <c r="S482" i="4"/>
  <c r="S268" i="4"/>
  <c r="S274" i="4"/>
  <c r="S330" i="4"/>
  <c r="S267" i="4"/>
  <c r="S272" i="4"/>
  <c r="S279" i="4"/>
  <c r="S284" i="4"/>
  <c r="S292" i="4"/>
  <c r="S270" i="4"/>
  <c r="S282" i="4"/>
  <c r="S331" i="4"/>
  <c r="S352" i="4"/>
  <c r="S358" i="4"/>
  <c r="S371" i="4"/>
  <c r="S271" i="4"/>
  <c r="S283" i="4"/>
  <c r="S300" i="4"/>
  <c r="S326" i="4"/>
  <c r="S354" i="4"/>
  <c r="S372" i="4"/>
  <c r="S376" i="4"/>
  <c r="S395" i="4"/>
  <c r="S424" i="4"/>
  <c r="S430" i="4"/>
  <c r="S435" i="4"/>
  <c r="S440" i="4"/>
  <c r="S446" i="4"/>
  <c r="S355" i="4"/>
  <c r="S373" i="4"/>
  <c r="S394" i="4"/>
  <c r="S407" i="4"/>
  <c r="S415" i="4"/>
  <c r="S428" i="4"/>
  <c r="S436" i="4"/>
  <c r="S443" i="4"/>
  <c r="S278" i="4"/>
  <c r="S327" i="4"/>
  <c r="S351" i="4"/>
  <c r="S374" i="4"/>
  <c r="S418" i="4"/>
  <c r="S442" i="4"/>
  <c r="S290" i="4"/>
  <c r="S328" i="4"/>
  <c r="S356" i="4"/>
  <c r="S375" i="4"/>
  <c r="S408" i="4"/>
  <c r="S426" i="4"/>
  <c r="S434" i="4"/>
  <c r="S444" i="4"/>
  <c r="S266" i="4"/>
  <c r="S350" i="4"/>
  <c r="S370" i="4"/>
  <c r="S414" i="4"/>
  <c r="S431" i="4"/>
  <c r="S439" i="4"/>
  <c r="S291" i="4"/>
  <c r="S377" i="4"/>
  <c r="S427" i="4"/>
  <c r="S438" i="4"/>
  <c r="S447" i="4"/>
  <c r="S441" i="4"/>
  <c r="S425" i="4"/>
  <c r="S281" i="4"/>
  <c r="S437" i="4"/>
  <c r="S357" i="4"/>
  <c r="S293" i="4"/>
  <c r="S433" i="4"/>
  <c r="S417" i="4"/>
  <c r="S353" i="4"/>
  <c r="S273" i="4"/>
  <c r="S445" i="4"/>
  <c r="S429" i="4"/>
  <c r="S329" i="4"/>
  <c r="S285" i="4"/>
  <c r="S269" i="4"/>
  <c r="S11" i="4"/>
  <c r="S15" i="4"/>
  <c r="S95" i="4"/>
  <c r="S47" i="4"/>
  <c r="S187" i="4"/>
  <c r="S51" i="4"/>
  <c r="S199" i="4"/>
  <c r="S79" i="4"/>
  <c r="S73" i="4"/>
  <c r="S16" i="4"/>
  <c r="S216" i="4"/>
  <c r="S203" i="4"/>
  <c r="S43" i="4"/>
  <c r="S207" i="4"/>
  <c r="S13" i="4"/>
  <c r="S265" i="4"/>
  <c r="S153" i="4"/>
  <c r="S109" i="4"/>
  <c r="S81" i="4"/>
  <c r="S48" i="4"/>
  <c r="S239" i="4"/>
  <c r="S96" i="4"/>
  <c r="S227" i="4"/>
  <c r="S214" i="4"/>
  <c r="S240" i="4"/>
  <c r="S215" i="4"/>
  <c r="S3" i="4"/>
  <c r="S93" i="4"/>
  <c r="S101" i="4"/>
  <c r="S241" i="4"/>
  <c r="S156" i="4"/>
  <c r="S212" i="4"/>
  <c r="S56" i="4"/>
  <c r="S83" i="4"/>
  <c r="S260" i="4"/>
  <c r="S228" i="4"/>
  <c r="S264" i="4"/>
  <c r="S211" i="4"/>
  <c r="S7" i="4"/>
  <c r="S103" i="4"/>
  <c r="S155" i="4"/>
  <c r="S185" i="4"/>
  <c r="S49" i="4"/>
  <c r="S141" i="4"/>
  <c r="S217" i="4"/>
  <c r="S89" i="4"/>
  <c r="S108" i="4"/>
  <c r="S140" i="4"/>
  <c r="S209" i="4"/>
  <c r="S154" i="4"/>
  <c r="S53" i="4"/>
  <c r="S208" i="4"/>
  <c r="S88" i="4"/>
  <c r="S76" i="4"/>
  <c r="S12" i="4"/>
  <c r="S263" i="4"/>
  <c r="S247" i="4"/>
  <c r="S23" i="4"/>
  <c r="S55" i="4"/>
  <c r="S213" i="4"/>
  <c r="S97" i="4"/>
  <c r="S45" i="4"/>
  <c r="S21" i="4"/>
  <c r="S225" i="4"/>
  <c r="S77" i="4"/>
  <c r="S80" i="4"/>
  <c r="S100" i="4"/>
  <c r="S262" i="4"/>
  <c r="S226" i="4"/>
  <c r="S98" i="4"/>
  <c r="S74" i="4"/>
  <c r="S246" i="4"/>
  <c r="S44" i="4"/>
  <c r="S202" i="4"/>
  <c r="S82" i="4"/>
  <c r="S50" i="4"/>
  <c r="S42" i="4"/>
  <c r="S218" i="4"/>
  <c r="S210" i="4"/>
  <c r="S94" i="4"/>
  <c r="S78" i="4"/>
  <c r="S6" i="4"/>
  <c r="S188" i="4"/>
  <c r="S238" i="4"/>
  <c r="S186" i="4"/>
  <c r="S22" i="4"/>
  <c r="S14" i="4"/>
  <c r="S198" i="4"/>
  <c r="S102" i="4"/>
  <c r="S54" i="4"/>
  <c r="S46" i="4"/>
  <c r="M308" i="4"/>
  <c r="N308" i="4" s="1"/>
  <c r="M324" i="4"/>
  <c r="N324" i="4" s="1"/>
  <c r="M383" i="4"/>
  <c r="N383" i="4" s="1"/>
  <c r="M390" i="4"/>
  <c r="N390" i="4" s="1"/>
  <c r="M310" i="4"/>
  <c r="N310" i="4" s="1"/>
  <c r="M336" i="4"/>
  <c r="M386" i="4"/>
  <c r="N386" i="4" s="1"/>
  <c r="M391" i="4"/>
  <c r="N391" i="4" s="1"/>
  <c r="M287" i="4"/>
  <c r="N287" i="4" s="1"/>
  <c r="M318" i="4"/>
  <c r="N318" i="4" s="1"/>
  <c r="M348" i="4"/>
  <c r="N348" i="4" s="1"/>
  <c r="M387" i="4"/>
  <c r="N387" i="4" s="1"/>
  <c r="M288" i="4"/>
  <c r="N288" i="4" s="1"/>
  <c r="M319" i="4"/>
  <c r="N319" i="4" s="1"/>
  <c r="M364" i="4"/>
  <c r="N364" i="4" s="1"/>
  <c r="M388" i="4"/>
  <c r="N388" i="4" s="1"/>
  <c r="V267" i="4"/>
  <c r="V272" i="4"/>
  <c r="V279" i="4"/>
  <c r="V284" i="4"/>
  <c r="V291" i="4"/>
  <c r="V300" i="4"/>
  <c r="V308" i="4"/>
  <c r="V318" i="4"/>
  <c r="V326" i="4"/>
  <c r="V331" i="4"/>
  <c r="V342" i="4"/>
  <c r="V350" i="4"/>
  <c r="V355" i="4"/>
  <c r="V362" i="4"/>
  <c r="V372" i="4"/>
  <c r="V378" i="4"/>
  <c r="V388" i="4"/>
  <c r="V395" i="4"/>
  <c r="V404" i="4"/>
  <c r="V411" i="4"/>
  <c r="V418" i="4"/>
  <c r="V428" i="4"/>
  <c r="V434" i="4"/>
  <c r="V439" i="4"/>
  <c r="V444" i="4"/>
  <c r="V271" i="4"/>
  <c r="V280" i="4"/>
  <c r="V288" i="4"/>
  <c r="V299" i="4"/>
  <c r="V309" i="4"/>
  <c r="V323" i="4"/>
  <c r="V330" i="4"/>
  <c r="V344" i="4"/>
  <c r="V352" i="4"/>
  <c r="V360" i="4"/>
  <c r="V374" i="4"/>
  <c r="V386" i="4"/>
  <c r="V394" i="4"/>
  <c r="V407" i="4"/>
  <c r="V414" i="4"/>
  <c r="V427" i="4"/>
  <c r="V435" i="4"/>
  <c r="V442" i="4"/>
  <c r="V270" i="4"/>
  <c r="V282" i="4"/>
  <c r="V292" i="4"/>
  <c r="V307" i="4"/>
  <c r="V324" i="4"/>
  <c r="V336" i="4"/>
  <c r="V351" i="4"/>
  <c r="V364" i="4"/>
  <c r="V376" i="4"/>
  <c r="V391" i="4"/>
  <c r="V408" i="4"/>
  <c r="V424" i="4"/>
  <c r="V432" i="4"/>
  <c r="V443" i="4"/>
  <c r="V274" i="4"/>
  <c r="V283" i="4"/>
  <c r="V294" i="4"/>
  <c r="V310" i="4"/>
  <c r="V327" i="4"/>
  <c r="V340" i="4"/>
  <c r="V354" i="4"/>
  <c r="V370" i="4"/>
  <c r="V383" i="4"/>
  <c r="V398" i="4"/>
  <c r="V410" i="4"/>
  <c r="V426" i="4"/>
  <c r="V436" i="4"/>
  <c r="V446" i="4"/>
  <c r="V268" i="4"/>
  <c r="V278" i="4"/>
  <c r="V290" i="4"/>
  <c r="V306" i="4"/>
  <c r="V319" i="4"/>
  <c r="V332" i="4"/>
  <c r="V348" i="4"/>
  <c r="V358" i="4"/>
  <c r="V375" i="4"/>
  <c r="V390" i="4"/>
  <c r="V403" i="4"/>
  <c r="V415" i="4"/>
  <c r="V431" i="4"/>
  <c r="V440" i="4"/>
  <c r="V266" i="4"/>
  <c r="V275" i="4"/>
  <c r="V287" i="4"/>
  <c r="V302" i="4"/>
  <c r="V315" i="4"/>
  <c r="V328" i="4"/>
  <c r="V346" i="4"/>
  <c r="V356" i="4"/>
  <c r="V371" i="4"/>
  <c r="V387" i="4"/>
  <c r="V400" i="4"/>
  <c r="V412" i="4"/>
  <c r="V430" i="4"/>
  <c r="V438" i="4"/>
  <c r="V447" i="4"/>
  <c r="V409" i="4"/>
  <c r="V381" i="4"/>
  <c r="V369" i="4"/>
  <c r="V445" i="4"/>
  <c r="V429" i="4"/>
  <c r="V337" i="4"/>
  <c r="V333" i="4"/>
  <c r="V289" i="4"/>
  <c r="V361" i="4"/>
  <c r="V417" i="4"/>
  <c r="V281" i="4"/>
  <c r="V441" i="4"/>
  <c r="V425" i="4"/>
  <c r="V285" i="4"/>
  <c r="V321" i="4"/>
  <c r="V357" i="4"/>
  <c r="V329" i="4"/>
  <c r="V273" i="4"/>
  <c r="M389" i="4"/>
  <c r="N389" i="4" s="1"/>
  <c r="M337" i="4"/>
  <c r="N337" i="4" s="1"/>
  <c r="M289" i="4"/>
  <c r="N289" i="4" s="1"/>
  <c r="V389" i="4"/>
  <c r="V437" i="4"/>
  <c r="V385" i="4"/>
  <c r="V353" i="4"/>
  <c r="V301" i="4"/>
  <c r="V269" i="4"/>
  <c r="V413" i="4"/>
  <c r="M385" i="4"/>
  <c r="N385" i="4" s="1"/>
  <c r="M349" i="4"/>
  <c r="N349" i="4" s="1"/>
  <c r="V377" i="4"/>
  <c r="V433" i="4"/>
  <c r="V373" i="4"/>
  <c r="V349" i="4"/>
  <c r="V293" i="4"/>
  <c r="V405" i="4"/>
  <c r="V47" i="4"/>
  <c r="V127" i="4"/>
  <c r="V175" i="4"/>
  <c r="M127" i="4"/>
  <c r="N127" i="4" s="1"/>
  <c r="V7" i="4"/>
  <c r="V49" i="4"/>
  <c r="V83" i="4"/>
  <c r="V143" i="4"/>
  <c r="V207" i="4"/>
  <c r="V251" i="4"/>
  <c r="V16" i="4"/>
  <c r="V55" i="4"/>
  <c r="V103" i="4"/>
  <c r="V159" i="4"/>
  <c r="V219" i="4"/>
  <c r="V263" i="4"/>
  <c r="V19" i="4"/>
  <c r="V59" i="4"/>
  <c r="V115" i="4"/>
  <c r="V172" i="4"/>
  <c r="V226" i="4"/>
  <c r="V79" i="4"/>
  <c r="V247" i="4"/>
  <c r="V199" i="4"/>
  <c r="V123" i="4"/>
  <c r="V154" i="4"/>
  <c r="V62" i="4"/>
  <c r="V253" i="4"/>
  <c r="V229" i="4"/>
  <c r="V205" i="4"/>
  <c r="V13" i="4"/>
  <c r="V260" i="4"/>
  <c r="V208" i="4"/>
  <c r="M128" i="4"/>
  <c r="N128" i="4" s="1"/>
  <c r="V116" i="4"/>
  <c r="V108" i="4"/>
  <c r="V48" i="4"/>
  <c r="V12" i="4"/>
  <c r="V236" i="4"/>
  <c r="V124" i="4"/>
  <c r="V167" i="4"/>
  <c r="V131" i="4"/>
  <c r="V119" i="4"/>
  <c r="V111" i="4"/>
  <c r="V99" i="4"/>
  <c r="V215" i="4"/>
  <c r="V95" i="4"/>
  <c r="M27" i="4"/>
  <c r="N27" i="4" s="1"/>
  <c r="V91" i="4"/>
  <c r="V173" i="4"/>
  <c r="V41" i="4"/>
  <c r="V45" i="4"/>
  <c r="V29" i="4"/>
  <c r="V21" i="4"/>
  <c r="V125" i="4"/>
  <c r="V53" i="4"/>
  <c r="V237" i="4"/>
  <c r="V160" i="4"/>
  <c r="V149" i="4"/>
  <c r="M255" i="4"/>
  <c r="N255" i="4" s="1"/>
  <c r="M236" i="4"/>
  <c r="N236" i="4" s="1"/>
  <c r="M196" i="4"/>
  <c r="N196" i="4" s="1"/>
  <c r="V32" i="4"/>
  <c r="V4" i="4"/>
  <c r="V87" i="4"/>
  <c r="V150" i="4"/>
  <c r="V26" i="4"/>
  <c r="V121" i="4"/>
  <c r="V105" i="4"/>
  <c r="V204" i="4"/>
  <c r="V180" i="4"/>
  <c r="V164" i="4"/>
  <c r="V140" i="4"/>
  <c r="V76" i="4"/>
  <c r="V64" i="4"/>
  <c r="V243" i="4"/>
  <c r="V239" i="4"/>
  <c r="V216" i="4"/>
  <c r="V96" i="4"/>
  <c r="V203" i="4"/>
  <c r="V43" i="4"/>
  <c r="M223" i="4"/>
  <c r="N223" i="4" s="1"/>
  <c r="M179" i="4"/>
  <c r="N179" i="4" s="1"/>
  <c r="V75" i="4"/>
  <c r="V187" i="4"/>
  <c r="V51" i="4"/>
  <c r="V23" i="4"/>
  <c r="V165" i="4"/>
  <c r="V33" i="4"/>
  <c r="V265" i="4"/>
  <c r="V141" i="4"/>
  <c r="V213" i="4"/>
  <c r="V117" i="4"/>
  <c r="V201" i="4"/>
  <c r="V81" i="4"/>
  <c r="V217" i="4"/>
  <c r="V120" i="4"/>
  <c r="V89" i="4"/>
  <c r="V148" i="4"/>
  <c r="V28" i="4"/>
  <c r="V246" i="4"/>
  <c r="V178" i="4"/>
  <c r="V5" i="4"/>
  <c r="V113" i="4"/>
  <c r="V136" i="4"/>
  <c r="V252" i="4"/>
  <c r="V244" i="4"/>
  <c r="V152" i="4"/>
  <c r="V144" i="4"/>
  <c r="V132" i="4"/>
  <c r="V104" i="4"/>
  <c r="V52" i="4"/>
  <c r="V196" i="4"/>
  <c r="V188" i="4"/>
  <c r="M195" i="4"/>
  <c r="N195" i="4" s="1"/>
  <c r="V223" i="4"/>
  <c r="V179" i="4"/>
  <c r="V155" i="4"/>
  <c r="V171" i="4"/>
  <c r="V27" i="4"/>
  <c r="V11" i="4"/>
  <c r="V181" i="4"/>
  <c r="V93" i="4"/>
  <c r="V129" i="4"/>
  <c r="V9" i="4"/>
  <c r="V257" i="4"/>
  <c r="V225" i="4"/>
  <c r="V153" i="4"/>
  <c r="V177" i="4"/>
  <c r="V101" i="4"/>
  <c r="V137" i="4"/>
  <c r="V56" i="4"/>
  <c r="V73" i="4"/>
  <c r="V228" i="4"/>
  <c r="V24" i="4"/>
  <c r="V166" i="4"/>
  <c r="V86" i="4"/>
  <c r="V241" i="4"/>
  <c r="V185" i="4"/>
  <c r="V145" i="4"/>
  <c r="V37" i="4"/>
  <c r="V200" i="4"/>
  <c r="V168" i="4"/>
  <c r="V100" i="4"/>
  <c r="V20" i="4"/>
  <c r="V255" i="4"/>
  <c r="V231" i="4"/>
  <c r="V264" i="4"/>
  <c r="V156" i="4"/>
  <c r="V211" i="4"/>
  <c r="V195" i="4"/>
  <c r="V3" i="4"/>
  <c r="V227" i="4"/>
  <c r="V135" i="4"/>
  <c r="V15" i="4"/>
  <c r="V97" i="4"/>
  <c r="V109" i="4"/>
  <c r="V161" i="4"/>
  <c r="V69" i="4"/>
  <c r="V77" i="4"/>
  <c r="V248" i="4"/>
  <c r="V44" i="4"/>
  <c r="V209" i="4"/>
  <c r="V17" i="4"/>
  <c r="V240" i="4"/>
  <c r="V128" i="4"/>
  <c r="V60" i="4"/>
  <c r="V234" i="4"/>
  <c r="V186" i="4"/>
  <c r="V82" i="4"/>
  <c r="V74" i="4"/>
  <c r="V22" i="4"/>
  <c r="V14" i="4"/>
  <c r="V262" i="4"/>
  <c r="V90" i="4"/>
  <c r="V214" i="4"/>
  <c r="M166" i="4"/>
  <c r="N166" i="4" s="1"/>
  <c r="V126" i="4"/>
  <c r="V78" i="4"/>
  <c r="V54" i="4"/>
  <c r="V46" i="4"/>
  <c r="V18" i="4"/>
  <c r="V106" i="4"/>
  <c r="V70" i="4"/>
  <c r="V232" i="4"/>
  <c r="V112" i="4"/>
  <c r="V8" i="4"/>
  <c r="V238" i="4"/>
  <c r="V254" i="4"/>
  <c r="V206" i="4"/>
  <c r="M178" i="4"/>
  <c r="N178" i="4" s="1"/>
  <c r="V102" i="4"/>
  <c r="M177" i="4"/>
  <c r="N177" i="4" s="1"/>
  <c r="V220" i="4"/>
  <c r="V88" i="4"/>
  <c r="V218" i="4"/>
  <c r="V210" i="4"/>
  <c r="V122" i="4"/>
  <c r="V114" i="4"/>
  <c r="V66" i="4"/>
  <c r="V50" i="4"/>
  <c r="V42" i="4"/>
  <c r="V58" i="4"/>
  <c r="V250" i="4"/>
  <c r="V118" i="4"/>
  <c r="V110" i="4"/>
  <c r="V98" i="4"/>
  <c r="V212" i="4"/>
  <c r="V80" i="4"/>
  <c r="V202" i="4"/>
  <c r="V198" i="4"/>
  <c r="V146" i="4"/>
  <c r="V142" i="4"/>
  <c r="V10" i="4"/>
  <c r="V182" i="4"/>
  <c r="M206" i="4"/>
  <c r="N206" i="4" s="1"/>
  <c r="V38" i="4"/>
  <c r="V6" i="4"/>
  <c r="V222" i="4"/>
  <c r="V94" i="4"/>
  <c r="P267" i="4"/>
  <c r="P272" i="4"/>
  <c r="P278" i="4"/>
  <c r="P283" i="4"/>
  <c r="P288" i="4"/>
  <c r="P294" i="4"/>
  <c r="S294" i="4" s="1"/>
  <c r="P299" i="4"/>
  <c r="P304" i="4"/>
  <c r="P310" i="4"/>
  <c r="P315" i="4"/>
  <c r="S315" i="4" s="1"/>
  <c r="P320" i="4"/>
  <c r="P326" i="4"/>
  <c r="P331" i="4"/>
  <c r="P336" i="4"/>
  <c r="P342" i="4"/>
  <c r="S342" i="4" s="1"/>
  <c r="P347" i="4"/>
  <c r="P352" i="4"/>
  <c r="P358" i="4"/>
  <c r="P363" i="4"/>
  <c r="P368" i="4"/>
  <c r="P374" i="4"/>
  <c r="P379" i="4"/>
  <c r="P384" i="4"/>
  <c r="P390" i="4"/>
  <c r="S390" i="4" s="1"/>
  <c r="P395" i="4"/>
  <c r="P400" i="4"/>
  <c r="S400" i="4" s="1"/>
  <c r="P406" i="4"/>
  <c r="P411" i="4"/>
  <c r="S411" i="4" s="1"/>
  <c r="P416" i="4"/>
  <c r="P422" i="4"/>
  <c r="P427" i="4"/>
  <c r="P432" i="4"/>
  <c r="S432" i="4" s="1"/>
  <c r="P438" i="4"/>
  <c r="P443" i="4"/>
  <c r="P268" i="4"/>
  <c r="P274" i="4"/>
  <c r="P279" i="4"/>
  <c r="P284" i="4"/>
  <c r="P290" i="4"/>
  <c r="P295" i="4"/>
  <c r="P300" i="4"/>
  <c r="P306" i="4"/>
  <c r="S306" i="4" s="1"/>
  <c r="P311" i="4"/>
  <c r="P316" i="4"/>
  <c r="P322" i="4"/>
  <c r="P327" i="4"/>
  <c r="P332" i="4"/>
  <c r="S332" i="4" s="1"/>
  <c r="P338" i="4"/>
  <c r="P343" i="4"/>
  <c r="P348" i="4"/>
  <c r="S348" i="4" s="1"/>
  <c r="P354" i="4"/>
  <c r="P359" i="4"/>
  <c r="P364" i="4"/>
  <c r="S364" i="4" s="1"/>
  <c r="P370" i="4"/>
  <c r="P375" i="4"/>
  <c r="P380" i="4"/>
  <c r="P386" i="4"/>
  <c r="S386" i="4" s="1"/>
  <c r="P391" i="4"/>
  <c r="S391" i="4" s="1"/>
  <c r="P396" i="4"/>
  <c r="P402" i="4"/>
  <c r="P407" i="4"/>
  <c r="P412" i="4"/>
  <c r="S412" i="4" s="1"/>
  <c r="P418" i="4"/>
  <c r="P423" i="4"/>
  <c r="P428" i="4"/>
  <c r="P434" i="4"/>
  <c r="P439" i="4"/>
  <c r="P444" i="4"/>
  <c r="P270" i="4"/>
  <c r="P275" i="4"/>
  <c r="S275" i="4" s="1"/>
  <c r="P280" i="4"/>
  <c r="S280" i="4" s="1"/>
  <c r="P286" i="4"/>
  <c r="P291" i="4"/>
  <c r="P296" i="4"/>
  <c r="P302" i="4"/>
  <c r="S302" i="4" s="1"/>
  <c r="P307" i="4"/>
  <c r="P312" i="4"/>
  <c r="P318" i="4"/>
  <c r="S318" i="4" s="1"/>
  <c r="P323" i="4"/>
  <c r="S323" i="4" s="1"/>
  <c r="P328" i="4"/>
  <c r="P334" i="4"/>
  <c r="P339" i="4"/>
  <c r="P344" i="4"/>
  <c r="P350" i="4"/>
  <c r="P355" i="4"/>
  <c r="P360" i="4"/>
  <c r="S360" i="4" s="1"/>
  <c r="P366" i="4"/>
  <c r="P371" i="4"/>
  <c r="P376" i="4"/>
  <c r="P382" i="4"/>
  <c r="P387" i="4"/>
  <c r="S387" i="4" s="1"/>
  <c r="P392" i="4"/>
  <c r="P398" i="4"/>
  <c r="S398" i="4" s="1"/>
  <c r="P403" i="4"/>
  <c r="S403" i="4" s="1"/>
  <c r="P408" i="4"/>
  <c r="P414" i="4"/>
  <c r="P419" i="4"/>
  <c r="P424" i="4"/>
  <c r="P430" i="4"/>
  <c r="P435" i="4"/>
  <c r="P440" i="4"/>
  <c r="P446" i="4"/>
  <c r="P266" i="4"/>
  <c r="P271" i="4"/>
  <c r="P276" i="4"/>
  <c r="P282" i="4"/>
  <c r="P287" i="4"/>
  <c r="P292" i="4"/>
  <c r="P298" i="4"/>
  <c r="P303" i="4"/>
  <c r="P308" i="4"/>
  <c r="P314" i="4"/>
  <c r="P319" i="4"/>
  <c r="S319" i="4" s="1"/>
  <c r="P324" i="4"/>
  <c r="P330" i="4"/>
  <c r="P335" i="4"/>
  <c r="P340" i="4"/>
  <c r="P346" i="4"/>
  <c r="P351" i="4"/>
  <c r="P356" i="4"/>
  <c r="P362" i="4"/>
  <c r="S362" i="4" s="1"/>
  <c r="P367" i="4"/>
  <c r="P372" i="4"/>
  <c r="P378" i="4"/>
  <c r="S378" i="4" s="1"/>
  <c r="P383" i="4"/>
  <c r="P388" i="4"/>
  <c r="S388" i="4" s="1"/>
  <c r="P394" i="4"/>
  <c r="P399" i="4"/>
  <c r="P404" i="4"/>
  <c r="S404" i="4" s="1"/>
  <c r="P410" i="4"/>
  <c r="S410" i="4" s="1"/>
  <c r="P415" i="4"/>
  <c r="P420" i="4"/>
  <c r="P426" i="4"/>
  <c r="P431" i="4"/>
  <c r="P436" i="4"/>
  <c r="P442" i="4"/>
  <c r="P447" i="4"/>
  <c r="P437" i="4"/>
  <c r="P421" i="4"/>
  <c r="P405" i="4"/>
  <c r="S405" i="4" s="1"/>
  <c r="P389" i="4"/>
  <c r="S389" i="4" s="1"/>
  <c r="P373" i="4"/>
  <c r="P357" i="4"/>
  <c r="P341" i="4"/>
  <c r="P325" i="4"/>
  <c r="P309" i="4"/>
  <c r="S309" i="4" s="1"/>
  <c r="P293" i="4"/>
  <c r="P277" i="4"/>
  <c r="P433" i="4"/>
  <c r="P417" i="4"/>
  <c r="P401" i="4"/>
  <c r="P385" i="4"/>
  <c r="S385" i="4" s="1"/>
  <c r="P369" i="4"/>
  <c r="S369" i="4" s="1"/>
  <c r="P353" i="4"/>
  <c r="P337" i="4"/>
  <c r="S337" i="4" s="1"/>
  <c r="P321" i="4"/>
  <c r="S321" i="4" s="1"/>
  <c r="P305" i="4"/>
  <c r="P289" i="4"/>
  <c r="P273" i="4"/>
  <c r="P445" i="4"/>
  <c r="P429" i="4"/>
  <c r="P413" i="4"/>
  <c r="S413" i="4" s="1"/>
  <c r="P397" i="4"/>
  <c r="P381" i="4"/>
  <c r="S381" i="4" s="1"/>
  <c r="P365" i="4"/>
  <c r="P349" i="4"/>
  <c r="S349" i="4" s="1"/>
  <c r="P333" i="4"/>
  <c r="S333" i="4" s="1"/>
  <c r="P317" i="4"/>
  <c r="P301" i="4"/>
  <c r="S301" i="4" s="1"/>
  <c r="P285" i="4"/>
  <c r="P269" i="4"/>
  <c r="P441" i="4"/>
  <c r="P425" i="4"/>
  <c r="P409" i="4"/>
  <c r="S409" i="4" s="1"/>
  <c r="P393" i="4"/>
  <c r="P377" i="4"/>
  <c r="P361" i="4"/>
  <c r="P345" i="4"/>
  <c r="P329" i="4"/>
  <c r="P313" i="4"/>
  <c r="P297" i="4"/>
  <c r="P281" i="4"/>
  <c r="P27" i="4"/>
  <c r="P87" i="4"/>
  <c r="P167" i="4"/>
  <c r="S167" i="4" s="1"/>
  <c r="P251" i="4"/>
  <c r="S251" i="4" s="1"/>
  <c r="P47" i="4"/>
  <c r="P91" i="4"/>
  <c r="S91" i="4" s="1"/>
  <c r="P171" i="4"/>
  <c r="P3" i="4"/>
  <c r="P59" i="4"/>
  <c r="P123" i="4"/>
  <c r="S123" i="4" s="1"/>
  <c r="P199" i="4"/>
  <c r="P16" i="4"/>
  <c r="P67" i="4"/>
  <c r="P135" i="4"/>
  <c r="S135" i="4" s="1"/>
  <c r="P211" i="4"/>
  <c r="P256" i="4"/>
  <c r="P220" i="4"/>
  <c r="S220" i="4" s="1"/>
  <c r="P40" i="4"/>
  <c r="P147" i="4"/>
  <c r="P258" i="4"/>
  <c r="P125" i="4"/>
  <c r="S125" i="4" s="1"/>
  <c r="P248" i="4"/>
  <c r="S248" i="4" s="1"/>
  <c r="P240" i="4"/>
  <c r="P224" i="4"/>
  <c r="P192" i="4"/>
  <c r="P144" i="4"/>
  <c r="S144" i="4" s="1"/>
  <c r="P28" i="4"/>
  <c r="P243" i="4"/>
  <c r="P239" i="4"/>
  <c r="P231" i="4"/>
  <c r="S231" i="4" s="1"/>
  <c r="P215" i="4"/>
  <c r="P43" i="4"/>
  <c r="P19" i="4"/>
  <c r="P75" i="4"/>
  <c r="S75" i="4" s="1"/>
  <c r="P83" i="4"/>
  <c r="P35" i="4"/>
  <c r="P189" i="4"/>
  <c r="P93" i="4"/>
  <c r="P49" i="4"/>
  <c r="P177" i="4"/>
  <c r="S177" i="4" s="1"/>
  <c r="P156" i="4"/>
  <c r="P124" i="4"/>
  <c r="S124" i="4" s="1"/>
  <c r="P60" i="4"/>
  <c r="P187" i="4"/>
  <c r="P163" i="4"/>
  <c r="P143" i="4"/>
  <c r="S143" i="4" s="1"/>
  <c r="P115" i="4"/>
  <c r="P45" i="4"/>
  <c r="P55" i="4"/>
  <c r="P252" i="4"/>
  <c r="S252" i="4" s="1"/>
  <c r="P88" i="4"/>
  <c r="P80" i="4"/>
  <c r="P52" i="4"/>
  <c r="S52" i="4" s="1"/>
  <c r="P48" i="4"/>
  <c r="P8" i="4"/>
  <c r="P263" i="4"/>
  <c r="P247" i="4"/>
  <c r="P7" i="4"/>
  <c r="P155" i="4"/>
  <c r="P127" i="4"/>
  <c r="P103" i="4"/>
  <c r="P51" i="4"/>
  <c r="P11" i="4"/>
  <c r="P17" i="4"/>
  <c r="P232" i="4"/>
  <c r="P184" i="4"/>
  <c r="P112" i="4"/>
  <c r="P92" i="4"/>
  <c r="P259" i="4"/>
  <c r="P219" i="4"/>
  <c r="P183" i="4"/>
  <c r="P159" i="4"/>
  <c r="S159" i="4" s="1"/>
  <c r="P139" i="4"/>
  <c r="P94" i="4"/>
  <c r="P149" i="4"/>
  <c r="S149" i="4" s="1"/>
  <c r="P31" i="4"/>
  <c r="P208" i="4"/>
  <c r="P188" i="4"/>
  <c r="P120" i="4"/>
  <c r="S120" i="4" s="1"/>
  <c r="P20" i="4"/>
  <c r="P255" i="4"/>
  <c r="P23" i="4"/>
  <c r="P79" i="4"/>
  <c r="P63" i="4"/>
  <c r="P195" i="4"/>
  <c r="S195" i="4" s="1"/>
  <c r="P39" i="4"/>
  <c r="P179" i="4"/>
  <c r="S179" i="4" s="1"/>
  <c r="P33" i="4"/>
  <c r="P227" i="4"/>
  <c r="P176" i="4"/>
  <c r="P207" i="4"/>
  <c r="P175" i="4"/>
  <c r="S175" i="4" s="1"/>
  <c r="P95" i="4"/>
  <c r="P71" i="4"/>
  <c r="P61" i="4"/>
  <c r="P264" i="4"/>
  <c r="P160" i="4"/>
  <c r="S160" i="4" s="1"/>
  <c r="P56" i="4"/>
  <c r="P235" i="4"/>
  <c r="P191" i="4"/>
  <c r="P131" i="4"/>
  <c r="P119" i="4"/>
  <c r="P111" i="4"/>
  <c r="P99" i="4"/>
  <c r="S99" i="4" s="1"/>
  <c r="P151" i="4"/>
  <c r="P15" i="4"/>
  <c r="P107" i="4"/>
  <c r="P29" i="4"/>
  <c r="P13" i="4"/>
  <c r="P203" i="4"/>
  <c r="P236" i="4"/>
  <c r="P128" i="4"/>
  <c r="P64" i="4"/>
  <c r="P12" i="4"/>
  <c r="P238" i="4"/>
  <c r="P170" i="4"/>
  <c r="P90" i="4"/>
  <c r="P206" i="4"/>
  <c r="P178" i="4"/>
  <c r="S178" i="4" s="1"/>
  <c r="P138" i="4"/>
  <c r="P223" i="4"/>
  <c r="P204" i="4"/>
  <c r="S204" i="4" s="1"/>
  <c r="P108" i="4"/>
  <c r="P44" i="4"/>
  <c r="P4" i="4"/>
  <c r="P254" i="4"/>
  <c r="S254" i="4" s="1"/>
  <c r="P242" i="4"/>
  <c r="P226" i="4"/>
  <c r="P218" i="4"/>
  <c r="P210" i="4"/>
  <c r="P174" i="4"/>
  <c r="P158" i="4"/>
  <c r="P122" i="4"/>
  <c r="S122" i="4" s="1"/>
  <c r="P114" i="4"/>
  <c r="P106" i="4"/>
  <c r="S106" i="4" s="1"/>
  <c r="P98" i="4"/>
  <c r="P74" i="4"/>
  <c r="P66" i="4"/>
  <c r="P246" i="4"/>
  <c r="P150" i="4"/>
  <c r="S150" i="4" s="1"/>
  <c r="P86" i="4"/>
  <c r="P78" i="4"/>
  <c r="P70" i="4"/>
  <c r="S70" i="4" s="1"/>
  <c r="P261" i="4"/>
  <c r="Q261" i="4" s="1"/>
  <c r="P205" i="4"/>
  <c r="S205" i="4" s="1"/>
  <c r="P197" i="4"/>
  <c r="P181" i="4"/>
  <c r="S181" i="4" s="1"/>
  <c r="P133" i="4"/>
  <c r="P85" i="4"/>
  <c r="Q85" i="4" s="1"/>
  <c r="P77" i="4"/>
  <c r="P69" i="4"/>
  <c r="S69" i="4" s="1"/>
  <c r="P34" i="4"/>
  <c r="P18" i="4"/>
  <c r="S18" i="4" s="1"/>
  <c r="P228" i="4"/>
  <c r="P164" i="4"/>
  <c r="S164" i="4" s="1"/>
  <c r="P100" i="4"/>
  <c r="P37" i="4"/>
  <c r="P152" i="4"/>
  <c r="S152" i="4" s="1"/>
  <c r="P41" i="4"/>
  <c r="S41" i="4" s="1"/>
  <c r="P212" i="4"/>
  <c r="P84" i="4"/>
  <c r="P21" i="4"/>
  <c r="P136" i="4"/>
  <c r="S136" i="4" s="1"/>
  <c r="P25" i="4"/>
  <c r="Q25" i="4" s="1"/>
  <c r="P172" i="4"/>
  <c r="P96" i="4"/>
  <c r="P36" i="4"/>
  <c r="P230" i="4"/>
  <c r="P202" i="4"/>
  <c r="P198" i="4"/>
  <c r="P186" i="4"/>
  <c r="P182" i="4"/>
  <c r="S182" i="4" s="1"/>
  <c r="P146" i="4"/>
  <c r="S146" i="4" s="1"/>
  <c r="P142" i="4"/>
  <c r="S142" i="4" s="1"/>
  <c r="P134" i="4"/>
  <c r="P58" i="4"/>
  <c r="S58" i="4" s="1"/>
  <c r="P222" i="4"/>
  <c r="S222" i="4" s="1"/>
  <c r="P154" i="4"/>
  <c r="P126" i="4"/>
  <c r="S126" i="4" s="1"/>
  <c r="P102" i="4"/>
  <c r="P62" i="4"/>
  <c r="S62" i="4" s="1"/>
  <c r="P30" i="4"/>
  <c r="P253" i="4"/>
  <c r="S253" i="4" s="1"/>
  <c r="P245" i="4"/>
  <c r="P237" i="4"/>
  <c r="P229" i="4"/>
  <c r="S229" i="4" s="1"/>
  <c r="P221" i="4"/>
  <c r="P213" i="4"/>
  <c r="P193" i="4"/>
  <c r="P169" i="4"/>
  <c r="P161" i="4"/>
  <c r="S161" i="4" s="1"/>
  <c r="P153" i="4"/>
  <c r="P141" i="4"/>
  <c r="P121" i="4"/>
  <c r="S121" i="4" s="1"/>
  <c r="P113" i="4"/>
  <c r="P105" i="4"/>
  <c r="P97" i="4"/>
  <c r="P57" i="4"/>
  <c r="P50" i="4"/>
  <c r="P42" i="4"/>
  <c r="P26" i="4"/>
  <c r="P148" i="4"/>
  <c r="S148" i="4" s="1"/>
  <c r="P216" i="4"/>
  <c r="P32" i="4"/>
  <c r="P140" i="4"/>
  <c r="P76" i="4"/>
  <c r="P24" i="4"/>
  <c r="P262" i="4"/>
  <c r="P250" i="4"/>
  <c r="S250" i="4" s="1"/>
  <c r="P234" i="4"/>
  <c r="P162" i="4"/>
  <c r="P82" i="4"/>
  <c r="P214" i="4"/>
  <c r="P194" i="4"/>
  <c r="P190" i="4"/>
  <c r="P166" i="4"/>
  <c r="P130" i="4"/>
  <c r="P118" i="4"/>
  <c r="S118" i="4" s="1"/>
  <c r="P110" i="4"/>
  <c r="S110" i="4" s="1"/>
  <c r="P249" i="4"/>
  <c r="P241" i="4"/>
  <c r="P233" i="4"/>
  <c r="P225" i="4"/>
  <c r="P217" i="4"/>
  <c r="P209" i="4"/>
  <c r="P165" i="4"/>
  <c r="P117" i="4"/>
  <c r="S117" i="4" s="1"/>
  <c r="P109" i="4"/>
  <c r="P101" i="4"/>
  <c r="P54" i="4"/>
  <c r="P46" i="4"/>
  <c r="P38" i="4"/>
  <c r="P14" i="4"/>
  <c r="P6" i="4"/>
  <c r="P260" i="4"/>
  <c r="P196" i="4"/>
  <c r="S196" i="4" s="1"/>
  <c r="P132" i="4"/>
  <c r="P68" i="4"/>
  <c r="P5" i="4"/>
  <c r="P200" i="4"/>
  <c r="S200" i="4" s="1"/>
  <c r="P104" i="4"/>
  <c r="S104" i="4" s="1"/>
  <c r="P9" i="4"/>
  <c r="S9" i="4" s="1"/>
  <c r="P265" i="4"/>
  <c r="P257" i="4"/>
  <c r="S257" i="4" s="1"/>
  <c r="P201" i="4"/>
  <c r="S201" i="4" s="1"/>
  <c r="P185" i="4"/>
  <c r="P173" i="4"/>
  <c r="P157" i="4"/>
  <c r="P81" i="4"/>
  <c r="P145" i="4"/>
  <c r="S145" i="4" s="1"/>
  <c r="P73" i="4"/>
  <c r="P180" i="4"/>
  <c r="P168" i="4"/>
  <c r="S168" i="4" s="1"/>
  <c r="P116" i="4"/>
  <c r="S116" i="4" s="1"/>
  <c r="P72" i="4"/>
  <c r="P53" i="4"/>
  <c r="P244" i="4"/>
  <c r="S244" i="4" s="1"/>
  <c r="P137" i="4"/>
  <c r="S137" i="4" s="1"/>
  <c r="P65" i="4"/>
  <c r="P22" i="4"/>
  <c r="P129" i="4"/>
  <c r="S129" i="4" s="1"/>
  <c r="P89" i="4"/>
  <c r="P10" i="4"/>
  <c r="S10" i="4" s="1"/>
  <c r="X266" i="4"/>
  <c r="X271" i="4"/>
  <c r="X276" i="4"/>
  <c r="X282" i="4"/>
  <c r="X268" i="4"/>
  <c r="X275" i="4"/>
  <c r="X283" i="4"/>
  <c r="X291" i="4"/>
  <c r="X299" i="4"/>
  <c r="X304" i="4"/>
  <c r="X314" i="4"/>
  <c r="X322" i="4"/>
  <c r="X328" i="4"/>
  <c r="X334" i="4"/>
  <c r="X340" i="4"/>
  <c r="X346" i="4"/>
  <c r="X354" i="4"/>
  <c r="X359" i="4"/>
  <c r="X370" i="4"/>
  <c r="X375" i="4"/>
  <c r="X380" i="4"/>
  <c r="X394" i="4"/>
  <c r="X400" i="4"/>
  <c r="X406" i="4"/>
  <c r="X410" i="4"/>
  <c r="X414" i="4"/>
  <c r="X420" i="4"/>
  <c r="X426" i="4"/>
  <c r="X431" i="4"/>
  <c r="X436" i="4"/>
  <c r="X267" i="4"/>
  <c r="X278" i="4"/>
  <c r="X286" i="4"/>
  <c r="X298" i="4"/>
  <c r="X306" i="4"/>
  <c r="X316" i="4"/>
  <c r="X327" i="4"/>
  <c r="X335" i="4"/>
  <c r="X344" i="4"/>
  <c r="X352" i="4"/>
  <c r="X360" i="4"/>
  <c r="X372" i="4"/>
  <c r="X379" i="4"/>
  <c r="X395" i="4"/>
  <c r="X404" i="4"/>
  <c r="X409" i="4"/>
  <c r="X415" i="4"/>
  <c r="X423" i="4"/>
  <c r="X430" i="4"/>
  <c r="X438" i="4"/>
  <c r="X443" i="4"/>
  <c r="X270" i="4"/>
  <c r="X279" i="4"/>
  <c r="X290" i="4"/>
  <c r="X300" i="4"/>
  <c r="X307" i="4"/>
  <c r="X321" i="4"/>
  <c r="X330" i="4"/>
  <c r="X338" i="4"/>
  <c r="X345" i="4"/>
  <c r="X355" i="4"/>
  <c r="X362" i="4"/>
  <c r="X374" i="4"/>
  <c r="X382" i="4"/>
  <c r="X396" i="4"/>
  <c r="X405" i="4"/>
  <c r="X411" i="4"/>
  <c r="X418" i="4"/>
  <c r="X424" i="4"/>
  <c r="X432" i="4"/>
  <c r="X439" i="4"/>
  <c r="X444" i="4"/>
  <c r="X274" i="4"/>
  <c r="X284" i="4"/>
  <c r="X294" i="4"/>
  <c r="X303" i="4"/>
  <c r="X315" i="4"/>
  <c r="X326" i="4"/>
  <c r="X332" i="4"/>
  <c r="X342" i="4"/>
  <c r="X351" i="4"/>
  <c r="X358" i="4"/>
  <c r="X371" i="4"/>
  <c r="X378" i="4"/>
  <c r="X403" i="4"/>
  <c r="X408" i="4"/>
  <c r="X413" i="4"/>
  <c r="X422" i="4"/>
  <c r="X428" i="4"/>
  <c r="X435" i="4"/>
  <c r="X442" i="4"/>
  <c r="X447" i="4"/>
  <c r="X272" i="4"/>
  <c r="X280" i="4"/>
  <c r="X292" i="4"/>
  <c r="X302" i="4"/>
  <c r="X312" i="4"/>
  <c r="X323" i="4"/>
  <c r="X331" i="4"/>
  <c r="X339" i="4"/>
  <c r="X350" i="4"/>
  <c r="X356" i="4"/>
  <c r="X363" i="4"/>
  <c r="X376" i="4"/>
  <c r="X398" i="4"/>
  <c r="X407" i="4"/>
  <c r="X412" i="4"/>
  <c r="X419" i="4"/>
  <c r="X427" i="4"/>
  <c r="X434" i="4"/>
  <c r="X440" i="4"/>
  <c r="X446" i="4"/>
  <c r="X301" i="4"/>
  <c r="X417" i="4"/>
  <c r="X433" i="4"/>
  <c r="X437" i="4"/>
  <c r="X381" i="4"/>
  <c r="X285" i="4"/>
  <c r="X269" i="4"/>
  <c r="X353" i="4"/>
  <c r="X333" i="4"/>
  <c r="X397" i="4"/>
  <c r="X421" i="4"/>
  <c r="X425" i="4"/>
  <c r="X377" i="4"/>
  <c r="X281" i="4"/>
  <c r="X341" i="4"/>
  <c r="X329" i="4"/>
  <c r="X441" i="4"/>
  <c r="X317" i="4"/>
  <c r="X313" i="4"/>
  <c r="X373" i="4"/>
  <c r="X277" i="4"/>
  <c r="X361" i="4"/>
  <c r="X293" i="4"/>
  <c r="X309" i="4"/>
  <c r="X429" i="4"/>
  <c r="X445" i="4"/>
  <c r="X305" i="4"/>
  <c r="X369" i="4"/>
  <c r="X273" i="4"/>
  <c r="X357" i="4"/>
  <c r="X83" i="4"/>
  <c r="X254" i="4"/>
  <c r="X24" i="4"/>
  <c r="X59" i="4"/>
  <c r="X95" i="4"/>
  <c r="X139" i="4"/>
  <c r="X167" i="4"/>
  <c r="X191" i="4"/>
  <c r="X216" i="4"/>
  <c r="X240" i="4"/>
  <c r="X260" i="4"/>
  <c r="X44" i="4"/>
  <c r="X157" i="4"/>
  <c r="X239" i="4"/>
  <c r="X31" i="4"/>
  <c r="X67" i="4"/>
  <c r="X107" i="4"/>
  <c r="X147" i="4"/>
  <c r="X175" i="4"/>
  <c r="X205" i="4"/>
  <c r="X228" i="4"/>
  <c r="X241" i="4"/>
  <c r="X263" i="4"/>
  <c r="X3" i="4"/>
  <c r="X32" i="4"/>
  <c r="X75" i="4"/>
  <c r="X120" i="4"/>
  <c r="X155" i="4"/>
  <c r="X176" i="4"/>
  <c r="X234" i="4"/>
  <c r="X246" i="4"/>
  <c r="X183" i="4"/>
  <c r="X207" i="4"/>
  <c r="X23" i="4"/>
  <c r="X135" i="4"/>
  <c r="X215" i="4"/>
  <c r="X164" i="4"/>
  <c r="X136" i="4"/>
  <c r="X72" i="4"/>
  <c r="X235" i="4"/>
  <c r="X91" i="4"/>
  <c r="X226" i="4"/>
  <c r="X109" i="4"/>
  <c r="X33" i="4"/>
  <c r="X39" i="4"/>
  <c r="X53" i="4"/>
  <c r="X73" i="4"/>
  <c r="X264" i="4"/>
  <c r="X168" i="4"/>
  <c r="X100" i="4"/>
  <c r="X88" i="4"/>
  <c r="X76" i="4"/>
  <c r="X64" i="4"/>
  <c r="X56" i="4"/>
  <c r="X92" i="4"/>
  <c r="X11" i="4"/>
  <c r="X227" i="4"/>
  <c r="X163" i="4"/>
  <c r="X79" i="4"/>
  <c r="X159" i="4"/>
  <c r="X111" i="4"/>
  <c r="X7" i="4"/>
  <c r="X161" i="4"/>
  <c r="X229" i="4"/>
  <c r="X137" i="4"/>
  <c r="X41" i="4"/>
  <c r="X253" i="4"/>
  <c r="X141" i="4"/>
  <c r="X37" i="4"/>
  <c r="X125" i="4"/>
  <c r="X160" i="4"/>
  <c r="X60" i="4"/>
  <c r="X250" i="4"/>
  <c r="X249" i="4"/>
  <c r="X201" i="4"/>
  <c r="X169" i="4"/>
  <c r="X9" i="4"/>
  <c r="X35" i="4"/>
  <c r="X185" i="4"/>
  <c r="X81" i="4"/>
  <c r="X45" i="4"/>
  <c r="X248" i="4"/>
  <c r="X208" i="4"/>
  <c r="X28" i="4"/>
  <c r="X251" i="4"/>
  <c r="X52" i="4"/>
  <c r="X211" i="4"/>
  <c r="X123" i="4"/>
  <c r="X71" i="4"/>
  <c r="X219" i="4"/>
  <c r="X151" i="4"/>
  <c r="X99" i="4"/>
  <c r="X189" i="4"/>
  <c r="X145" i="4"/>
  <c r="X221" i="4"/>
  <c r="X117" i="4"/>
  <c r="X13" i="4"/>
  <c r="X49" i="4"/>
  <c r="X29" i="4"/>
  <c r="X237" i="4"/>
  <c r="X245" i="4"/>
  <c r="X93" i="4"/>
  <c r="X105" i="4"/>
  <c r="X148" i="4"/>
  <c r="X165" i="4"/>
  <c r="X133" i="4"/>
  <c r="X149" i="4"/>
  <c r="X25" i="4"/>
  <c r="X200" i="4"/>
  <c r="X180" i="4"/>
  <c r="X36" i="4"/>
  <c r="X16" i="4"/>
  <c r="X8" i="4"/>
  <c r="X247" i="4"/>
  <c r="X244" i="4"/>
  <c r="X231" i="4"/>
  <c r="X12" i="4"/>
  <c r="X19" i="4"/>
  <c r="X119" i="4"/>
  <c r="X203" i="4"/>
  <c r="X115" i="4"/>
  <c r="X51" i="4"/>
  <c r="X199" i="4"/>
  <c r="X143" i="4"/>
  <c r="X87" i="4"/>
  <c r="X69" i="4"/>
  <c r="X213" i="4"/>
  <c r="X97" i="4"/>
  <c r="X17" i="4"/>
  <c r="X101" i="4"/>
  <c r="X233" i="4"/>
  <c r="X65" i="4"/>
  <c r="X265" i="4"/>
  <c r="X85" i="4"/>
  <c r="X256" i="4"/>
  <c r="X124" i="4"/>
  <c r="X104" i="4"/>
  <c r="X238" i="4"/>
  <c r="X257" i="4"/>
  <c r="X113" i="4"/>
  <c r="X77" i="4"/>
  <c r="X21" i="4"/>
  <c r="X47" i="4"/>
  <c r="X15" i="4"/>
  <c r="X129" i="4"/>
  <c r="X121" i="4"/>
  <c r="X5" i="4"/>
  <c r="X252" i="4"/>
  <c r="X188" i="4"/>
  <c r="X152" i="4"/>
  <c r="X144" i="4"/>
  <c r="X132" i="4"/>
  <c r="X108" i="4"/>
  <c r="X68" i="4"/>
  <c r="X4" i="4"/>
  <c r="X243" i="4"/>
  <c r="X116" i="4"/>
  <c r="X63" i="4"/>
  <c r="X171" i="4"/>
  <c r="X103" i="4"/>
  <c r="X43" i="4"/>
  <c r="X187" i="4"/>
  <c r="X131" i="4"/>
  <c r="X55" i="4"/>
  <c r="X181" i="4"/>
  <c r="X173" i="4"/>
  <c r="X61" i="4"/>
  <c r="X153" i="4"/>
  <c r="X261" i="4"/>
  <c r="X209" i="4"/>
  <c r="X57" i="4"/>
  <c r="X217" i="4"/>
  <c r="X89" i="4"/>
  <c r="X225" i="4"/>
  <c r="X212" i="4"/>
  <c r="X84" i="4"/>
  <c r="X232" i="4"/>
  <c r="X156" i="4"/>
  <c r="X80" i="4"/>
  <c r="X202" i="4"/>
  <c r="X198" i="4"/>
  <c r="X162" i="4"/>
  <c r="X146" i="4"/>
  <c r="X142" i="4"/>
  <c r="X10" i="4"/>
  <c r="X262" i="4"/>
  <c r="X130" i="4"/>
  <c r="X118" i="4"/>
  <c r="X110" i="4"/>
  <c r="X102" i="4"/>
  <c r="X62" i="4"/>
  <c r="X38" i="4"/>
  <c r="X30" i="4"/>
  <c r="X6" i="4"/>
  <c r="X190" i="4"/>
  <c r="X220" i="4"/>
  <c r="X140" i="4"/>
  <c r="X48" i="4"/>
  <c r="X170" i="4"/>
  <c r="X90" i="4"/>
  <c r="X34" i="4"/>
  <c r="X22" i="4"/>
  <c r="X14" i="4"/>
  <c r="X214" i="4"/>
  <c r="X138" i="4"/>
  <c r="X54" i="4"/>
  <c r="X46" i="4"/>
  <c r="X18" i="4"/>
  <c r="X186" i="4"/>
  <c r="X204" i="4"/>
  <c r="X112" i="4"/>
  <c r="X20" i="4"/>
  <c r="X174" i="4"/>
  <c r="X106" i="4"/>
  <c r="X98" i="4"/>
  <c r="X82" i="4"/>
  <c r="X74" i="4"/>
  <c r="X150" i="4"/>
  <c r="X86" i="4"/>
  <c r="X70" i="4"/>
  <c r="X26" i="4"/>
  <c r="X172" i="4"/>
  <c r="X96" i="4"/>
  <c r="X222" i="4"/>
  <c r="X218" i="4"/>
  <c r="X210" i="4"/>
  <c r="X182" i="4"/>
  <c r="X158" i="4"/>
  <c r="X134" i="4"/>
  <c r="X122" i="4"/>
  <c r="X114" i="4"/>
  <c r="X66" i="4"/>
  <c r="X58" i="4"/>
  <c r="X50" i="4"/>
  <c r="X42" i="4"/>
  <c r="X154" i="4"/>
  <c r="X126" i="4"/>
  <c r="X94" i="4"/>
  <c r="X78" i="4"/>
  <c r="X258" i="4"/>
  <c r="W267" i="4"/>
  <c r="M267" i="4" s="1"/>
  <c r="N267" i="4" s="1"/>
  <c r="W272" i="4"/>
  <c r="M272" i="4" s="1"/>
  <c r="N272" i="4" s="1"/>
  <c r="W278" i="4"/>
  <c r="M278" i="4" s="1"/>
  <c r="N278" i="4" s="1"/>
  <c r="W283" i="4"/>
  <c r="M283" i="4" s="1"/>
  <c r="N283" i="4" s="1"/>
  <c r="W288" i="4"/>
  <c r="X288" i="4" s="1"/>
  <c r="W294" i="4"/>
  <c r="M294" i="4" s="1"/>
  <c r="W299" i="4"/>
  <c r="M299" i="4" s="1"/>
  <c r="N299" i="4" s="1"/>
  <c r="W304" i="4"/>
  <c r="M304" i="4" s="1"/>
  <c r="N304" i="4" s="1"/>
  <c r="W310" i="4"/>
  <c r="X310" i="4" s="1"/>
  <c r="W315" i="4"/>
  <c r="M315" i="4" s="1"/>
  <c r="N315" i="4" s="1"/>
  <c r="W320" i="4"/>
  <c r="W326" i="4"/>
  <c r="M326" i="4" s="1"/>
  <c r="W331" i="4"/>
  <c r="M331" i="4" s="1"/>
  <c r="N331" i="4" s="1"/>
  <c r="W336" i="4"/>
  <c r="X336" i="4" s="1"/>
  <c r="W342" i="4"/>
  <c r="M342" i="4" s="1"/>
  <c r="N342" i="4" s="1"/>
  <c r="W347" i="4"/>
  <c r="W352" i="4"/>
  <c r="M352" i="4" s="1"/>
  <c r="N352" i="4" s="1"/>
  <c r="W358" i="4"/>
  <c r="M358" i="4" s="1"/>
  <c r="N358" i="4" s="1"/>
  <c r="W363" i="4"/>
  <c r="W368" i="4"/>
  <c r="W374" i="4"/>
  <c r="M374" i="4" s="1"/>
  <c r="N374" i="4" s="1"/>
  <c r="W379" i="4"/>
  <c r="M379" i="4" s="1"/>
  <c r="N379" i="4" s="1"/>
  <c r="W384" i="4"/>
  <c r="W390" i="4"/>
  <c r="X390" i="4" s="1"/>
  <c r="W395" i="4"/>
  <c r="M395" i="4" s="1"/>
  <c r="N395" i="4" s="1"/>
  <c r="W400" i="4"/>
  <c r="M400" i="4" s="1"/>
  <c r="W406" i="4"/>
  <c r="M406" i="4" s="1"/>
  <c r="N406" i="4" s="1"/>
  <c r="W411" i="4"/>
  <c r="M411" i="4" s="1"/>
  <c r="N411" i="4" s="1"/>
  <c r="W416" i="4"/>
  <c r="W422" i="4"/>
  <c r="M422" i="4" s="1"/>
  <c r="N422" i="4" s="1"/>
  <c r="W427" i="4"/>
  <c r="M427" i="4" s="1"/>
  <c r="N427" i="4" s="1"/>
  <c r="W432" i="4"/>
  <c r="M432" i="4" s="1"/>
  <c r="N432" i="4" s="1"/>
  <c r="W438" i="4"/>
  <c r="M438" i="4" s="1"/>
  <c r="N438" i="4" s="1"/>
  <c r="W443" i="4"/>
  <c r="M443" i="4" s="1"/>
  <c r="N443" i="4" s="1"/>
  <c r="W266" i="4"/>
  <c r="M266" i="4" s="1"/>
  <c r="N266" i="4" s="1"/>
  <c r="W274" i="4"/>
  <c r="M274" i="4" s="1"/>
  <c r="N274" i="4" s="1"/>
  <c r="W280" i="4"/>
  <c r="M280" i="4" s="1"/>
  <c r="N280" i="4" s="1"/>
  <c r="W287" i="4"/>
  <c r="X287" i="4" s="1"/>
  <c r="W295" i="4"/>
  <c r="W302" i="4"/>
  <c r="M302" i="4" s="1"/>
  <c r="N302" i="4" s="1"/>
  <c r="W308" i="4"/>
  <c r="X308" i="4" s="1"/>
  <c r="W316" i="4"/>
  <c r="M316" i="4" s="1"/>
  <c r="N316" i="4" s="1"/>
  <c r="W323" i="4"/>
  <c r="M323" i="4" s="1"/>
  <c r="N323" i="4" s="1"/>
  <c r="W330" i="4"/>
  <c r="M330" i="4" s="1"/>
  <c r="N330" i="4" s="1"/>
  <c r="W338" i="4"/>
  <c r="M338" i="4" s="1"/>
  <c r="W344" i="4"/>
  <c r="M344" i="4" s="1"/>
  <c r="N344" i="4" s="1"/>
  <c r="W351" i="4"/>
  <c r="M351" i="4" s="1"/>
  <c r="W359" i="4"/>
  <c r="M359" i="4" s="1"/>
  <c r="W366" i="4"/>
  <c r="W372" i="4"/>
  <c r="M372" i="4" s="1"/>
  <c r="N372" i="4" s="1"/>
  <c r="W380" i="4"/>
  <c r="M380" i="4" s="1"/>
  <c r="N380" i="4" s="1"/>
  <c r="W387" i="4"/>
  <c r="X387" i="4" s="1"/>
  <c r="W394" i="4"/>
  <c r="M394" i="4" s="1"/>
  <c r="W402" i="4"/>
  <c r="W408" i="4"/>
  <c r="M408" i="4" s="1"/>
  <c r="N408" i="4" s="1"/>
  <c r="W415" i="4"/>
  <c r="M415" i="4" s="1"/>
  <c r="N415" i="4" s="1"/>
  <c r="W423" i="4"/>
  <c r="M423" i="4" s="1"/>
  <c r="N423" i="4" s="1"/>
  <c r="W430" i="4"/>
  <c r="M430" i="4" s="1"/>
  <c r="N430" i="4" s="1"/>
  <c r="W436" i="4"/>
  <c r="M436" i="4" s="1"/>
  <c r="N436" i="4" s="1"/>
  <c r="W444" i="4"/>
  <c r="M444" i="4" s="1"/>
  <c r="N444" i="4" s="1"/>
  <c r="W270" i="4"/>
  <c r="M270" i="4" s="1"/>
  <c r="N270" i="4" s="1"/>
  <c r="W279" i="4"/>
  <c r="M279" i="4" s="1"/>
  <c r="N279" i="4" s="1"/>
  <c r="W290" i="4"/>
  <c r="M290" i="4" s="1"/>
  <c r="W298" i="4"/>
  <c r="M298" i="4" s="1"/>
  <c r="N298" i="4" s="1"/>
  <c r="W307" i="4"/>
  <c r="M307" i="4" s="1"/>
  <c r="W318" i="4"/>
  <c r="X318" i="4" s="1"/>
  <c r="W327" i="4"/>
  <c r="M327" i="4" s="1"/>
  <c r="N327" i="4" s="1"/>
  <c r="W335" i="4"/>
  <c r="M335" i="4" s="1"/>
  <c r="N335" i="4" s="1"/>
  <c r="W346" i="4"/>
  <c r="M346" i="4" s="1"/>
  <c r="N346" i="4" s="1"/>
  <c r="W355" i="4"/>
  <c r="M355" i="4" s="1"/>
  <c r="N355" i="4" s="1"/>
  <c r="W364" i="4"/>
  <c r="X364" i="4" s="1"/>
  <c r="W375" i="4"/>
  <c r="M375" i="4" s="1"/>
  <c r="N375" i="4" s="1"/>
  <c r="W383" i="4"/>
  <c r="X383" i="4" s="1"/>
  <c r="W392" i="4"/>
  <c r="W403" i="4"/>
  <c r="M403" i="4" s="1"/>
  <c r="N403" i="4" s="1"/>
  <c r="W412" i="4"/>
  <c r="M412" i="4" s="1"/>
  <c r="N412" i="4" s="1"/>
  <c r="W420" i="4"/>
  <c r="M420" i="4" s="1"/>
  <c r="N420" i="4" s="1"/>
  <c r="W431" i="4"/>
  <c r="M431" i="4" s="1"/>
  <c r="N431" i="4" s="1"/>
  <c r="W440" i="4"/>
  <c r="M440" i="4" s="1"/>
  <c r="N440" i="4" s="1"/>
  <c r="W271" i="4"/>
  <c r="M271" i="4" s="1"/>
  <c r="N271" i="4" s="1"/>
  <c r="W282" i="4"/>
  <c r="M282" i="4" s="1"/>
  <c r="N282" i="4" s="1"/>
  <c r="W291" i="4"/>
  <c r="M291" i="4" s="1"/>
  <c r="N291" i="4" s="1"/>
  <c r="W300" i="4"/>
  <c r="M300" i="4" s="1"/>
  <c r="N300" i="4" s="1"/>
  <c r="W311" i="4"/>
  <c r="W319" i="4"/>
  <c r="X319" i="4" s="1"/>
  <c r="W328" i="4"/>
  <c r="M328" i="4" s="1"/>
  <c r="W339" i="4"/>
  <c r="M339" i="4" s="1"/>
  <c r="W348" i="4"/>
  <c r="X348" i="4" s="1"/>
  <c r="W356" i="4"/>
  <c r="M356" i="4" s="1"/>
  <c r="N356" i="4" s="1"/>
  <c r="W367" i="4"/>
  <c r="W376" i="4"/>
  <c r="M376" i="4" s="1"/>
  <c r="N376" i="4" s="1"/>
  <c r="W386" i="4"/>
  <c r="X386" i="4" s="1"/>
  <c r="W396" i="4"/>
  <c r="M396" i="4" s="1"/>
  <c r="W404" i="4"/>
  <c r="M404" i="4" s="1"/>
  <c r="N404" i="4" s="1"/>
  <c r="W414" i="4"/>
  <c r="M414" i="4" s="1"/>
  <c r="W424" i="4"/>
  <c r="M424" i="4" s="1"/>
  <c r="N424" i="4" s="1"/>
  <c r="W434" i="4"/>
  <c r="M434" i="4" s="1"/>
  <c r="N434" i="4" s="1"/>
  <c r="W442" i="4"/>
  <c r="M442" i="4" s="1"/>
  <c r="N442" i="4" s="1"/>
  <c r="W268" i="4"/>
  <c r="M268" i="4" s="1"/>
  <c r="N268" i="4" s="1"/>
  <c r="W276" i="4"/>
  <c r="M276" i="4" s="1"/>
  <c r="W286" i="4"/>
  <c r="M286" i="4" s="1"/>
  <c r="W296" i="4"/>
  <c r="W306" i="4"/>
  <c r="M306" i="4" s="1"/>
  <c r="W314" i="4"/>
  <c r="M314" i="4" s="1"/>
  <c r="N314" i="4" s="1"/>
  <c r="W324" i="4"/>
  <c r="X324" i="4" s="1"/>
  <c r="W334" i="4"/>
  <c r="M334" i="4" s="1"/>
  <c r="N334" i="4" s="1"/>
  <c r="W343" i="4"/>
  <c r="W354" i="4"/>
  <c r="M354" i="4" s="1"/>
  <c r="N354" i="4" s="1"/>
  <c r="W362" i="4"/>
  <c r="M362" i="4" s="1"/>
  <c r="N362" i="4" s="1"/>
  <c r="W371" i="4"/>
  <c r="M371" i="4" s="1"/>
  <c r="N371" i="4" s="1"/>
  <c r="W382" i="4"/>
  <c r="M382" i="4" s="1"/>
  <c r="N382" i="4" s="1"/>
  <c r="W391" i="4"/>
  <c r="X391" i="4" s="1"/>
  <c r="W399" i="4"/>
  <c r="W410" i="4"/>
  <c r="M410" i="4" s="1"/>
  <c r="N410" i="4" s="1"/>
  <c r="W419" i="4"/>
  <c r="M419" i="4" s="1"/>
  <c r="N419" i="4" s="1"/>
  <c r="W428" i="4"/>
  <c r="M428" i="4" s="1"/>
  <c r="W439" i="4"/>
  <c r="M439" i="4" s="1"/>
  <c r="N439" i="4" s="1"/>
  <c r="W447" i="4"/>
  <c r="M447" i="4" s="1"/>
  <c r="N447" i="4" s="1"/>
  <c r="W275" i="4"/>
  <c r="M275" i="4" s="1"/>
  <c r="W284" i="4"/>
  <c r="M284" i="4" s="1"/>
  <c r="N284" i="4" s="1"/>
  <c r="W292" i="4"/>
  <c r="M292" i="4" s="1"/>
  <c r="N292" i="4" s="1"/>
  <c r="W303" i="4"/>
  <c r="M303" i="4" s="1"/>
  <c r="N303" i="4" s="1"/>
  <c r="W312" i="4"/>
  <c r="M312" i="4" s="1"/>
  <c r="N312" i="4" s="1"/>
  <c r="W322" i="4"/>
  <c r="M322" i="4" s="1"/>
  <c r="W332" i="4"/>
  <c r="M332" i="4" s="1"/>
  <c r="N332" i="4" s="1"/>
  <c r="W340" i="4"/>
  <c r="M340" i="4" s="1"/>
  <c r="W350" i="4"/>
  <c r="M350" i="4" s="1"/>
  <c r="N350" i="4" s="1"/>
  <c r="W360" i="4"/>
  <c r="M360" i="4" s="1"/>
  <c r="N360" i="4" s="1"/>
  <c r="W370" i="4"/>
  <c r="M370" i="4" s="1"/>
  <c r="N370" i="4" s="1"/>
  <c r="W378" i="4"/>
  <c r="M378" i="4" s="1"/>
  <c r="N378" i="4" s="1"/>
  <c r="W388" i="4"/>
  <c r="X388" i="4" s="1"/>
  <c r="W398" i="4"/>
  <c r="M398" i="4" s="1"/>
  <c r="N398" i="4" s="1"/>
  <c r="W407" i="4"/>
  <c r="M407" i="4" s="1"/>
  <c r="W418" i="4"/>
  <c r="M418" i="4" s="1"/>
  <c r="N418" i="4" s="1"/>
  <c r="W426" i="4"/>
  <c r="M426" i="4" s="1"/>
  <c r="N426" i="4" s="1"/>
  <c r="W435" i="4"/>
  <c r="M435" i="4" s="1"/>
  <c r="N435" i="4" s="1"/>
  <c r="W446" i="4"/>
  <c r="M446" i="4" s="1"/>
  <c r="N446" i="4" s="1"/>
  <c r="W365" i="4"/>
  <c r="W321" i="4"/>
  <c r="M321" i="4" s="1"/>
  <c r="N321" i="4" s="1"/>
  <c r="W441" i="4"/>
  <c r="M441" i="4" s="1"/>
  <c r="N441" i="4" s="1"/>
  <c r="W425" i="4"/>
  <c r="M425" i="4" s="1"/>
  <c r="N425" i="4" s="1"/>
  <c r="W405" i="4"/>
  <c r="M405" i="4" s="1"/>
  <c r="N405" i="4" s="1"/>
  <c r="W389" i="4"/>
  <c r="X389" i="4" s="1"/>
  <c r="W357" i="4"/>
  <c r="M357" i="4" s="1"/>
  <c r="N357" i="4" s="1"/>
  <c r="W337" i="4"/>
  <c r="X337" i="4" s="1"/>
  <c r="W309" i="4"/>
  <c r="M309" i="4" s="1"/>
  <c r="N309" i="4" s="1"/>
  <c r="W289" i="4"/>
  <c r="X289" i="4" s="1"/>
  <c r="W269" i="4"/>
  <c r="M269" i="4" s="1"/>
  <c r="N269" i="4" s="1"/>
  <c r="W421" i="4"/>
  <c r="M421" i="4" s="1"/>
  <c r="N421" i="4" s="1"/>
  <c r="W377" i="4"/>
  <c r="M377" i="4" s="1"/>
  <c r="N377" i="4" s="1"/>
  <c r="W341" i="4"/>
  <c r="M341" i="4" s="1"/>
  <c r="N341" i="4" s="1"/>
  <c r="W317" i="4"/>
  <c r="M317" i="4" s="1"/>
  <c r="N317" i="4" s="1"/>
  <c r="W277" i="4"/>
  <c r="M277" i="4" s="1"/>
  <c r="W437" i="4"/>
  <c r="M437" i="4" s="1"/>
  <c r="N437" i="4" s="1"/>
  <c r="W417" i="4"/>
  <c r="M417" i="4" s="1"/>
  <c r="W401" i="4"/>
  <c r="W385" i="4"/>
  <c r="X385" i="4" s="1"/>
  <c r="W353" i="4"/>
  <c r="M353" i="4" s="1"/>
  <c r="N353" i="4" s="1"/>
  <c r="W333" i="4"/>
  <c r="M333" i="4" s="1"/>
  <c r="N333" i="4" s="1"/>
  <c r="W301" i="4"/>
  <c r="M301" i="4" s="1"/>
  <c r="N301" i="4" s="1"/>
  <c r="W285" i="4"/>
  <c r="M285" i="4" s="1"/>
  <c r="N285" i="4" s="1"/>
  <c r="W373" i="4"/>
  <c r="M373" i="4" s="1"/>
  <c r="N373" i="4" s="1"/>
  <c r="W313" i="4"/>
  <c r="M313" i="4" s="1"/>
  <c r="N313" i="4" s="1"/>
  <c r="W433" i="4"/>
  <c r="M433" i="4" s="1"/>
  <c r="W413" i="4"/>
  <c r="M413" i="4" s="1"/>
  <c r="N413" i="4" s="1"/>
  <c r="W397" i="4"/>
  <c r="M397" i="4" s="1"/>
  <c r="W381" i="4"/>
  <c r="M381" i="4" s="1"/>
  <c r="N381" i="4" s="1"/>
  <c r="W349" i="4"/>
  <c r="X349" i="4" s="1"/>
  <c r="W329" i="4"/>
  <c r="M329" i="4" s="1"/>
  <c r="N329" i="4" s="1"/>
  <c r="W297" i="4"/>
  <c r="W281" i="4"/>
  <c r="M281" i="4" s="1"/>
  <c r="N281" i="4" s="1"/>
  <c r="W369" i="4"/>
  <c r="M369" i="4" s="1"/>
  <c r="W305" i="4"/>
  <c r="M305" i="4" s="1"/>
  <c r="W445" i="4"/>
  <c r="M445" i="4" s="1"/>
  <c r="N445" i="4" s="1"/>
  <c r="W429" i="4"/>
  <c r="M429" i="4" s="1"/>
  <c r="N429" i="4" s="1"/>
  <c r="W409" i="4"/>
  <c r="M409" i="4" s="1"/>
  <c r="N409" i="4" s="1"/>
  <c r="W393" i="4"/>
  <c r="W361" i="4"/>
  <c r="M361" i="4" s="1"/>
  <c r="N361" i="4" s="1"/>
  <c r="W345" i="4"/>
  <c r="M345" i="4" s="1"/>
  <c r="N345" i="4" s="1"/>
  <c r="W325" i="4"/>
  <c r="W293" i="4"/>
  <c r="M293" i="4" s="1"/>
  <c r="N293" i="4" s="1"/>
  <c r="W273" i="4"/>
  <c r="M273" i="4" s="1"/>
  <c r="N273" i="4" s="1"/>
  <c r="W17" i="4"/>
  <c r="M17" i="4" s="1"/>
  <c r="N17" i="4" s="1"/>
  <c r="W47" i="4"/>
  <c r="M47" i="4" s="1"/>
  <c r="N47" i="4" s="1"/>
  <c r="W159" i="4"/>
  <c r="M159" i="4" s="1"/>
  <c r="W23" i="4"/>
  <c r="M23" i="4" s="1"/>
  <c r="N23" i="4" s="1"/>
  <c r="W56" i="4"/>
  <c r="M56" i="4" s="1"/>
  <c r="N56" i="4" s="1"/>
  <c r="W87" i="4"/>
  <c r="M87" i="4" s="1"/>
  <c r="N87" i="4" s="1"/>
  <c r="W136" i="4"/>
  <c r="M136" i="4" s="1"/>
  <c r="N136" i="4" s="1"/>
  <c r="W167" i="4"/>
  <c r="M167" i="4" s="1"/>
  <c r="W195" i="4"/>
  <c r="X195" i="4" s="1"/>
  <c r="W211" i="4"/>
  <c r="M211" i="4" s="1"/>
  <c r="N211" i="4" s="1"/>
  <c r="W235" i="4"/>
  <c r="M235" i="4" s="1"/>
  <c r="W123" i="4"/>
  <c r="M123" i="4" s="1"/>
  <c r="N123" i="4" s="1"/>
  <c r="W208" i="4"/>
  <c r="M208" i="4" s="1"/>
  <c r="N208" i="4" s="1"/>
  <c r="W31" i="4"/>
  <c r="M31" i="4" s="1"/>
  <c r="W63" i="4"/>
  <c r="M63" i="4" s="1"/>
  <c r="W111" i="4"/>
  <c r="M111" i="4" s="1"/>
  <c r="N111" i="4" s="1"/>
  <c r="W147" i="4"/>
  <c r="M147" i="4" s="1"/>
  <c r="N147" i="4" s="1"/>
  <c r="W175" i="4"/>
  <c r="M175" i="4" s="1"/>
  <c r="N175" i="4" s="1"/>
  <c r="W197" i="4"/>
  <c r="W223" i="4"/>
  <c r="X223" i="4" s="1"/>
  <c r="W256" i="4"/>
  <c r="W15" i="4"/>
  <c r="M15" i="4" s="1"/>
  <c r="W43" i="4"/>
  <c r="M43" i="4" s="1"/>
  <c r="N43" i="4" s="1"/>
  <c r="W71" i="4"/>
  <c r="M71" i="4" s="1"/>
  <c r="W115" i="4"/>
  <c r="M115" i="4" s="1"/>
  <c r="N115" i="4" s="1"/>
  <c r="W155" i="4"/>
  <c r="M155" i="4" s="1"/>
  <c r="W177" i="4"/>
  <c r="X177" i="4" s="1"/>
  <c r="W203" i="4"/>
  <c r="M203" i="4" s="1"/>
  <c r="N203" i="4" s="1"/>
  <c r="W227" i="4"/>
  <c r="M227" i="4" s="1"/>
  <c r="N227" i="4" s="1"/>
  <c r="W233" i="4"/>
  <c r="M233" i="4" s="1"/>
  <c r="W83" i="4"/>
  <c r="M83" i="4" s="1"/>
  <c r="N83" i="4" s="1"/>
  <c r="W183" i="4"/>
  <c r="M183" i="4" s="1"/>
  <c r="N183" i="4" s="1"/>
  <c r="W200" i="4"/>
  <c r="M200" i="4" s="1"/>
  <c r="W100" i="4"/>
  <c r="M100" i="4" s="1"/>
  <c r="N100" i="4" s="1"/>
  <c r="W8" i="4"/>
  <c r="M8" i="4" s="1"/>
  <c r="W171" i="4"/>
  <c r="M171" i="4" s="1"/>
  <c r="N171" i="4" s="1"/>
  <c r="W173" i="4"/>
  <c r="M173" i="4" s="1"/>
  <c r="N173" i="4" s="1"/>
  <c r="W157" i="4"/>
  <c r="M157" i="4" s="1"/>
  <c r="W141" i="4"/>
  <c r="M141" i="4" s="1"/>
  <c r="N141" i="4" s="1"/>
  <c r="W89" i="4"/>
  <c r="M89" i="4" s="1"/>
  <c r="N89" i="4" s="1"/>
  <c r="W53" i="4"/>
  <c r="M53" i="4" s="1"/>
  <c r="N53" i="4" s="1"/>
  <c r="W59" i="4"/>
  <c r="M59" i="4" s="1"/>
  <c r="N59" i="4" s="1"/>
  <c r="W205" i="4"/>
  <c r="M205" i="4" s="1"/>
  <c r="N205" i="4" s="1"/>
  <c r="W24" i="4"/>
  <c r="M24" i="4" s="1"/>
  <c r="N24" i="4" s="1"/>
  <c r="W145" i="4"/>
  <c r="M145" i="4" s="1"/>
  <c r="N145" i="4" s="1"/>
  <c r="W180" i="4"/>
  <c r="M180" i="4" s="1"/>
  <c r="W160" i="4"/>
  <c r="M160" i="4" s="1"/>
  <c r="N160" i="4" s="1"/>
  <c r="W140" i="4"/>
  <c r="M140" i="4" s="1"/>
  <c r="W4" i="4"/>
  <c r="M4" i="4" s="1"/>
  <c r="N4" i="4" s="1"/>
  <c r="W263" i="4"/>
  <c r="M263" i="4" s="1"/>
  <c r="N263" i="4" s="1"/>
  <c r="W255" i="4"/>
  <c r="X255" i="4" s="1"/>
  <c r="W247" i="4"/>
  <c r="M247" i="4" s="1"/>
  <c r="N247" i="4" s="1"/>
  <c r="W3" i="4"/>
  <c r="M3" i="4" s="1"/>
  <c r="N3" i="4" s="1"/>
  <c r="W191" i="4"/>
  <c r="M191" i="4" s="1"/>
  <c r="N191" i="4" s="1"/>
  <c r="W219" i="4"/>
  <c r="M219" i="4" s="1"/>
  <c r="N219" i="4" s="1"/>
  <c r="W143" i="4"/>
  <c r="M143" i="4" s="1"/>
  <c r="W55" i="4"/>
  <c r="M55" i="4" s="1"/>
  <c r="N55" i="4" s="1"/>
  <c r="W91" i="4"/>
  <c r="M91" i="4" s="1"/>
  <c r="W133" i="4"/>
  <c r="M133" i="4" s="1"/>
  <c r="N133" i="4" s="1"/>
  <c r="W237" i="4"/>
  <c r="M237" i="4" s="1"/>
  <c r="N237" i="4" s="1"/>
  <c r="W165" i="4"/>
  <c r="M165" i="4" s="1"/>
  <c r="N165" i="4" s="1"/>
  <c r="W5" i="4"/>
  <c r="M5" i="4" s="1"/>
  <c r="W201" i="4"/>
  <c r="M201" i="4" s="1"/>
  <c r="N201" i="4" s="1"/>
  <c r="W121" i="4"/>
  <c r="M121" i="4" s="1"/>
  <c r="N121" i="4" s="1"/>
  <c r="W176" i="4"/>
  <c r="M176" i="4" s="1"/>
  <c r="N176" i="4" s="1"/>
  <c r="W48" i="4"/>
  <c r="M48" i="4" s="1"/>
  <c r="N48" i="4" s="1"/>
  <c r="W73" i="4"/>
  <c r="M73" i="4" s="1"/>
  <c r="N73" i="4" s="1"/>
  <c r="W216" i="4"/>
  <c r="M216" i="4" s="1"/>
  <c r="N216" i="4" s="1"/>
  <c r="W221" i="4"/>
  <c r="M221" i="4" s="1"/>
  <c r="N221" i="4" s="1"/>
  <c r="W153" i="4"/>
  <c r="M153" i="4" s="1"/>
  <c r="W137" i="4"/>
  <c r="M137" i="4" s="1"/>
  <c r="N137" i="4" s="1"/>
  <c r="W85" i="4"/>
  <c r="M85" i="4" s="1"/>
  <c r="N85" i="4" s="1"/>
  <c r="W69" i="4"/>
  <c r="M69" i="4" s="1"/>
  <c r="W29" i="4"/>
  <c r="M29" i="4" s="1"/>
  <c r="W249" i="4"/>
  <c r="M249" i="4" s="1"/>
  <c r="W96" i="4"/>
  <c r="M96" i="4" s="1"/>
  <c r="N96" i="4" s="1"/>
  <c r="W264" i="4"/>
  <c r="M264" i="4" s="1"/>
  <c r="N264" i="4" s="1"/>
  <c r="W224" i="4"/>
  <c r="W192" i="4"/>
  <c r="W152" i="4"/>
  <c r="M152" i="4" s="1"/>
  <c r="N152" i="4" s="1"/>
  <c r="W144" i="4"/>
  <c r="M144" i="4" s="1"/>
  <c r="N144" i="4" s="1"/>
  <c r="W128" i="4"/>
  <c r="X128" i="4" s="1"/>
  <c r="W116" i="4"/>
  <c r="M116" i="4" s="1"/>
  <c r="N116" i="4" s="1"/>
  <c r="W104" i="4"/>
  <c r="M104" i="4" s="1"/>
  <c r="W16" i="4"/>
  <c r="M16" i="4" s="1"/>
  <c r="N16" i="4" s="1"/>
  <c r="W248" i="4"/>
  <c r="M248" i="4" s="1"/>
  <c r="W231" i="4"/>
  <c r="M231" i="4" s="1"/>
  <c r="N231" i="4" s="1"/>
  <c r="W132" i="4"/>
  <c r="M132" i="4" s="1"/>
  <c r="N132" i="4" s="1"/>
  <c r="W215" i="4"/>
  <c r="M215" i="4" s="1"/>
  <c r="W19" i="4"/>
  <c r="M19" i="4" s="1"/>
  <c r="N19" i="4" s="1"/>
  <c r="W119" i="4"/>
  <c r="M119" i="4" s="1"/>
  <c r="N119" i="4" s="1"/>
  <c r="W99" i="4"/>
  <c r="M99" i="4" s="1"/>
  <c r="W207" i="4"/>
  <c r="M207" i="4" s="1"/>
  <c r="W131" i="4"/>
  <c r="M131" i="4" s="1"/>
  <c r="N131" i="4" s="1"/>
  <c r="W39" i="4"/>
  <c r="M39" i="4" s="1"/>
  <c r="W187" i="4"/>
  <c r="M187" i="4" s="1"/>
  <c r="W75" i="4"/>
  <c r="M75" i="4" s="1"/>
  <c r="N75" i="4" s="1"/>
  <c r="W113" i="4"/>
  <c r="M113" i="4" s="1"/>
  <c r="N113" i="4" s="1"/>
  <c r="W9" i="4"/>
  <c r="M9" i="4" s="1"/>
  <c r="W241" i="4"/>
  <c r="M241" i="4" s="1"/>
  <c r="N241" i="4" s="1"/>
  <c r="W93" i="4"/>
  <c r="M93" i="4" s="1"/>
  <c r="N93" i="4" s="1"/>
  <c r="W105" i="4"/>
  <c r="M105" i="4" s="1"/>
  <c r="W240" i="4"/>
  <c r="M240" i="4" s="1"/>
  <c r="N240" i="4" s="1"/>
  <c r="W168" i="4"/>
  <c r="M168" i="4" s="1"/>
  <c r="W40" i="4"/>
  <c r="W225" i="4"/>
  <c r="M225" i="4" s="1"/>
  <c r="N225" i="4" s="1"/>
  <c r="W45" i="4"/>
  <c r="M45" i="4" s="1"/>
  <c r="N45" i="4" s="1"/>
  <c r="W107" i="4"/>
  <c r="M107" i="4" s="1"/>
  <c r="W261" i="4"/>
  <c r="M261" i="4" s="1"/>
  <c r="N261" i="4" s="1"/>
  <c r="W245" i="4"/>
  <c r="M245" i="4" s="1"/>
  <c r="N245" i="4" s="1"/>
  <c r="W217" i="4"/>
  <c r="M217" i="4" s="1"/>
  <c r="N217" i="4" s="1"/>
  <c r="W193" i="4"/>
  <c r="W117" i="4"/>
  <c r="M117" i="4" s="1"/>
  <c r="N117" i="4" s="1"/>
  <c r="W101" i="4"/>
  <c r="M101" i="4" s="1"/>
  <c r="N101" i="4" s="1"/>
  <c r="W81" i="4"/>
  <c r="M81" i="4" s="1"/>
  <c r="W65" i="4"/>
  <c r="M65" i="4" s="1"/>
  <c r="N65" i="4" s="1"/>
  <c r="W41" i="4"/>
  <c r="M41" i="4" s="1"/>
  <c r="W25" i="4"/>
  <c r="W51" i="4"/>
  <c r="M51" i="4" s="1"/>
  <c r="N51" i="4" s="1"/>
  <c r="W184" i="4"/>
  <c r="W125" i="4"/>
  <c r="M125" i="4" s="1"/>
  <c r="N125" i="4" s="1"/>
  <c r="W164" i="4"/>
  <c r="M164" i="4" s="1"/>
  <c r="N164" i="4" s="1"/>
  <c r="W108" i="4"/>
  <c r="M108" i="4" s="1"/>
  <c r="W88" i="4"/>
  <c r="M88" i="4" s="1"/>
  <c r="W80" i="4"/>
  <c r="M80" i="4" s="1"/>
  <c r="N80" i="4" s="1"/>
  <c r="W68" i="4"/>
  <c r="W64" i="4"/>
  <c r="M64" i="4" s="1"/>
  <c r="N64" i="4" s="1"/>
  <c r="W243" i="4"/>
  <c r="M243" i="4" s="1"/>
  <c r="N243" i="4" s="1"/>
  <c r="W239" i="4"/>
  <c r="M239" i="4" s="1"/>
  <c r="N239" i="4" s="1"/>
  <c r="W32" i="4"/>
  <c r="M32" i="4" s="1"/>
  <c r="N32" i="4" s="1"/>
  <c r="W127" i="4"/>
  <c r="X127" i="4" s="1"/>
  <c r="W199" i="4"/>
  <c r="M199" i="4" s="1"/>
  <c r="N199" i="4" s="1"/>
  <c r="W103" i="4"/>
  <c r="M103" i="4" s="1"/>
  <c r="N103" i="4" s="1"/>
  <c r="W7" i="4"/>
  <c r="M7" i="4" s="1"/>
  <c r="N7" i="4" s="1"/>
  <c r="W163" i="4"/>
  <c r="M163" i="4" s="1"/>
  <c r="N163" i="4" s="1"/>
  <c r="W35" i="4"/>
  <c r="M35" i="4" s="1"/>
  <c r="W213" i="4"/>
  <c r="M213" i="4" s="1"/>
  <c r="N213" i="4" s="1"/>
  <c r="W185" i="4"/>
  <c r="M185" i="4" s="1"/>
  <c r="W61" i="4"/>
  <c r="M61" i="4" s="1"/>
  <c r="N61" i="4" s="1"/>
  <c r="W21" i="4"/>
  <c r="M21" i="4" s="1"/>
  <c r="W209" i="4"/>
  <c r="M209" i="4" s="1"/>
  <c r="N209" i="4" s="1"/>
  <c r="W57" i="4"/>
  <c r="W77" i="4"/>
  <c r="M77" i="4" s="1"/>
  <c r="N77" i="4" s="1"/>
  <c r="W232" i="4"/>
  <c r="M232" i="4" s="1"/>
  <c r="W148" i="4"/>
  <c r="M148" i="4" s="1"/>
  <c r="W20" i="4"/>
  <c r="M20" i="4" s="1"/>
  <c r="N20" i="4" s="1"/>
  <c r="W149" i="4"/>
  <c r="M149" i="4" s="1"/>
  <c r="W33" i="4"/>
  <c r="M33" i="4" s="1"/>
  <c r="N33" i="4" s="1"/>
  <c r="W204" i="4"/>
  <c r="M204" i="4" s="1"/>
  <c r="W84" i="4"/>
  <c r="M84" i="4" s="1"/>
  <c r="W44" i="4"/>
  <c r="M44" i="4" s="1"/>
  <c r="N44" i="4" s="1"/>
  <c r="W251" i="4"/>
  <c r="M251" i="4" s="1"/>
  <c r="N251" i="4" s="1"/>
  <c r="W151" i="4"/>
  <c r="M151" i="4" s="1"/>
  <c r="N151" i="4" s="1"/>
  <c r="W135" i="4"/>
  <c r="M135" i="4" s="1"/>
  <c r="N135" i="4" s="1"/>
  <c r="W161" i="4"/>
  <c r="M161" i="4" s="1"/>
  <c r="N161" i="4" s="1"/>
  <c r="W129" i="4"/>
  <c r="M129" i="4" s="1"/>
  <c r="W97" i="4"/>
  <c r="M97" i="4" s="1"/>
  <c r="N97" i="4" s="1"/>
  <c r="W67" i="4"/>
  <c r="M67" i="4" s="1"/>
  <c r="N67" i="4" s="1"/>
  <c r="W72" i="4"/>
  <c r="M72" i="4" s="1"/>
  <c r="W260" i="4"/>
  <c r="M260" i="4" s="1"/>
  <c r="N260" i="4" s="1"/>
  <c r="W244" i="4"/>
  <c r="M244" i="4" s="1"/>
  <c r="N244" i="4" s="1"/>
  <c r="W228" i="4"/>
  <c r="M228" i="4" s="1"/>
  <c r="N228" i="4" s="1"/>
  <c r="W120" i="4"/>
  <c r="M120" i="4" s="1"/>
  <c r="N120" i="4" s="1"/>
  <c r="W52" i="4"/>
  <c r="M52" i="4" s="1"/>
  <c r="N52" i="4" s="1"/>
  <c r="W36" i="4"/>
  <c r="M36" i="4" s="1"/>
  <c r="W196" i="4"/>
  <c r="X196" i="4" s="1"/>
  <c r="W259" i="4"/>
  <c r="W11" i="4"/>
  <c r="M11" i="4" s="1"/>
  <c r="W79" i="4"/>
  <c r="M79" i="4" s="1"/>
  <c r="N79" i="4" s="1"/>
  <c r="W179" i="4"/>
  <c r="X179" i="4" s="1"/>
  <c r="W95" i="4"/>
  <c r="M95" i="4" s="1"/>
  <c r="N95" i="4" s="1"/>
  <c r="W139" i="4"/>
  <c r="M139" i="4" s="1"/>
  <c r="N139" i="4" s="1"/>
  <c r="W27" i="4"/>
  <c r="X27" i="4" s="1"/>
  <c r="W181" i="4"/>
  <c r="M181" i="4" s="1"/>
  <c r="W253" i="4"/>
  <c r="M253" i="4" s="1"/>
  <c r="N253" i="4" s="1"/>
  <c r="W169" i="4"/>
  <c r="M169" i="4" s="1"/>
  <c r="N169" i="4" s="1"/>
  <c r="W37" i="4"/>
  <c r="M37" i="4" s="1"/>
  <c r="W265" i="4"/>
  <c r="M265" i="4" s="1"/>
  <c r="N265" i="4" s="1"/>
  <c r="W257" i="4"/>
  <c r="M257" i="4" s="1"/>
  <c r="W189" i="4"/>
  <c r="M189" i="4" s="1"/>
  <c r="N189" i="4" s="1"/>
  <c r="W13" i="4"/>
  <c r="M13" i="4" s="1"/>
  <c r="W229" i="4"/>
  <c r="M229" i="4" s="1"/>
  <c r="N229" i="4" s="1"/>
  <c r="W49" i="4"/>
  <c r="M49" i="4" s="1"/>
  <c r="W212" i="4"/>
  <c r="M212" i="4" s="1"/>
  <c r="N212" i="4" s="1"/>
  <c r="W112" i="4"/>
  <c r="M112" i="4" s="1"/>
  <c r="N112" i="4" s="1"/>
  <c r="W109" i="4"/>
  <c r="M109" i="4" s="1"/>
  <c r="N109" i="4" s="1"/>
  <c r="W236" i="4"/>
  <c r="X236" i="4" s="1"/>
  <c r="W156" i="4"/>
  <c r="M156" i="4" s="1"/>
  <c r="N156" i="4" s="1"/>
  <c r="W60" i="4"/>
  <c r="M60" i="4" s="1"/>
  <c r="W250" i="4"/>
  <c r="M250" i="4" s="1"/>
  <c r="N250" i="4" s="1"/>
  <c r="W222" i="4"/>
  <c r="M222" i="4" s="1"/>
  <c r="N222" i="4" s="1"/>
  <c r="W218" i="4"/>
  <c r="M218" i="4" s="1"/>
  <c r="N218" i="4" s="1"/>
  <c r="W210" i="4"/>
  <c r="M210" i="4" s="1"/>
  <c r="N210" i="4" s="1"/>
  <c r="W182" i="4"/>
  <c r="M182" i="4" s="1"/>
  <c r="N182" i="4" s="1"/>
  <c r="W158" i="4"/>
  <c r="M158" i="4" s="1"/>
  <c r="W134" i="4"/>
  <c r="M134" i="4" s="1"/>
  <c r="N134" i="4" s="1"/>
  <c r="W122" i="4"/>
  <c r="M122" i="4" s="1"/>
  <c r="N122" i="4" s="1"/>
  <c r="W114" i="4"/>
  <c r="M114" i="4" s="1"/>
  <c r="N114" i="4" s="1"/>
  <c r="W66" i="4"/>
  <c r="M66" i="4" s="1"/>
  <c r="N66" i="4" s="1"/>
  <c r="W58" i="4"/>
  <c r="M58" i="4" s="1"/>
  <c r="N58" i="4" s="1"/>
  <c r="W50" i="4"/>
  <c r="M50" i="4" s="1"/>
  <c r="N50" i="4" s="1"/>
  <c r="W42" i="4"/>
  <c r="M42" i="4" s="1"/>
  <c r="N42" i="4" s="1"/>
  <c r="W194" i="4"/>
  <c r="W154" i="4"/>
  <c r="M154" i="4" s="1"/>
  <c r="N154" i="4" s="1"/>
  <c r="W94" i="4"/>
  <c r="M94" i="4" s="1"/>
  <c r="N94" i="4" s="1"/>
  <c r="W78" i="4"/>
  <c r="M78" i="4" s="1"/>
  <c r="N78" i="4" s="1"/>
  <c r="W220" i="4"/>
  <c r="M220" i="4" s="1"/>
  <c r="N220" i="4" s="1"/>
  <c r="W124" i="4"/>
  <c r="M124" i="4" s="1"/>
  <c r="N124" i="4" s="1"/>
  <c r="W28" i="4"/>
  <c r="M28" i="4" s="1"/>
  <c r="W234" i="4"/>
  <c r="M234" i="4" s="1"/>
  <c r="W202" i="4"/>
  <c r="M202" i="4" s="1"/>
  <c r="W198" i="4"/>
  <c r="M198" i="4" s="1"/>
  <c r="N198" i="4" s="1"/>
  <c r="W186" i="4"/>
  <c r="M186" i="4" s="1"/>
  <c r="N186" i="4" s="1"/>
  <c r="W162" i="4"/>
  <c r="M162" i="4" s="1"/>
  <c r="N162" i="4" s="1"/>
  <c r="W146" i="4"/>
  <c r="M146" i="4" s="1"/>
  <c r="N146" i="4" s="1"/>
  <c r="W142" i="4"/>
  <c r="M142" i="4" s="1"/>
  <c r="W10" i="4"/>
  <c r="M10" i="4" s="1"/>
  <c r="W262" i="4"/>
  <c r="M262" i="4" s="1"/>
  <c r="N262" i="4" s="1"/>
  <c r="W166" i="4"/>
  <c r="X166" i="4" s="1"/>
  <c r="W130" i="4"/>
  <c r="M130" i="4" s="1"/>
  <c r="W126" i="4"/>
  <c r="M126" i="4" s="1"/>
  <c r="N126" i="4" s="1"/>
  <c r="W118" i="4"/>
  <c r="M118" i="4" s="1"/>
  <c r="N118" i="4" s="1"/>
  <c r="W110" i="4"/>
  <c r="M110" i="4" s="1"/>
  <c r="N110" i="4" s="1"/>
  <c r="W102" i="4"/>
  <c r="M102" i="4" s="1"/>
  <c r="N102" i="4" s="1"/>
  <c r="W62" i="4"/>
  <c r="M62" i="4" s="1"/>
  <c r="W38" i="4"/>
  <c r="M38" i="4" s="1"/>
  <c r="W30" i="4"/>
  <c r="M30" i="4" s="1"/>
  <c r="W6" i="4"/>
  <c r="M6" i="4" s="1"/>
  <c r="W188" i="4"/>
  <c r="M188" i="4" s="1"/>
  <c r="N188" i="4" s="1"/>
  <c r="W92" i="4"/>
  <c r="M92" i="4" s="1"/>
  <c r="N92" i="4" s="1"/>
  <c r="W12" i="4"/>
  <c r="M12" i="4" s="1"/>
  <c r="N12" i="4" s="1"/>
  <c r="W254" i="4"/>
  <c r="M254" i="4" s="1"/>
  <c r="N254" i="4" s="1"/>
  <c r="W242" i="4"/>
  <c r="W238" i="4"/>
  <c r="M238" i="4" s="1"/>
  <c r="W226" i="4"/>
  <c r="M226" i="4" s="1"/>
  <c r="N226" i="4" s="1"/>
  <c r="W170" i="4"/>
  <c r="M170" i="4" s="1"/>
  <c r="N170" i="4" s="1"/>
  <c r="W90" i="4"/>
  <c r="M90" i="4" s="1"/>
  <c r="W34" i="4"/>
  <c r="M34" i="4" s="1"/>
  <c r="W22" i="4"/>
  <c r="M22" i="4" s="1"/>
  <c r="N22" i="4" s="1"/>
  <c r="W14" i="4"/>
  <c r="M14" i="4" s="1"/>
  <c r="N14" i="4" s="1"/>
  <c r="W258" i="4"/>
  <c r="M258" i="4" s="1"/>
  <c r="N258" i="4" s="1"/>
  <c r="W246" i="4"/>
  <c r="M246" i="4" s="1"/>
  <c r="N246" i="4" s="1"/>
  <c r="W214" i="4"/>
  <c r="M214" i="4" s="1"/>
  <c r="W206" i="4"/>
  <c r="X206" i="4" s="1"/>
  <c r="W190" i="4"/>
  <c r="W178" i="4"/>
  <c r="X178" i="4" s="1"/>
  <c r="W138" i="4"/>
  <c r="M138" i="4" s="1"/>
  <c r="N138" i="4" s="1"/>
  <c r="W54" i="4"/>
  <c r="M54" i="4" s="1"/>
  <c r="N54" i="4" s="1"/>
  <c r="W46" i="4"/>
  <c r="M46" i="4" s="1"/>
  <c r="N46" i="4" s="1"/>
  <c r="W18" i="4"/>
  <c r="M18" i="4" s="1"/>
  <c r="W252" i="4"/>
  <c r="M252" i="4" s="1"/>
  <c r="N252" i="4" s="1"/>
  <c r="W172" i="4"/>
  <c r="M172" i="4" s="1"/>
  <c r="N172" i="4" s="1"/>
  <c r="W76" i="4"/>
  <c r="M76" i="4" s="1"/>
  <c r="N76" i="4" s="1"/>
  <c r="W230" i="4"/>
  <c r="W174" i="4"/>
  <c r="M174" i="4" s="1"/>
  <c r="N174" i="4" s="1"/>
  <c r="W106" i="4"/>
  <c r="M106" i="4" s="1"/>
  <c r="W98" i="4"/>
  <c r="M98" i="4" s="1"/>
  <c r="N98" i="4" s="1"/>
  <c r="W82" i="4"/>
  <c r="M82" i="4" s="1"/>
  <c r="N82" i="4" s="1"/>
  <c r="W74" i="4"/>
  <c r="M74" i="4" s="1"/>
  <c r="N74" i="4" s="1"/>
  <c r="W150" i="4"/>
  <c r="M150" i="4" s="1"/>
  <c r="N150" i="4" s="1"/>
  <c r="W86" i="4"/>
  <c r="M86" i="4" s="1"/>
  <c r="N86" i="4" s="1"/>
  <c r="W70" i="4"/>
  <c r="M70" i="4" s="1"/>
  <c r="W26" i="4"/>
  <c r="M26" i="4" s="1"/>
  <c r="N26" i="4" s="1"/>
  <c r="R2" i="4"/>
  <c r="L2" i="4"/>
  <c r="V819" i="4" l="1"/>
  <c r="V1168" i="4"/>
  <c r="U1890" i="4"/>
  <c r="S1041" i="4"/>
  <c r="V1041" i="4" s="1"/>
  <c r="U1254" i="4"/>
  <c r="U1165" i="4"/>
  <c r="U1083" i="4"/>
  <c r="S762" i="4"/>
  <c r="U1461" i="4"/>
  <c r="U1731" i="4"/>
  <c r="U783" i="4"/>
  <c r="U899" i="4"/>
  <c r="U1207" i="4"/>
  <c r="U853" i="4"/>
  <c r="S787" i="4"/>
  <c r="V787" i="4" s="1"/>
  <c r="T1401" i="4"/>
  <c r="S1443" i="4"/>
  <c r="T1443" i="4" s="1"/>
  <c r="U813" i="4"/>
  <c r="U871" i="4"/>
  <c r="V1148" i="4"/>
  <c r="U1726" i="4"/>
  <c r="U1528" i="4"/>
  <c r="S1438" i="4"/>
  <c r="S1476" i="4" s="1"/>
  <c r="V1476" i="4" s="1"/>
  <c r="U1810" i="4"/>
  <c r="U1715" i="4"/>
  <c r="U1574" i="4"/>
  <c r="U1796" i="4"/>
  <c r="S840" i="4"/>
  <c r="S848" i="4" s="1"/>
  <c r="V848" i="4" s="1"/>
  <c r="S965" i="4"/>
  <c r="T965" i="4" s="1"/>
  <c r="S1098" i="4"/>
  <c r="U901" i="4"/>
  <c r="U789" i="4"/>
  <c r="S789" i="4" s="1"/>
  <c r="V789" i="4" s="1"/>
  <c r="U1600" i="4"/>
  <c r="U1566" i="4"/>
  <c r="U907" i="4"/>
  <c r="U1321" i="4"/>
  <c r="U1430" i="4"/>
  <c r="U1262" i="4"/>
  <c r="U1030" i="4"/>
  <c r="U831" i="4"/>
  <c r="U1767" i="4"/>
  <c r="S836" i="4"/>
  <c r="V836" i="4" s="1"/>
  <c r="U1702" i="4"/>
  <c r="S1785" i="4"/>
  <c r="V1785" i="4" s="1"/>
  <c r="S1256" i="4"/>
  <c r="S1657" i="4" s="1"/>
  <c r="V1657" i="4" s="1"/>
  <c r="U1281" i="4"/>
  <c r="S853" i="4"/>
  <c r="V853" i="4" s="1"/>
  <c r="U983" i="4"/>
  <c r="U1511" i="4"/>
  <c r="S1124" i="4"/>
  <c r="V1124" i="4" s="1"/>
  <c r="V1098" i="4"/>
  <c r="T1111" i="4"/>
  <c r="S1123" i="4"/>
  <c r="T1123" i="4" s="1"/>
  <c r="S901" i="4"/>
  <c r="V901" i="4" s="1"/>
  <c r="U1437" i="4"/>
  <c r="U1347" i="4"/>
  <c r="U1192" i="4"/>
  <c r="U862" i="4"/>
  <c r="U829" i="4"/>
  <c r="U1783" i="4"/>
  <c r="U1740" i="4"/>
  <c r="U1624" i="4"/>
  <c r="U1487" i="4"/>
  <c r="U1448" i="4"/>
  <c r="U1293" i="4"/>
  <c r="U1234" i="4"/>
  <c r="U1189" i="4"/>
  <c r="U1155" i="4"/>
  <c r="U947" i="4"/>
  <c r="U854" i="4"/>
  <c r="S1890" i="4"/>
  <c r="T1890" i="4" s="1"/>
  <c r="U894" i="4"/>
  <c r="U824" i="4"/>
  <c r="U1679" i="4"/>
  <c r="U1358" i="4"/>
  <c r="U849" i="4"/>
  <c r="U861" i="4"/>
  <c r="U1893" i="4"/>
  <c r="V799" i="4"/>
  <c r="S1891" i="4"/>
  <c r="V1891" i="4" s="1"/>
  <c r="V868" i="4"/>
  <c r="S1593" i="4"/>
  <c r="V1593" i="4" s="1"/>
  <c r="S900" i="4"/>
  <c r="V900" i="4" s="1"/>
  <c r="S817" i="4"/>
  <c r="V817" i="4" s="1"/>
  <c r="S861" i="4"/>
  <c r="V861" i="4" s="1"/>
  <c r="S1497" i="4"/>
  <c r="V1497" i="4" s="1"/>
  <c r="S777" i="4"/>
  <c r="T777" i="4" s="1"/>
  <c r="T817" i="4"/>
  <c r="T1615" i="4"/>
  <c r="U931" i="4"/>
  <c r="S931" i="4" s="1"/>
  <c r="U891" i="4"/>
  <c r="U826" i="4"/>
  <c r="U804" i="4"/>
  <c r="U765" i="4"/>
  <c r="U989" i="4"/>
  <c r="U884" i="4"/>
  <c r="U1241" i="4"/>
  <c r="U866" i="4"/>
  <c r="T1886" i="4"/>
  <c r="T1891" i="4"/>
  <c r="Q1886" i="4"/>
  <c r="Q1891" i="4"/>
  <c r="V1656" i="4"/>
  <c r="S875" i="4"/>
  <c r="V875" i="4" s="1"/>
  <c r="T1894" i="4"/>
  <c r="Q1894" i="4"/>
  <c r="U1894" i="4"/>
  <c r="Q1892" i="4"/>
  <c r="U1892" i="4"/>
  <c r="S1715" i="4"/>
  <c r="T1717" i="4" s="1"/>
  <c r="U1385" i="4"/>
  <c r="S1067" i="4"/>
  <c r="U795" i="4"/>
  <c r="S1219" i="4"/>
  <c r="S1288" i="4" s="1"/>
  <c r="V1288" i="4" s="1"/>
  <c r="Q1888" i="4"/>
  <c r="U1888" i="4"/>
  <c r="Q1884" i="4"/>
  <c r="U1884" i="4"/>
  <c r="Q1883" i="4"/>
  <c r="U1883" i="4"/>
  <c r="Q1887" i="4"/>
  <c r="U1887" i="4"/>
  <c r="Q1882" i="4"/>
  <c r="U1882" i="4"/>
  <c r="Q1881" i="4"/>
  <c r="U1881" i="4"/>
  <c r="Q1885" i="4"/>
  <c r="U1885" i="4"/>
  <c r="Q1879" i="4"/>
  <c r="U1879" i="4"/>
  <c r="Q1880" i="4"/>
  <c r="U1880" i="4"/>
  <c r="Q1889" i="4"/>
  <c r="U1889" i="4"/>
  <c r="S1076" i="4"/>
  <c r="V1067" i="4"/>
  <c r="S1185" i="4"/>
  <c r="V1185" i="4" s="1"/>
  <c r="U780" i="4"/>
  <c r="U844" i="4"/>
  <c r="U821" i="4"/>
  <c r="S834" i="4"/>
  <c r="S915" i="4" s="1"/>
  <c r="T1029" i="4"/>
  <c r="S1078" i="4"/>
  <c r="S1502" i="4"/>
  <c r="S810" i="4"/>
  <c r="S821" i="4" s="1"/>
  <c r="T1878" i="4"/>
  <c r="O1875" i="4"/>
  <c r="O1872" i="4"/>
  <c r="O1876" i="4"/>
  <c r="O1873" i="4"/>
  <c r="O1877" i="4"/>
  <c r="O1874" i="4"/>
  <c r="O1878" i="4"/>
  <c r="Q1878" i="4"/>
  <c r="U1878" i="4"/>
  <c r="Q1874" i="4"/>
  <c r="U1874" i="4"/>
  <c r="U1872" i="4"/>
  <c r="Q1872" i="4"/>
  <c r="Q1873" i="4"/>
  <c r="U1873" i="4"/>
  <c r="Q1875" i="4"/>
  <c r="U1875" i="4"/>
  <c r="Q1877" i="4"/>
  <c r="U1877" i="4"/>
  <c r="Q1876" i="4"/>
  <c r="U1876" i="4"/>
  <c r="T1502" i="4"/>
  <c r="V1502" i="4"/>
  <c r="S818" i="4"/>
  <c r="S827" i="4" s="1"/>
  <c r="S1205" i="4"/>
  <c r="V1205" i="4" s="1"/>
  <c r="S1611" i="4"/>
  <c r="T1693" i="4" s="1"/>
  <c r="S1243" i="4"/>
  <c r="V1243" i="4" s="1"/>
  <c r="V1206" i="4"/>
  <c r="S1513" i="4"/>
  <c r="V1513" i="4" s="1"/>
  <c r="V1123" i="4"/>
  <c r="S788" i="4"/>
  <c r="V788" i="4" s="1"/>
  <c r="S1594" i="4"/>
  <c r="V1594" i="4" s="1"/>
  <c r="S1766" i="4"/>
  <c r="V1766" i="4" s="1"/>
  <c r="V1219" i="4"/>
  <c r="V895" i="4"/>
  <c r="S1380" i="4"/>
  <c r="S1393" i="4" s="1"/>
  <c r="V1393" i="4" s="1"/>
  <c r="S864" i="4"/>
  <c r="V864" i="4" s="1"/>
  <c r="S805" i="4"/>
  <c r="U775" i="4"/>
  <c r="S870" i="4"/>
  <c r="S888" i="4" s="1"/>
  <c r="S1708" i="4"/>
  <c r="V1708" i="4" s="1"/>
  <c r="Q1861" i="4"/>
  <c r="U1861" i="4"/>
  <c r="Q1863" i="4"/>
  <c r="U1863" i="4"/>
  <c r="Q1864" i="4"/>
  <c r="U1864" i="4"/>
  <c r="U1870" i="4"/>
  <c r="Q1869" i="4"/>
  <c r="U1869" i="4"/>
  <c r="Q1870" i="4"/>
  <c r="Q1867" i="4"/>
  <c r="U1867" i="4"/>
  <c r="Q1859" i="4"/>
  <c r="U1859" i="4"/>
  <c r="Q1858" i="4"/>
  <c r="U1858" i="4"/>
  <c r="Q1862" i="4"/>
  <c r="U1862" i="4"/>
  <c r="Q1857" i="4"/>
  <c r="U1857" i="4"/>
  <c r="Q1871" i="4"/>
  <c r="U1871" i="4"/>
  <c r="S477" i="4"/>
  <c r="Q1868" i="4"/>
  <c r="Q1866" i="4"/>
  <c r="U1866" i="4"/>
  <c r="U1868" i="4"/>
  <c r="S1253" i="4"/>
  <c r="S1290" i="4" s="1"/>
  <c r="U1856" i="4"/>
  <c r="Q1849" i="4"/>
  <c r="U1849" i="4"/>
  <c r="Q1856" i="4"/>
  <c r="Q1852" i="4"/>
  <c r="Q1865" i="4"/>
  <c r="U1852" i="4"/>
  <c r="U1865" i="4"/>
  <c r="Q1855" i="4"/>
  <c r="U1855" i="4"/>
  <c r="U1851" i="4"/>
  <c r="Q1854" i="4"/>
  <c r="U1854" i="4"/>
  <c r="Q1851" i="4"/>
  <c r="Q1860" i="4"/>
  <c r="U1860" i="4"/>
  <c r="U169" i="4"/>
  <c r="Q1853" i="4"/>
  <c r="U1853" i="4"/>
  <c r="U1850" i="4"/>
  <c r="Q1850" i="4"/>
  <c r="S1487" i="4"/>
  <c r="V1487" i="4" s="1"/>
  <c r="S877" i="4"/>
  <c r="S892" i="4" s="1"/>
  <c r="S893" i="4" s="1"/>
  <c r="V893" i="4" s="1"/>
  <c r="S972" i="4"/>
  <c r="S1022" i="4" s="1"/>
  <c r="S1143" i="4"/>
  <c r="V1143" i="4" s="1"/>
  <c r="S1005" i="4"/>
  <c r="V1005" i="4" s="1"/>
  <c r="S951" i="4"/>
  <c r="S979" i="4" s="1"/>
  <c r="V840" i="4"/>
  <c r="S1537" i="4"/>
  <c r="T1537" i="4" s="1"/>
  <c r="S1104" i="4"/>
  <c r="V1104" i="4" s="1"/>
  <c r="T943" i="4"/>
  <c r="V1715" i="4"/>
  <c r="U622" i="4"/>
  <c r="T1030" i="4"/>
  <c r="S1059" i="4"/>
  <c r="V1085" i="4"/>
  <c r="S1518" i="4"/>
  <c r="V1518" i="4" s="1"/>
  <c r="S794" i="4"/>
  <c r="S837" i="4" s="1"/>
  <c r="S1244" i="4"/>
  <c r="S1316" i="4" s="1"/>
  <c r="V1443" i="4"/>
  <c r="S860" i="4"/>
  <c r="V860" i="4" s="1"/>
  <c r="S1186" i="4"/>
  <c r="V1186" i="4" s="1"/>
  <c r="S1700" i="4"/>
  <c r="T1701" i="4" s="1"/>
  <c r="S1724" i="4"/>
  <c r="T1731" i="4" s="1"/>
  <c r="V1250" i="4"/>
  <c r="V1066" i="4"/>
  <c r="V1256" i="4"/>
  <c r="S1600" i="4"/>
  <c r="V1600" i="4" s="1"/>
  <c r="S812" i="4"/>
  <c r="V812" i="4" s="1"/>
  <c r="T1300" i="4"/>
  <c r="S1331" i="4"/>
  <c r="V1331" i="4" s="1"/>
  <c r="V1286" i="4"/>
  <c r="S620" i="4"/>
  <c r="U563" i="4"/>
  <c r="U1839" i="4"/>
  <c r="U1847" i="4"/>
  <c r="U1841" i="4"/>
  <c r="U596" i="4"/>
  <c r="V1537" i="4"/>
  <c r="V1611" i="4"/>
  <c r="S1364" i="4"/>
  <c r="S1220" i="4"/>
  <c r="S924" i="4"/>
  <c r="S939" i="4" s="1"/>
  <c r="V1076" i="4"/>
  <c r="S1101" i="4"/>
  <c r="V1101" i="4" s="1"/>
  <c r="T1312" i="4"/>
  <c r="S1320" i="4"/>
  <c r="V1320" i="4" s="1"/>
  <c r="V1265" i="4"/>
  <c r="S1127" i="4"/>
  <c r="V1127" i="4" s="1"/>
  <c r="S800" i="4"/>
  <c r="V800" i="4" s="1"/>
  <c r="Q1842" i="4"/>
  <c r="Q1843" i="4"/>
  <c r="Q1844" i="4"/>
  <c r="S982" i="4"/>
  <c r="V982" i="4" s="1"/>
  <c r="S1632" i="4"/>
  <c r="S857" i="4"/>
  <c r="S878" i="4"/>
  <c r="S1113" i="4"/>
  <c r="U1842" i="4"/>
  <c r="U1848" i="4"/>
  <c r="S1359" i="4"/>
  <c r="S1239" i="4"/>
  <c r="U1843" i="4"/>
  <c r="U1840" i="4"/>
  <c r="V1253" i="4"/>
  <c r="S1482" i="4"/>
  <c r="U1845" i="4"/>
  <c r="Q1847" i="4"/>
  <c r="V1380" i="4"/>
  <c r="S1447" i="4"/>
  <c r="T1455" i="4" s="1"/>
  <c r="S1174" i="4"/>
  <c r="V1174" i="4" s="1"/>
  <c r="S1705" i="4"/>
  <c r="S1354" i="4"/>
  <c r="S1258" i="4"/>
  <c r="V1258" i="4" s="1"/>
  <c r="U1846" i="4"/>
  <c r="U1844" i="4"/>
  <c r="Q1840" i="4"/>
  <c r="Q1839" i="4"/>
  <c r="Q1848" i="4"/>
  <c r="Q1845" i="4"/>
  <c r="Q1841" i="4"/>
  <c r="Q1846" i="4"/>
  <c r="T874" i="4"/>
  <c r="T875" i="4"/>
  <c r="T877" i="4"/>
  <c r="T892" i="4"/>
  <c r="T893" i="4"/>
  <c r="T912" i="4"/>
  <c r="T917" i="4"/>
  <c r="T962" i="4"/>
  <c r="T1000" i="4"/>
  <c r="T976" i="4"/>
  <c r="T1005" i="4"/>
  <c r="T1263" i="4"/>
  <c r="T1315" i="4"/>
  <c r="T1310" i="4"/>
  <c r="T1311" i="4"/>
  <c r="T1265" i="4"/>
  <c r="T1317" i="4"/>
  <c r="T1314" i="4"/>
  <c r="T1313" i="4"/>
  <c r="T898" i="4"/>
  <c r="T930" i="4"/>
  <c r="T1352" i="4"/>
  <c r="T1374" i="4"/>
  <c r="T1369" i="4"/>
  <c r="T1380" i="4"/>
  <c r="T1393" i="4"/>
  <c r="T776" i="4"/>
  <c r="T785" i="4"/>
  <c r="T787" i="4"/>
  <c r="T1164" i="4"/>
  <c r="T1166" i="4"/>
  <c r="T1208" i="4"/>
  <c r="T1343" i="4"/>
  <c r="T1351" i="4"/>
  <c r="T1288" i="4"/>
  <c r="T1219" i="4"/>
  <c r="T1296" i="4"/>
  <c r="T1364" i="4"/>
  <c r="T1447" i="4"/>
  <c r="T1407" i="4"/>
  <c r="T1088" i="4"/>
  <c r="T1098" i="4"/>
  <c r="T1124" i="4"/>
  <c r="T1110" i="4"/>
  <c r="T1107" i="4"/>
  <c r="T1204" i="4"/>
  <c r="T764" i="4"/>
  <c r="T792" i="4"/>
  <c r="T803" i="4"/>
  <c r="T800" i="4"/>
  <c r="T1252" i="4"/>
  <c r="T1643" i="4"/>
  <c r="T1256" i="4"/>
  <c r="T1657" i="4"/>
  <c r="T1659" i="4"/>
  <c r="T1700" i="4"/>
  <c r="T1159" i="4"/>
  <c r="T1172" i="4"/>
  <c r="T1182" i="4"/>
  <c r="T1205" i="4"/>
  <c r="T1519" i="4"/>
  <c r="T1591" i="4"/>
  <c r="T1583" i="4"/>
  <c r="T1569" i="4"/>
  <c r="T1555" i="4"/>
  <c r="T1589" i="4"/>
  <c r="T1626" i="4"/>
  <c r="T1611" i="4"/>
  <c r="T1705" i="4"/>
  <c r="T1637" i="4"/>
  <c r="T1634" i="4"/>
  <c r="T1593" i="4"/>
  <c r="T1619" i="4"/>
  <c r="T1625" i="4"/>
  <c r="T1687" i="4"/>
  <c r="T1432" i="4"/>
  <c r="T1460" i="4"/>
  <c r="T1402" i="4"/>
  <c r="T1422" i="4"/>
  <c r="T1642" i="4"/>
  <c r="T1649" i="4"/>
  <c r="T1656" i="4"/>
  <c r="T1712" i="4"/>
  <c r="T1658" i="4"/>
  <c r="T1666" i="4"/>
  <c r="T1724" i="4"/>
  <c r="T1715" i="4"/>
  <c r="T1027" i="4"/>
  <c r="T1035" i="4"/>
  <c r="T1299" i="4"/>
  <c r="T1340" i="4"/>
  <c r="T1427" i="4"/>
  <c r="T1381" i="4"/>
  <c r="T1354" i="4"/>
  <c r="T1071" i="4"/>
  <c r="T1128" i="4"/>
  <c r="T855" i="4"/>
  <c r="T868" i="4"/>
  <c r="T896" i="4"/>
  <c r="T901" i="4"/>
  <c r="T767" i="4"/>
  <c r="T784" i="4"/>
  <c r="T789" i="4"/>
  <c r="T1227" i="4"/>
  <c r="T1260" i="4"/>
  <c r="T1491" i="4"/>
  <c r="T1497" i="4"/>
  <c r="T1518" i="4"/>
  <c r="T1536" i="4"/>
  <c r="T1514" i="4"/>
  <c r="T1457" i="4"/>
  <c r="T1461" i="4"/>
  <c r="T1594" i="4"/>
  <c r="T1698" i="4"/>
  <c r="T1677" i="4"/>
  <c r="T1681" i="4"/>
  <c r="T1193" i="4"/>
  <c r="T1206" i="4"/>
  <c r="T1210" i="4"/>
  <c r="T1215" i="4"/>
  <c r="T1220" i="4"/>
  <c r="T1040" i="4"/>
  <c r="T1049" i="4"/>
  <c r="T1045" i="4"/>
  <c r="T1077" i="4"/>
  <c r="T1085" i="4"/>
  <c r="T1632" i="4"/>
  <c r="T816" i="4"/>
  <c r="T820" i="4"/>
  <c r="T835" i="4"/>
  <c r="T1170" i="4"/>
  <c r="T1181" i="4"/>
  <c r="T1327" i="4"/>
  <c r="T1224" i="4"/>
  <c r="T1232" i="4"/>
  <c r="T1359" i="4"/>
  <c r="T1139" i="4"/>
  <c r="T1152" i="4"/>
  <c r="T1241" i="4"/>
  <c r="T1148" i="4"/>
  <c r="T1243" i="4"/>
  <c r="T887" i="4"/>
  <c r="T891" i="4"/>
  <c r="T900" i="4"/>
  <c r="T831" i="4"/>
  <c r="T867" i="4"/>
  <c r="T836" i="4"/>
  <c r="T864" i="4"/>
  <c r="T1463" i="4"/>
  <c r="T1482" i="4"/>
  <c r="T1109" i="4"/>
  <c r="T1161" i="4"/>
  <c r="T1168" i="4"/>
  <c r="T1174" i="4"/>
  <c r="T1171" i="4"/>
  <c r="T808" i="4"/>
  <c r="T911" i="4"/>
  <c r="T869" i="4"/>
  <c r="T938" i="4"/>
  <c r="T772" i="4"/>
  <c r="T1308" i="4"/>
  <c r="T778" i="4"/>
  <c r="T1415" i="4"/>
  <c r="T991" i="4"/>
  <c r="T851" i="4"/>
  <c r="T1604" i="4"/>
  <c r="T1198" i="4"/>
  <c r="T1598" i="4"/>
  <c r="T1178" i="4"/>
  <c r="T1425" i="4"/>
  <c r="T1338" i="4"/>
  <c r="T1146" i="4"/>
  <c r="T1621" i="4"/>
  <c r="T981" i="4"/>
  <c r="T1708" i="4"/>
  <c r="T1490" i="4"/>
  <c r="T1524" i="4"/>
  <c r="T1417" i="4"/>
  <c r="T1421" i="4"/>
  <c r="T1428" i="4"/>
  <c r="T1430" i="4"/>
  <c r="T1454" i="4"/>
  <c r="T1570" i="4"/>
  <c r="T1600" i="4"/>
  <c r="T1803" i="4"/>
  <c r="T1236" i="4"/>
  <c r="T1286" i="4"/>
  <c r="T1250" i="4"/>
  <c r="T1264" i="4"/>
  <c r="T1257" i="4"/>
  <c r="T1276" i="4"/>
  <c r="T1331" i="4"/>
  <c r="T1039" i="4"/>
  <c r="T1041" i="4"/>
  <c r="T1050" i="4"/>
  <c r="T1047" i="4"/>
  <c r="T1143" i="4"/>
  <c r="T1239" i="4"/>
  <c r="T1234" i="4"/>
  <c r="T1281" i="4"/>
  <c r="T1282" i="4"/>
  <c r="T786" i="4"/>
  <c r="T799" i="4"/>
  <c r="T890" i="4"/>
  <c r="T1777" i="4"/>
  <c r="T1785" i="4"/>
  <c r="T1137" i="4"/>
  <c r="T1173" i="4"/>
  <c r="T1141" i="4"/>
  <c r="T1185" i="4"/>
  <c r="T1191" i="4"/>
  <c r="T1061" i="4"/>
  <c r="T1066" i="4"/>
  <c r="T1082" i="4"/>
  <c r="T1100" i="4"/>
  <c r="T1125" i="4"/>
  <c r="T1104" i="4"/>
  <c r="T1149" i="4"/>
  <c r="T1187" i="4"/>
  <c r="T1147" i="4"/>
  <c r="T791" i="4"/>
  <c r="T802" i="4"/>
  <c r="T856" i="4"/>
  <c r="T819" i="4"/>
  <c r="T860" i="4"/>
  <c r="T807" i="4"/>
  <c r="T779" i="4"/>
  <c r="T771" i="4"/>
  <c r="T852" i="4"/>
  <c r="T881" i="4"/>
  <c r="T853" i="4"/>
  <c r="T982" i="4"/>
  <c r="T763" i="4"/>
  <c r="T768" i="4"/>
  <c r="T861" i="4"/>
  <c r="T1793" i="4"/>
  <c r="T1795" i="4"/>
  <c r="T1438" i="4"/>
  <c r="T1476" i="4"/>
  <c r="T1396" i="4"/>
  <c r="T1487" i="4"/>
  <c r="T1254" i="4"/>
  <c r="T1248" i="4"/>
  <c r="T1262" i="4"/>
  <c r="T1258" i="4"/>
  <c r="T1165" i="4"/>
  <c r="T1195" i="4"/>
  <c r="T1167" i="4"/>
  <c r="T1230" i="4"/>
  <c r="T1253" i="4"/>
  <c r="T1157" i="4"/>
  <c r="T1169" i="4"/>
  <c r="T1138" i="4"/>
  <c r="T1156" i="4"/>
  <c r="T1186" i="4"/>
  <c r="T1048" i="4"/>
  <c r="T1055" i="4"/>
  <c r="T1067" i="4"/>
  <c r="T1076" i="4"/>
  <c r="T1101" i="4"/>
  <c r="T1083" i="4"/>
  <c r="T815" i="4"/>
  <c r="T876" i="4"/>
  <c r="T834" i="4"/>
  <c r="T806" i="4"/>
  <c r="T810" i="4"/>
  <c r="T790" i="4"/>
  <c r="T814" i="4"/>
  <c r="T840" i="4"/>
  <c r="T848" i="4"/>
  <c r="T857" i="4"/>
  <c r="T762" i="4"/>
  <c r="T781" i="4"/>
  <c r="T783" i="4"/>
  <c r="T780" i="4"/>
  <c r="T788" i="4"/>
  <c r="T1743" i="4"/>
  <c r="T1744" i="4"/>
  <c r="T1763" i="4"/>
  <c r="T1766" i="4"/>
  <c r="T1752" i="4"/>
  <c r="T1759" i="4"/>
  <c r="T1494" i="4"/>
  <c r="T1523" i="4"/>
  <c r="T1513" i="4"/>
  <c r="T1431" i="4"/>
  <c r="T1444" i="4"/>
  <c r="T1237" i="4"/>
  <c r="T1269" i="4"/>
  <c r="T1303" i="4"/>
  <c r="T1277" i="4"/>
  <c r="T1244" i="4"/>
  <c r="T1266" i="4"/>
  <c r="T1283" i="4"/>
  <c r="T1112" i="4"/>
  <c r="T1127" i="4"/>
  <c r="T947" i="4"/>
  <c r="T992" i="4"/>
  <c r="T1015" i="4"/>
  <c r="T972" i="4"/>
  <c r="T1011" i="4"/>
  <c r="T988" i="4"/>
  <c r="T865" i="4"/>
  <c r="T899" i="4"/>
  <c r="T904" i="4"/>
  <c r="T926" i="4"/>
  <c r="T929" i="4"/>
  <c r="T951" i="4"/>
  <c r="T958" i="4"/>
  <c r="T964" i="4"/>
  <c r="T842" i="4"/>
  <c r="T863" i="4"/>
  <c r="T854" i="4"/>
  <c r="T870" i="4"/>
  <c r="T882" i="4"/>
  <c r="T813" i="4"/>
  <c r="T825" i="4"/>
  <c r="T824" i="4"/>
  <c r="T805" i="4"/>
  <c r="T812" i="4"/>
  <c r="T826" i="4"/>
  <c r="T770" i="4"/>
  <c r="T1668" i="4"/>
  <c r="T1526" i="4"/>
  <c r="T1144" i="4"/>
  <c r="T1801" i="4"/>
  <c r="T1709" i="4"/>
  <c r="T1696" i="4"/>
  <c r="T1337" i="4"/>
  <c r="T1131" i="4"/>
  <c r="T989" i="4"/>
  <c r="T1579" i="4"/>
  <c r="T1471" i="4"/>
  <c r="T1622" i="4"/>
  <c r="T1755" i="4"/>
  <c r="T1684" i="4"/>
  <c r="T1585" i="4"/>
  <c r="T796" i="4"/>
  <c r="T849" i="4"/>
  <c r="T1690" i="4"/>
  <c r="T1812" i="4"/>
  <c r="T1413" i="4"/>
  <c r="T1671" i="4"/>
  <c r="T1488" i="4"/>
  <c r="T983" i="4"/>
  <c r="T1179" i="4"/>
  <c r="T775" i="4"/>
  <c r="T1196" i="4"/>
  <c r="T1676" i="4"/>
  <c r="T1510" i="4"/>
  <c r="T1596" i="4"/>
  <c r="T1562" i="4"/>
  <c r="T879" i="4"/>
  <c r="T1722" i="4"/>
  <c r="T1602" i="4"/>
  <c r="T1307" i="4"/>
  <c r="T1394" i="4"/>
  <c r="T1735" i="4"/>
  <c r="T1665" i="4"/>
  <c r="T1423" i="4"/>
  <c r="T1070" i="4"/>
  <c r="T766" i="4"/>
  <c r="T823" i="4"/>
  <c r="T773" i="4"/>
  <c r="T794" i="4"/>
  <c r="T832" i="4"/>
  <c r="T761" i="4"/>
  <c r="T782" i="4"/>
  <c r="T1782" i="4"/>
  <c r="T1756" i="4"/>
  <c r="T1770" i="4"/>
  <c r="T1727" i="4"/>
  <c r="T850" i="4"/>
  <c r="T1527" i="4"/>
  <c r="T1563" i="4"/>
  <c r="T1580" i="4"/>
  <c r="T1197" i="4"/>
  <c r="T966" i="4"/>
  <c r="T1623" i="4"/>
  <c r="T1382" i="4"/>
  <c r="T910" i="4"/>
  <c r="T1603" i="4"/>
  <c r="T1721" i="4"/>
  <c r="T1664" i="4"/>
  <c r="T1697" i="4"/>
  <c r="T1757" i="4"/>
  <c r="T1489" i="4"/>
  <c r="T1710" i="4"/>
  <c r="T1478" i="4"/>
  <c r="T1718" i="4"/>
  <c r="T1134" i="4"/>
  <c r="T1788" i="4"/>
  <c r="T1685" i="4"/>
  <c r="T1509" i="4"/>
  <c r="T1512" i="4"/>
  <c r="T1180" i="4"/>
  <c r="T1008" i="4"/>
  <c r="T1319" i="4"/>
  <c r="T880" i="4"/>
  <c r="T1813" i="4"/>
  <c r="T1274" i="4"/>
  <c r="T1792" i="4"/>
  <c r="T801" i="4"/>
  <c r="T1395" i="4"/>
  <c r="T1672" i="4"/>
  <c r="T1691" i="4"/>
  <c r="T1336" i="4"/>
  <c r="T795" i="4"/>
  <c r="T1734" i="4"/>
  <c r="T1669" i="4"/>
  <c r="T1716" i="4"/>
  <c r="T1414" i="4"/>
  <c r="T1470" i="4"/>
  <c r="T1130" i="4"/>
  <c r="T1762" i="4"/>
  <c r="T990" i="4"/>
  <c r="T1424" i="4"/>
  <c r="T830" i="4"/>
  <c r="T797" i="4"/>
  <c r="T984" i="4"/>
  <c r="T1802" i="4"/>
  <c r="T1769" i="4"/>
  <c r="T1586" i="4"/>
  <c r="T1675" i="4"/>
  <c r="T1261" i="4"/>
  <c r="T1820" i="4"/>
  <c r="T1597" i="4"/>
  <c r="T1306" i="4"/>
  <c r="T1069" i="4"/>
  <c r="T1145" i="4"/>
  <c r="T769" i="4"/>
  <c r="T1305" i="4"/>
  <c r="T953" i="4"/>
  <c r="T822" i="4"/>
  <c r="T774" i="4"/>
  <c r="Q1335" i="4"/>
  <c r="Q1207" i="4"/>
  <c r="Q1083" i="4"/>
  <c r="Q1055" i="4"/>
  <c r="Q1631" i="4"/>
  <c r="Q1560" i="4"/>
  <c r="Q1231" i="4"/>
  <c r="Q1067" i="4"/>
  <c r="Q1496" i="4"/>
  <c r="Q1451" i="4"/>
  <c r="Q1506" i="4"/>
  <c r="Q1551" i="4"/>
  <c r="Q1477" i="4"/>
  <c r="Q1048" i="4"/>
  <c r="Q1105" i="4"/>
  <c r="Q1645" i="4"/>
  <c r="Q1101" i="4"/>
  <c r="Q1385" i="4"/>
  <c r="Q1420" i="4"/>
  <c r="Q1076" i="4"/>
  <c r="Q1680" i="4"/>
  <c r="Q1373" i="4"/>
  <c r="Q1416" i="4"/>
  <c r="Q942" i="4"/>
  <c r="Q805" i="4"/>
  <c r="Q812" i="4"/>
  <c r="Q889" i="4"/>
  <c r="Q829" i="4"/>
  <c r="Q980" i="4"/>
  <c r="Q952" i="4"/>
  <c r="Q999" i="4"/>
  <c r="Q907" i="4"/>
  <c r="Q918" i="4"/>
  <c r="Q978" i="4"/>
  <c r="Q941" i="4"/>
  <c r="Q914" i="4"/>
  <c r="Q894" i="4"/>
  <c r="Q866" i="4"/>
  <c r="Q909" i="4"/>
  <c r="Q960" i="4"/>
  <c r="Q1007" i="4"/>
  <c r="Q847" i="4"/>
  <c r="Q862" i="4"/>
  <c r="Q826" i="4"/>
  <c r="Q928" i="4"/>
  <c r="Q1823" i="4"/>
  <c r="Q1821" i="4"/>
  <c r="Q927" i="4"/>
  <c r="Q1808" i="4"/>
  <c r="Q897" i="4"/>
  <c r="Q884" i="4"/>
  <c r="Q963" i="4"/>
  <c r="Q871" i="4"/>
  <c r="Q1364" i="4"/>
  <c r="Q1288" i="4"/>
  <c r="Q1455" i="4"/>
  <c r="Q1219" i="4"/>
  <c r="Q1296" i="4"/>
  <c r="Q1208" i="4"/>
  <c r="Q1351" i="4"/>
  <c r="Q1166" i="4"/>
  <c r="Q1464" i="4"/>
  <c r="Q1483" i="4"/>
  <c r="Q1447" i="4"/>
  <c r="Q1343" i="4"/>
  <c r="Q1590" i="4"/>
  <c r="Q1605" i="4"/>
  <c r="Q1164" i="4"/>
  <c r="Q1407" i="4"/>
  <c r="Q1678" i="4"/>
  <c r="Q1522" i="4"/>
  <c r="Q1390" i="4"/>
  <c r="Q1557" i="4"/>
  <c r="Q886" i="4"/>
  <c r="Q913" i="4"/>
  <c r="Q1127" i="4"/>
  <c r="Q1280" i="4"/>
  <c r="Q1400" i="4"/>
  <c r="Q1568" i="4"/>
  <c r="Q1155" i="4"/>
  <c r="Q1504" i="4"/>
  <c r="Q1507" i="4"/>
  <c r="Q1608" i="4"/>
  <c r="Q1559" i="4"/>
  <c r="Q1552" i="4"/>
  <c r="Q1216" i="4"/>
  <c r="Q1652" i="4"/>
  <c r="Q1772" i="4"/>
  <c r="Q1188" i="4"/>
  <c r="Q1617" i="4"/>
  <c r="Q1704" i="4"/>
  <c r="Q1440" i="4"/>
  <c r="Q1439" i="4"/>
  <c r="Q1189" i="4"/>
  <c r="Q1112" i="4"/>
  <c r="Q1753" i="4"/>
  <c r="Q1613" i="4"/>
  <c r="Q1655" i="4"/>
  <c r="Q1760" i="4"/>
  <c r="Q1771" i="4"/>
  <c r="Q1190" i="4"/>
  <c r="Q1396" i="4"/>
  <c r="Q1487" i="4"/>
  <c r="Q1674" i="4"/>
  <c r="Q1582" i="4"/>
  <c r="Q1683" i="4"/>
  <c r="Q1670" i="4"/>
  <c r="Q1561" i="4"/>
  <c r="Q1663" i="4"/>
  <c r="Q1587" i="4"/>
  <c r="Q1525" i="4"/>
  <c r="Q1720" i="4"/>
  <c r="Q1754" i="4"/>
  <c r="Q1733" i="4"/>
  <c r="Q1694" i="4"/>
  <c r="Q782" i="4"/>
  <c r="Q1813" i="4"/>
  <c r="Q795" i="4"/>
  <c r="Q1756" i="4"/>
  <c r="Q1509" i="4"/>
  <c r="Q1261" i="4"/>
  <c r="Q953" i="4"/>
  <c r="Q1664" i="4"/>
  <c r="Q1336" i="4"/>
  <c r="Q1008" i="4"/>
  <c r="Q880" i="4"/>
  <c r="Q1727" i="4"/>
  <c r="Q1603" i="4"/>
  <c r="Q1710" i="4"/>
  <c r="Q1382" i="4"/>
  <c r="Q1274" i="4"/>
  <c r="Q990" i="4"/>
  <c r="Q1770" i="4"/>
  <c r="Q1757" i="4"/>
  <c r="Q1820" i="4"/>
  <c r="Q1792" i="4"/>
  <c r="Q1697" i="4"/>
  <c r="Q1489" i="4"/>
  <c r="Q1691" i="4"/>
  <c r="Q1563" i="4"/>
  <c r="Q1395" i="4"/>
  <c r="Q1319" i="4"/>
  <c r="Q850" i="4"/>
  <c r="Q830" i="4"/>
  <c r="Q966" i="4"/>
  <c r="Q769" i="4"/>
  <c r="Q1802" i="4"/>
  <c r="Q1762" i="4"/>
  <c r="Q1721" i="4"/>
  <c r="Q1788" i="4"/>
  <c r="Q822" i="4"/>
  <c r="Q1734" i="4"/>
  <c r="Q1685" i="4"/>
  <c r="Q1597" i="4"/>
  <c r="Q1197" i="4"/>
  <c r="Q1069" i="4"/>
  <c r="Q1716" i="4"/>
  <c r="Q1512" i="4"/>
  <c r="Q1180" i="4"/>
  <c r="Q1675" i="4"/>
  <c r="Q1527" i="4"/>
  <c r="Q1478" i="4"/>
  <c r="Q1134" i="4"/>
  <c r="Q910" i="4"/>
  <c r="Q1718" i="4"/>
  <c r="Q1669" i="4"/>
  <c r="Q1305" i="4"/>
  <c r="Q1782" i="4"/>
  <c r="Q1145" i="4"/>
  <c r="Q1672" i="4"/>
  <c r="Q1580" i="4"/>
  <c r="Q1424" i="4"/>
  <c r="Q984" i="4"/>
  <c r="Q1623" i="4"/>
  <c r="Q1586" i="4"/>
  <c r="Q1470" i="4"/>
  <c r="Q1414" i="4"/>
  <c r="Q1306" i="4"/>
  <c r="Q1130" i="4"/>
  <c r="Q1769" i="4"/>
  <c r="Q774" i="4"/>
  <c r="Q801" i="4"/>
  <c r="Q797" i="4"/>
  <c r="Q761" i="4"/>
  <c r="Q851" i="4"/>
  <c r="Q772" i="4"/>
  <c r="Q1598" i="4"/>
  <c r="Q1800" i="4"/>
  <c r="Q1621" i="4"/>
  <c r="Q1415" i="4"/>
  <c r="Q1708" i="4"/>
  <c r="Q1604" i="4"/>
  <c r="Q1811" i="4"/>
  <c r="Q1425" i="4"/>
  <c r="Q981" i="4"/>
  <c r="Q1308" i="4"/>
  <c r="Q1338" i="4"/>
  <c r="Q1198" i="4"/>
  <c r="Q991" i="4"/>
  <c r="Q1178" i="4"/>
  <c r="Q778" i="4"/>
  <c r="Q1146" i="4"/>
  <c r="Q1160" i="4"/>
  <c r="Q1218" i="4"/>
  <c r="Q1014" i="4"/>
  <c r="Q781" i="4"/>
  <c r="Q1073" i="4"/>
  <c r="Q973" i="4"/>
  <c r="Q873" i="4"/>
  <c r="Q788" i="4"/>
  <c r="Q859" i="4"/>
  <c r="Q762" i="4"/>
  <c r="Q809" i="4"/>
  <c r="Q1121" i="4"/>
  <c r="Q993" i="4"/>
  <c r="Q1199" i="4"/>
  <c r="Q1135" i="4"/>
  <c r="Q1095" i="4"/>
  <c r="Q1051" i="4"/>
  <c r="Q1238" i="4"/>
  <c r="Q933" i="4"/>
  <c r="Q1044" i="4"/>
  <c r="Q1223" i="4"/>
  <c r="Q839" i="4"/>
  <c r="Q780" i="4"/>
  <c r="Q783" i="4"/>
  <c r="Q799" i="4"/>
  <c r="Q890" i="4"/>
  <c r="Q786" i="4"/>
  <c r="Q1193" i="4"/>
  <c r="Q1206" i="4"/>
  <c r="Q1242" i="4"/>
  <c r="Q1220" i="4"/>
  <c r="Q1215" i="4"/>
  <c r="Q1210" i="4"/>
  <c r="Q1233" i="4"/>
  <c r="Q1225" i="4"/>
  <c r="Q1272" i="4"/>
  <c r="Q1247" i="4"/>
  <c r="Q1240" i="4"/>
  <c r="Q1229" i="4"/>
  <c r="Q1279" i="4"/>
  <c r="Q1273" i="4"/>
  <c r="Q1284" i="4"/>
  <c r="Q869" i="4"/>
  <c r="Q911" i="4"/>
  <c r="Q808" i="4"/>
  <c r="Q938" i="4"/>
  <c r="S1517" i="4"/>
  <c r="Q1574" i="4"/>
  <c r="Q1517" i="4"/>
  <c r="Q1544" i="4"/>
  <c r="Q1595" i="4"/>
  <c r="Q1528" i="4"/>
  <c r="Q1534" i="4"/>
  <c r="S1533" i="4"/>
  <c r="Q1550" i="4"/>
  <c r="Q1545" i="4"/>
  <c r="Q1639" i="4"/>
  <c r="Q1566" i="4"/>
  <c r="Q1533" i="4"/>
  <c r="Q1576" i="4"/>
  <c r="Q1624" i="4"/>
  <c r="Q1556" i="4"/>
  <c r="S1581" i="4"/>
  <c r="Q1588" i="4"/>
  <c r="Q1695" i="4"/>
  <c r="Q1689" i="4"/>
  <c r="Q1667" i="4"/>
  <c r="Q1682" i="4"/>
  <c r="Q1581" i="4"/>
  <c r="Q1688" i="4"/>
  <c r="Q1263" i="4"/>
  <c r="Q1474" i="4"/>
  <c r="Q1265" i="4"/>
  <c r="Q1329" i="4"/>
  <c r="Q1313" i="4"/>
  <c r="Q1320" i="4"/>
  <c r="Q1315" i="4"/>
  <c r="Q1366" i="4"/>
  <c r="Q1399" i="4"/>
  <c r="Q1377" i="4"/>
  <c r="Q1376" i="4"/>
  <c r="Q1311" i="4"/>
  <c r="Q1310" i="4"/>
  <c r="Q1345" i="4"/>
  <c r="Q1348" i="4"/>
  <c r="Q1387" i="4"/>
  <c r="Q1426" i="4"/>
  <c r="Q1378" i="4"/>
  <c r="Q1314" i="4"/>
  <c r="Q1412" i="4"/>
  <c r="Q1312" i="4"/>
  <c r="Q1446" i="4"/>
  <c r="Q1317" i="4"/>
  <c r="Q1398" i="4"/>
  <c r="Q1411" i="4"/>
  <c r="Q1410" i="4"/>
  <c r="S1480" i="4"/>
  <c r="S1485" i="4" s="1"/>
  <c r="V1485" i="4" s="1"/>
  <c r="Q1480" i="4"/>
  <c r="Q1538" i="4"/>
  <c r="Q1503" i="4"/>
  <c r="Q1493" i="4"/>
  <c r="Q1516" i="4"/>
  <c r="Q1485" i="4"/>
  <c r="Q785" i="4"/>
  <c r="Q1404" i="4"/>
  <c r="Q1200" i="4"/>
  <c r="Q1120" i="4"/>
  <c r="Q1079" i="4"/>
  <c r="Q946" i="4"/>
  <c r="Q1117" i="4"/>
  <c r="Q776" i="4"/>
  <c r="Q1129" i="4"/>
  <c r="Q1116" i="4"/>
  <c r="Q1032" i="4"/>
  <c r="Q968" i="4"/>
  <c r="Q944" i="4"/>
  <c r="Q1342" i="4"/>
  <c r="Q787" i="4"/>
  <c r="Q1333" i="4"/>
  <c r="Q1360" i="4"/>
  <c r="Q1322" i="4"/>
  <c r="Q1002" i="4"/>
  <c r="Q934" i="4"/>
  <c r="Q1021" i="4"/>
  <c r="Q1356" i="4"/>
  <c r="Q1132" i="4"/>
  <c r="Q1092" i="4"/>
  <c r="Q1016" i="4"/>
  <c r="Q1043" i="4"/>
  <c r="Q1003" i="4"/>
  <c r="Q1154" i="4"/>
  <c r="Q798" i="4"/>
  <c r="Q1797" i="4"/>
  <c r="Q1764" i="4"/>
  <c r="Q1773" i="4"/>
  <c r="Q1794" i="4"/>
  <c r="Q1737" i="4"/>
  <c r="Q1081" i="4"/>
  <c r="Q1036" i="4"/>
  <c r="Q844" i="4"/>
  <c r="Q1211" i="4"/>
  <c r="Q794" i="4"/>
  <c r="Q1758" i="4"/>
  <c r="Q773" i="4"/>
  <c r="Q1009" i="4"/>
  <c r="Q1648" i="4"/>
  <c r="Q1184" i="4"/>
  <c r="Q1140" i="4"/>
  <c r="Q1004" i="4"/>
  <c r="Q1151" i="4"/>
  <c r="Q1662" i="4"/>
  <c r="Q1097" i="4"/>
  <c r="Q845" i="4"/>
  <c r="Q766" i="4"/>
  <c r="Q1033" i="4"/>
  <c r="Q969" i="4"/>
  <c r="Q1640" i="4"/>
  <c r="Q1096" i="4"/>
  <c r="Q1052" i="4"/>
  <c r="Q1020" i="4"/>
  <c r="Q832" i="4"/>
  <c r="Q923" i="4"/>
  <c r="Q1114" i="4"/>
  <c r="Q1115" i="4"/>
  <c r="Q1093" i="4"/>
  <c r="Q1653" i="4"/>
  <c r="Q1089" i="4"/>
  <c r="Q837" i="4"/>
  <c r="Q1064" i="4"/>
  <c r="Q956" i="4"/>
  <c r="Q936" i="4"/>
  <c r="Q1119" i="4"/>
  <c r="Q1102" i="4"/>
  <c r="Q1058" i="4"/>
  <c r="Q994" i="4"/>
  <c r="Q1057" i="4"/>
  <c r="Q823" i="4"/>
  <c r="Q815" i="4"/>
  <c r="Q834" i="4"/>
  <c r="Q940" i="4"/>
  <c r="Q876" i="4"/>
  <c r="Q915" i="4"/>
  <c r="Q950" i="4"/>
  <c r="Q831" i="4"/>
  <c r="Q864" i="4"/>
  <c r="Q883" i="4"/>
  <c r="Q948" i="4"/>
  <c r="Q937" i="4"/>
  <c r="Q836" i="4"/>
  <c r="Q867" i="4"/>
  <c r="Q967" i="4"/>
  <c r="Q955" i="4"/>
  <c r="Q917" i="4"/>
  <c r="Q912" i="4"/>
  <c r="Q924" i="4"/>
  <c r="Q939" i="4"/>
  <c r="Q962" i="4"/>
  <c r="Q1406" i="4"/>
  <c r="Q976" i="4"/>
  <c r="Q1370" i="4"/>
  <c r="Q1106" i="4"/>
  <c r="Q1126" i="4"/>
  <c r="Q1005" i="4"/>
  <c r="Q1194" i="4"/>
  <c r="Q1209" i="4"/>
  <c r="Q1006" i="4"/>
  <c r="Q1162" i="4"/>
  <c r="Q1000" i="4"/>
  <c r="Q1059" i="4"/>
  <c r="Q1030" i="4"/>
  <c r="Q1339" i="4"/>
  <c r="Q1318" i="4"/>
  <c r="Q1285" i="4"/>
  <c r="Q1248" i="4"/>
  <c r="Q1262" i="4"/>
  <c r="Q1505" i="4"/>
  <c r="Q1448" i="4"/>
  <c r="Q1346" i="4"/>
  <c r="Q1297" i="4"/>
  <c r="Q1403" i="4"/>
  <c r="Q1258" i="4"/>
  <c r="Q1321" i="4"/>
  <c r="Q1293" i="4"/>
  <c r="Q1358" i="4"/>
  <c r="Q1254" i="4"/>
  <c r="Q1437" i="4"/>
  <c r="Q1397" i="4"/>
  <c r="Q1363" i="4"/>
  <c r="Q1352" i="4"/>
  <c r="Q1393" i="4"/>
  <c r="Q1380" i="4"/>
  <c r="Q1369" i="4"/>
  <c r="Q1374" i="4"/>
  <c r="Q1432" i="4"/>
  <c r="Q1460" i="4"/>
  <c r="Q887" i="4"/>
  <c r="Q891" i="4"/>
  <c r="Q900" i="4"/>
  <c r="Q919" i="4"/>
  <c r="Q931" i="4"/>
  <c r="Q965" i="4"/>
  <c r="Q957" i="4"/>
  <c r="Q1165" i="4"/>
  <c r="Q1230" i="4"/>
  <c r="Q1167" i="4"/>
  <c r="Q1253" i="4"/>
  <c r="Q1290" i="4"/>
  <c r="Q1292" i="4"/>
  <c r="Q1195" i="4"/>
  <c r="Q1367" i="4"/>
  <c r="Q1326" i="4"/>
  <c r="Q1301" i="4"/>
  <c r="Q1469" i="4"/>
  <c r="Q1490" i="4"/>
  <c r="Q1524" i="4"/>
  <c r="Q816" i="4"/>
  <c r="Q820" i="4"/>
  <c r="Q835" i="4"/>
  <c r="Q885" i="4"/>
  <c r="Q895" i="4"/>
  <c r="Q1514" i="4"/>
  <c r="Q1594" i="4"/>
  <c r="Q1461" i="4"/>
  <c r="Q1536" i="4"/>
  <c r="Q1457" i="4"/>
  <c r="Q1774" i="4"/>
  <c r="Q1726" i="4"/>
  <c r="Q1698" i="4"/>
  <c r="Q1681" i="4"/>
  <c r="Q1740" i="4"/>
  <c r="Q1738" i="4"/>
  <c r="Q1706" i="4"/>
  <c r="Q1677" i="4"/>
  <c r="Q1702" i="4"/>
  <c r="Q1785" i="4"/>
  <c r="Q1777" i="4"/>
  <c r="Q1793" i="4"/>
  <c r="Q1795" i="4"/>
  <c r="Q1039" i="4"/>
  <c r="Q1234" i="4"/>
  <c r="Q1041" i="4"/>
  <c r="Q1047" i="4"/>
  <c r="Q1050" i="4"/>
  <c r="Q1282" i="4"/>
  <c r="Q1239" i="4"/>
  <c r="Q1143" i="4"/>
  <c r="Q1350" i="4"/>
  <c r="Q1281" i="4"/>
  <c r="Q1778" i="4"/>
  <c r="Q1768" i="4"/>
  <c r="Q1791" i="4"/>
  <c r="Q1609" i="4"/>
  <c r="Q977" i="4"/>
  <c r="Q1564" i="4"/>
  <c r="Q1084" i="4"/>
  <c r="Q1475" i="4"/>
  <c r="Q1163" i="4"/>
  <c r="Q1023" i="4"/>
  <c r="Q959" i="4"/>
  <c r="Q1554" i="4"/>
  <c r="Q1046" i="4"/>
  <c r="Q1714" i="4"/>
  <c r="Q1787" i="4"/>
  <c r="Q800" i="4"/>
  <c r="Q1601" i="4"/>
  <c r="Q1548" i="4"/>
  <c r="Q1056" i="4"/>
  <c r="Q1203" i="4"/>
  <c r="Q1099" i="4"/>
  <c r="Q1542" i="4"/>
  <c r="Q1202" i="4"/>
  <c r="Q792" i="4"/>
  <c r="Q764" i="4"/>
  <c r="Q1429" i="4"/>
  <c r="Q945" i="4"/>
  <c r="Q1304" i="4"/>
  <c r="Q1295" i="4"/>
  <c r="Q1650" i="4"/>
  <c r="Q1434" i="4"/>
  <c r="Q1158" i="4"/>
  <c r="Q846" i="4"/>
  <c r="Q1435" i="4"/>
  <c r="Q1816" i="4"/>
  <c r="Q1819" i="4"/>
  <c r="Q841" i="4"/>
  <c r="Q1577" i="4"/>
  <c r="Q1405" i="4"/>
  <c r="Q1065" i="4"/>
  <c r="Q985" i="4"/>
  <c r="Q1268" i="4"/>
  <c r="Q1176" i="4"/>
  <c r="Q1747" i="4"/>
  <c r="Q1495" i="4"/>
  <c r="Q1371" i="4"/>
  <c r="Q1018" i="4"/>
  <c r="Q811" i="4"/>
  <c r="Q803" i="4"/>
  <c r="Q813" i="4"/>
  <c r="Q824" i="4"/>
  <c r="Q828" i="4"/>
  <c r="Q818" i="4"/>
  <c r="Q825" i="4"/>
  <c r="Q827" i="4"/>
  <c r="Q1615" i="4"/>
  <c r="Q1748" i="4"/>
  <c r="Q1784" i="4"/>
  <c r="Q1632" i="4"/>
  <c r="Q1736" i="4"/>
  <c r="Q1780" i="4"/>
  <c r="Q1635" i="4"/>
  <c r="Q1809" i="4"/>
  <c r="Q1085" i="4"/>
  <c r="Q1045" i="4"/>
  <c r="Q1040" i="4"/>
  <c r="Q1077" i="4"/>
  <c r="Q1049" i="4"/>
  <c r="Q1088" i="4"/>
  <c r="Q1110" i="4"/>
  <c r="Q1098" i="4"/>
  <c r="Q1124" i="4"/>
  <c r="Q1690" i="4"/>
  <c r="Q1665" i="4"/>
  <c r="Q1684" i="4"/>
  <c r="Q1596" i="4"/>
  <c r="Q1423" i="4"/>
  <c r="Q1562" i="4"/>
  <c r="Q1676" i="4"/>
  <c r="Q1488" i="4"/>
  <c r="Q1579" i="4"/>
  <c r="Q983" i="4"/>
  <c r="Q1622" i="4"/>
  <c r="Q1526" i="4"/>
  <c r="Q1585" i="4"/>
  <c r="Q1602" i="4"/>
  <c r="Q1510" i="4"/>
  <c r="Q1696" i="4"/>
  <c r="Q1471" i="4"/>
  <c r="Q1709" i="4"/>
  <c r="Q1413" i="4"/>
  <c r="Q989" i="4"/>
  <c r="Q1144" i="4"/>
  <c r="Q1131" i="4"/>
  <c r="Q1394" i="4"/>
  <c r="Q1668" i="4"/>
  <c r="Q1735" i="4"/>
  <c r="Q796" i="4"/>
  <c r="Q770" i="4"/>
  <c r="Q1755" i="4"/>
  <c r="Q1722" i="4"/>
  <c r="Q879" i="4"/>
  <c r="Q1307" i="4"/>
  <c r="Q1179" i="4"/>
  <c r="Q775" i="4"/>
  <c r="Q1801" i="4"/>
  <c r="Q1812" i="4"/>
  <c r="Q1196" i="4"/>
  <c r="Q1070" i="4"/>
  <c r="Q1671" i="4"/>
  <c r="Q849" i="4"/>
  <c r="Q1337" i="4"/>
  <c r="Q1372" i="4"/>
  <c r="Q1359" i="4"/>
  <c r="Q1170" i="4"/>
  <c r="Q1384" i="4"/>
  <c r="Q1327" i="4"/>
  <c r="Q1181" i="4"/>
  <c r="Q1232" i="4"/>
  <c r="Q1224" i="4"/>
  <c r="Q1408" i="4"/>
  <c r="Q1651" i="4"/>
  <c r="Q1500" i="4"/>
  <c r="Q1749" i="4"/>
  <c r="Q1630" i="4"/>
  <c r="Q1466" i="4"/>
  <c r="Q1453" i="4"/>
  <c r="Q1750" i="4"/>
  <c r="Q1751" i="4"/>
  <c r="Q1567" i="4"/>
  <c r="Q1553" i="4"/>
  <c r="Q1692" i="4"/>
  <c r="Q1468" i="4"/>
  <c r="Q1745" i="4"/>
  <c r="Q1713" i="4"/>
  <c r="Q1633" i="4"/>
  <c r="Q1592" i="4"/>
  <c r="Q1456" i="4"/>
  <c r="Q1422" i="4"/>
  <c r="Q1442" i="4"/>
  <c r="Q1402" i="4"/>
  <c r="Q1236" i="4"/>
  <c r="Q1450" i="4"/>
  <c r="Q1481" i="4"/>
  <c r="Q1654" i="4"/>
  <c r="Q1250" i="4"/>
  <c r="Q1616" i="4"/>
  <c r="Q1499" i="4"/>
  <c r="Q1246" i="4"/>
  <c r="Q1521" i="4"/>
  <c r="Q1741" i="4"/>
  <c r="Q1661" i="4"/>
  <c r="Q1365" i="4"/>
  <c r="Q1257" i="4"/>
  <c r="Q1276" i="4"/>
  <c r="Q1334" i="4"/>
  <c r="Q1686" i="4"/>
  <c r="Q1357" i="4"/>
  <c r="Q1264" i="4"/>
  <c r="Q1300" i="4"/>
  <c r="Q1344" i="4"/>
  <c r="Q1418" i="4"/>
  <c r="Q1286" i="4"/>
  <c r="Q1331" i="4"/>
  <c r="Q1252" i="4"/>
  <c r="Q1701" i="4"/>
  <c r="Q1659" i="4"/>
  <c r="Q1657" i="4"/>
  <c r="Q1700" i="4"/>
  <c r="Q1643" i="4"/>
  <c r="Q1256" i="4"/>
  <c r="Q1484" i="4"/>
  <c r="Q1436" i="4"/>
  <c r="Q1185" i="4"/>
  <c r="Q1141" i="4"/>
  <c r="Q1191" i="4"/>
  <c r="Q1201" i="4"/>
  <c r="Q1173" i="4"/>
  <c r="Q1137" i="4"/>
  <c r="Q1537" i="4"/>
  <c r="Q1610" i="4"/>
  <c r="Q1502" i="4"/>
  <c r="Q1513" i="4"/>
  <c r="Q1679" i="4"/>
  <c r="Q1578" i="4"/>
  <c r="Q1523" i="4"/>
  <c r="Q1618" i="4"/>
  <c r="Q1494" i="4"/>
  <c r="Q1628" i="4"/>
  <c r="Q1660" i="4"/>
  <c r="Q947" i="4"/>
  <c r="Q1175" i="4"/>
  <c r="Q1015" i="4"/>
  <c r="Q972" i="4"/>
  <c r="Q1011" i="4"/>
  <c r="Q992" i="4"/>
  <c r="Q1433" i="4"/>
  <c r="Q1062" i="4"/>
  <c r="Q1213" i="4"/>
  <c r="Q988" i="4"/>
  <c r="Q1492" i="4"/>
  <c r="Q1445" i="4"/>
  <c r="Q1389" i="4"/>
  <c r="Q1325" i="4"/>
  <c r="Q1362" i="4"/>
  <c r="Q1022" i="4"/>
  <c r="Q1028" i="4"/>
  <c r="Q1249" i="4"/>
  <c r="Q1025" i="4"/>
  <c r="Q1289" i="4"/>
  <c r="Q1303" i="4"/>
  <c r="Q1237" i="4"/>
  <c r="Q1266" i="4"/>
  <c r="Q1316" i="4"/>
  <c r="Q1244" i="4"/>
  <c r="Q1277" i="4"/>
  <c r="Q1283" i="4"/>
  <c r="Q1349" i="4"/>
  <c r="Q1323" i="4"/>
  <c r="Q1324" i="4"/>
  <c r="Q1269" i="4"/>
  <c r="Q1027" i="4"/>
  <c r="Q1465" i="4"/>
  <c r="Q1340" i="4"/>
  <c r="Q1535" i="4"/>
  <c r="Q1467" i="4"/>
  <c r="Q1354" i="4"/>
  <c r="Q1449" i="4"/>
  <c r="Q1543" i="4"/>
  <c r="Q1531" i="4"/>
  <c r="Q1459" i="4"/>
  <c r="Q1299" i="4"/>
  <c r="Q1381" i="4"/>
  <c r="Q1035" i="4"/>
  <c r="Q1427" i="4"/>
  <c r="Q1473" i="4"/>
  <c r="Q1540" i="4"/>
  <c r="Q1767" i="4"/>
  <c r="Q1638" i="4"/>
  <c r="Q1573" i="4"/>
  <c r="Q1796" i="4"/>
  <c r="Q1647" i="4"/>
  <c r="Q1805" i="4"/>
  <c r="Q1725" i="4"/>
  <c r="Q1644" i="4"/>
  <c r="Q1612" i="4"/>
  <c r="Q1584" i="4"/>
  <c r="Q1739" i="4"/>
  <c r="Q1627" i="4"/>
  <c r="Q1558" i="4"/>
  <c r="Q1549" i="4"/>
  <c r="Q1107" i="4"/>
  <c r="Q1204" i="4"/>
  <c r="Q1159" i="4"/>
  <c r="Q1172" i="4"/>
  <c r="Q1212" i="4"/>
  <c r="Q1182" i="4"/>
  <c r="Q1226" i="4"/>
  <c r="Q1205" i="4"/>
  <c r="Q1228" i="4"/>
  <c r="Q1687" i="4"/>
  <c r="Q1611" i="4"/>
  <c r="Q1555" i="4"/>
  <c r="Q1693" i="4"/>
  <c r="Q1569" i="4"/>
  <c r="Q1591" i="4"/>
  <c r="Q1637" i="4"/>
  <c r="Q1775" i="4"/>
  <c r="Q1634" i="4"/>
  <c r="Q1625" i="4"/>
  <c r="Q1519" i="4"/>
  <c r="Q1626" i="4"/>
  <c r="Q1705" i="4"/>
  <c r="Q1619" i="4"/>
  <c r="Q1593" i="4"/>
  <c r="Q1583" i="4"/>
  <c r="Q1589" i="4"/>
  <c r="S1723" i="4"/>
  <c r="Q1729" i="4"/>
  <c r="Q1732" i="4"/>
  <c r="Q1723" i="4"/>
  <c r="Q899" i="4"/>
  <c r="Q865" i="4"/>
  <c r="Q1031" i="4"/>
  <c r="Q1026" i="4"/>
  <c r="Q1328" i="4"/>
  <c r="Q964" i="4"/>
  <c r="Q926" i="4"/>
  <c r="Q1347" i="4"/>
  <c r="Q979" i="4"/>
  <c r="Q1298" i="4"/>
  <c r="Q998" i="4"/>
  <c r="Q1217" i="4"/>
  <c r="Q1068" i="4"/>
  <c r="Q1409" i="4"/>
  <c r="Q1291" i="4"/>
  <c r="Q951" i="4"/>
  <c r="Q1294" i="4"/>
  <c r="Q1177" i="4"/>
  <c r="Q904" i="4"/>
  <c r="Q1024" i="4"/>
  <c r="Q1075" i="4"/>
  <c r="Q943" i="4"/>
  <c r="Q1530" i="4"/>
  <c r="Q1278" i="4"/>
  <c r="Q958" i="4"/>
  <c r="Q1017" i="4"/>
  <c r="Q1508" i="4"/>
  <c r="Q1012" i="4"/>
  <c r="Q1452" i="4"/>
  <c r="Q986" i="4"/>
  <c r="Q987" i="4"/>
  <c r="Q929" i="4"/>
  <c r="Q898" i="4"/>
  <c r="Q930" i="4"/>
  <c r="Q908" i="4"/>
  <c r="Q874" i="4"/>
  <c r="Q892" i="4"/>
  <c r="Q905" i="4"/>
  <c r="Q877" i="4"/>
  <c r="Q893" i="4"/>
  <c r="Q875" i="4"/>
  <c r="Q819" i="4"/>
  <c r="Q791" i="4"/>
  <c r="Q903" i="4"/>
  <c r="Q856" i="4"/>
  <c r="Q860" i="4"/>
  <c r="Q802" i="4"/>
  <c r="Q855" i="4"/>
  <c r="Q896" i="4"/>
  <c r="Q868" i="4"/>
  <c r="Q901" i="4"/>
  <c r="S920" i="4"/>
  <c r="Q920" i="4"/>
  <c r="Q1054" i="4"/>
  <c r="Q970" i="4"/>
  <c r="Q997" i="4"/>
  <c r="Q1138" i="4"/>
  <c r="Q1186" i="4"/>
  <c r="Q1302" i="4"/>
  <c r="Q1235" i="4"/>
  <c r="Q1214" i="4"/>
  <c r="Q1169" i="4"/>
  <c r="Q1192" i="4"/>
  <c r="Q1157" i="4"/>
  <c r="Q1156" i="4"/>
  <c r="Q1476" i="4"/>
  <c r="Q1438" i="4"/>
  <c r="Q1108" i="4"/>
  <c r="Q1113" i="4"/>
  <c r="Q925" i="4"/>
  <c r="Q863" i="4"/>
  <c r="Q902" i="4"/>
  <c r="Q870" i="4"/>
  <c r="Q854" i="4"/>
  <c r="Q949" i="4"/>
  <c r="Q916" i="4"/>
  <c r="Q888" i="4"/>
  <c r="Q961" i="4"/>
  <c r="Q906" i="4"/>
  <c r="Q882" i="4"/>
  <c r="Q842" i="4"/>
  <c r="Q1078" i="4"/>
  <c r="Q1029" i="4"/>
  <c r="Q1187" i="4"/>
  <c r="Q1082" i="4"/>
  <c r="Q1221" i="4"/>
  <c r="Q1104" i="4"/>
  <c r="Q1386" i="4"/>
  <c r="Q1149" i="4"/>
  <c r="Q1061" i="4"/>
  <c r="Q1100" i="4"/>
  <c r="Q1147" i="4"/>
  <c r="Q1125" i="4"/>
  <c r="Q1066" i="4"/>
  <c r="Q1171" i="4"/>
  <c r="Q1109" i="4"/>
  <c r="Q1161" i="4"/>
  <c r="Q1174" i="4"/>
  <c r="Q1168" i="4"/>
  <c r="Q1724" i="4"/>
  <c r="Q1656" i="4"/>
  <c r="Q1649" i="4"/>
  <c r="Q1642" i="4"/>
  <c r="Q1731" i="4"/>
  <c r="Q1666" i="4"/>
  <c r="Q1658" i="4"/>
  <c r="Q1810" i="4"/>
  <c r="Q1717" i="4"/>
  <c r="Q1817" i="4"/>
  <c r="Q1715" i="4"/>
  <c r="Q1712" i="4"/>
  <c r="Q767" i="4"/>
  <c r="Q833" i="4"/>
  <c r="Q1361" i="4"/>
  <c r="Q1133" i="4"/>
  <c r="Q1053" i="4"/>
  <c r="Q1013" i="4"/>
  <c r="Q932" i="4"/>
  <c r="Q1355" i="4"/>
  <c r="Q1275" i="4"/>
  <c r="Q1103" i="4"/>
  <c r="Q1462" i="4"/>
  <c r="Q1150" i="4"/>
  <c r="Q1094" i="4"/>
  <c r="Q1330" i="4"/>
  <c r="Q838" i="4"/>
  <c r="Q1353" i="4"/>
  <c r="Q1245" i="4"/>
  <c r="Q1037" i="4"/>
  <c r="Q921" i="4"/>
  <c r="Q1388" i="4"/>
  <c r="Q1332" i="4"/>
  <c r="Q1080" i="4"/>
  <c r="Q1267" i="4"/>
  <c r="Q1063" i="4"/>
  <c r="Q1019" i="4"/>
  <c r="Q1458" i="4"/>
  <c r="Q1270" i="4"/>
  <c r="Q1142" i="4"/>
  <c r="Q1118" i="4"/>
  <c r="Q1086" i="4"/>
  <c r="Q1042" i="4"/>
  <c r="Q1010" i="4"/>
  <c r="Q784" i="4"/>
  <c r="Q843" i="4"/>
  <c r="Q1136" i="4"/>
  <c r="Q996" i="4"/>
  <c r="Q1383" i="4"/>
  <c r="Q1259" i="4"/>
  <c r="Q971" i="4"/>
  <c r="Q1074" i="4"/>
  <c r="Q1034" i="4"/>
  <c r="Q1309" i="4"/>
  <c r="Q1287" i="4"/>
  <c r="Q1183" i="4"/>
  <c r="Q1222" i="4"/>
  <c r="Q858" i="4"/>
  <c r="Q1153" i="4"/>
  <c r="Q789" i="4"/>
  <c r="Q793" i="4"/>
  <c r="Q804" i="4"/>
  <c r="Q817" i="4"/>
  <c r="Q1443" i="4"/>
  <c r="Q1401" i="4"/>
  <c r="Q1430" i="4"/>
  <c r="Q1803" i="4"/>
  <c r="Q1570" i="4"/>
  <c r="Q1428" i="4"/>
  <c r="Q1454" i="4"/>
  <c r="Q1600" i="4"/>
  <c r="Q1421" i="4"/>
  <c r="Q1417" i="4"/>
  <c r="S1472" i="4"/>
  <c r="Q1472" i="4"/>
  <c r="Q1599" i="4"/>
  <c r="Q1486" i="4"/>
  <c r="Q1511" i="4"/>
  <c r="Q1479" i="4"/>
  <c r="S1728" i="4"/>
  <c r="Q1781" i="4"/>
  <c r="Q1728" i="4"/>
  <c r="Q1742" i="4"/>
  <c r="Q1761" i="4"/>
  <c r="Q1038" i="4"/>
  <c r="Q1271" i="4"/>
  <c r="Q1255" i="4"/>
  <c r="Q878" i="4"/>
  <c r="Q1251" i="4"/>
  <c r="Q1815" i="4"/>
  <c r="Q1719" i="4"/>
  <c r="Q1699" i="4"/>
  <c r="Q1607" i="4"/>
  <c r="Q1539" i="4"/>
  <c r="Q1379" i="4"/>
  <c r="Q1765" i="4"/>
  <c r="Q1629" i="4"/>
  <c r="Q1620" i="4"/>
  <c r="Q1368" i="4"/>
  <c r="Q975" i="4"/>
  <c r="Q763" i="4"/>
  <c r="Q1711" i="4"/>
  <c r="Q1515" i="4"/>
  <c r="Q1565" i="4"/>
  <c r="Q1541" i="4"/>
  <c r="Q1501" i="4"/>
  <c r="Q1391" i="4"/>
  <c r="Q861" i="4"/>
  <c r="Q1799" i="4"/>
  <c r="Q1707" i="4"/>
  <c r="Q1614" i="4"/>
  <c r="Q1641" i="4"/>
  <c r="Q1341" i="4"/>
  <c r="Q1636" i="4"/>
  <c r="Q1441" i="4"/>
  <c r="Q1375" i="4"/>
  <c r="Q1001" i="4"/>
  <c r="Q1779" i="4"/>
  <c r="Q1703" i="4"/>
  <c r="Q1547" i="4"/>
  <c r="Q1419" i="4"/>
  <c r="Q1746" i="4"/>
  <c r="Q1646" i="4"/>
  <c r="Q1606" i="4"/>
  <c r="Q1789" i="4"/>
  <c r="Q1673" i="4"/>
  <c r="Q1529" i="4"/>
  <c r="Q1392" i="4"/>
  <c r="Q768" i="4"/>
  <c r="Q1123" i="4"/>
  <c r="Q1111" i="4"/>
  <c r="Q1071" i="4"/>
  <c r="Q1128" i="4"/>
  <c r="Q1743" i="4"/>
  <c r="Q1744" i="4"/>
  <c r="Q1818" i="4"/>
  <c r="Q1798" i="4"/>
  <c r="Q1807" i="4"/>
  <c r="Q1814" i="4"/>
  <c r="Q1790" i="4"/>
  <c r="Q1776" i="4"/>
  <c r="Q1763" i="4"/>
  <c r="Q1752" i="4"/>
  <c r="Q1759" i="4"/>
  <c r="Q1766" i="4"/>
  <c r="Q1444" i="4"/>
  <c r="Q1431" i="4"/>
  <c r="Q1060" i="4"/>
  <c r="Q1122" i="4"/>
  <c r="Q814" i="4"/>
  <c r="Q872" i="4"/>
  <c r="Q840" i="4"/>
  <c r="Q995" i="4"/>
  <c r="Q935" i="4"/>
  <c r="Q974" i="4"/>
  <c r="Q790" i="4"/>
  <c r="Q857" i="4"/>
  <c r="Q1072" i="4"/>
  <c r="Q954" i="4"/>
  <c r="Q848" i="4"/>
  <c r="Q1091" i="4"/>
  <c r="Q922" i="4"/>
  <c r="Q1227" i="4"/>
  <c r="Q1804" i="4"/>
  <c r="Q1532" i="4"/>
  <c r="Q1518" i="4"/>
  <c r="Q1491" i="4"/>
  <c r="Q1497" i="4"/>
  <c r="Q1260" i="4"/>
  <c r="Q1730" i="4"/>
  <c r="Q1822" i="4"/>
  <c r="Q1572" i="4"/>
  <c r="Q1571" i="4"/>
  <c r="Q1575" i="4"/>
  <c r="Q1463" i="4"/>
  <c r="Q1498" i="4"/>
  <c r="Q1783" i="4"/>
  <c r="Q1546" i="4"/>
  <c r="Q1482" i="4"/>
  <c r="Q1520" i="4"/>
  <c r="Q1786" i="4"/>
  <c r="Q1806" i="4"/>
  <c r="Q1139" i="4"/>
  <c r="Q1243" i="4"/>
  <c r="Q1241" i="4"/>
  <c r="Q1148" i="4"/>
  <c r="Q1152" i="4"/>
  <c r="Q1087" i="4"/>
  <c r="Q1090" i="4"/>
  <c r="Q771" i="4"/>
  <c r="Q852" i="4"/>
  <c r="Q881" i="4"/>
  <c r="Q982" i="4"/>
  <c r="Q779" i="4"/>
  <c r="Q807" i="4"/>
  <c r="Q853" i="4"/>
  <c r="Q806" i="4"/>
  <c r="Q821" i="4"/>
  <c r="Q810" i="4"/>
  <c r="Q765" i="4"/>
  <c r="Q777" i="4"/>
  <c r="S1830" i="4"/>
  <c r="Q1830" i="4"/>
  <c r="Q1838" i="4"/>
  <c r="O763" i="4"/>
  <c r="O762" i="4"/>
  <c r="O761" i="4"/>
  <c r="O782" i="4"/>
  <c r="O1190" i="4"/>
  <c r="O1009" i="4"/>
  <c r="O1307" i="4"/>
  <c r="O1642" i="4"/>
  <c r="O1741" i="4"/>
  <c r="O1822" i="4"/>
  <c r="O1682" i="4"/>
  <c r="O1562" i="4"/>
  <c r="O1466" i="4"/>
  <c r="O1375" i="4"/>
  <c r="O1625" i="4"/>
  <c r="O1493" i="4"/>
  <c r="O1401" i="4"/>
  <c r="O1768" i="4"/>
  <c r="O1684" i="4"/>
  <c r="O1600" i="4"/>
  <c r="O1520" i="4"/>
  <c r="O764" i="4"/>
  <c r="O823" i="4"/>
  <c r="O887" i="4"/>
  <c r="O951" i="4"/>
  <c r="O1035" i="4"/>
  <c r="O1103" i="4"/>
  <c r="O1167" i="4"/>
  <c r="O1231" i="4"/>
  <c r="O1295" i="4"/>
  <c r="O1363" i="4"/>
  <c r="O824" i="4"/>
  <c r="O888" i="4"/>
  <c r="O952" i="4"/>
  <c r="O1032" i="4"/>
  <c r="O1096" i="4"/>
  <c r="O1160" i="4"/>
  <c r="O1224" i="4"/>
  <c r="O1288" i="4"/>
  <c r="O1356" i="4"/>
  <c r="O1420" i="4"/>
  <c r="O780" i="4"/>
  <c r="O857" i="4"/>
  <c r="O811" i="4"/>
  <c r="O876" i="4"/>
  <c r="O939" i="4"/>
  <c r="O1023" i="4"/>
  <c r="O1091" i="4"/>
  <c r="O1155" i="4"/>
  <c r="O1219" i="4"/>
  <c r="O1283" i="4"/>
  <c r="O1351" i="4"/>
  <c r="O812" i="4"/>
  <c r="O877" i="4"/>
  <c r="O940" i="4"/>
  <c r="O1020" i="4"/>
  <c r="O1084" i="4"/>
  <c r="O1148" i="4"/>
  <c r="O1212" i="4"/>
  <c r="O1276" i="4"/>
  <c r="O1344" i="4"/>
  <c r="O1408" i="4"/>
  <c r="O1480" i="4"/>
  <c r="O845" i="4"/>
  <c r="O815" i="4"/>
  <c r="O879" i="4"/>
  <c r="O943" i="4"/>
  <c r="O1027" i="4"/>
  <c r="O1095" i="4"/>
  <c r="O1159" i="4"/>
  <c r="O1223" i="4"/>
  <c r="O1287" i="4"/>
  <c r="O1355" i="4"/>
  <c r="O816" i="4"/>
  <c r="O880" i="4"/>
  <c r="O968" i="4"/>
  <c r="O1040" i="4"/>
  <c r="O1104" i="4"/>
  <c r="O1168" i="4"/>
  <c r="O1232" i="4"/>
  <c r="O1296" i="4"/>
  <c r="O1364" i="4"/>
  <c r="O1428" i="4"/>
  <c r="O789" i="4"/>
  <c r="O865" i="4"/>
  <c r="O819" i="4"/>
  <c r="O883" i="4"/>
  <c r="O947" i="4"/>
  <c r="O1031" i="4"/>
  <c r="O1099" i="4"/>
  <c r="O1163" i="4"/>
  <c r="O1227" i="4"/>
  <c r="O1291" i="4"/>
  <c r="O1359" i="4"/>
  <c r="O820" i="4"/>
  <c r="O884" i="4"/>
  <c r="O948" i="4"/>
  <c r="O1028" i="4"/>
  <c r="O1092" i="4"/>
  <c r="O1156" i="4"/>
  <c r="O1220" i="4"/>
  <c r="O1284" i="4"/>
  <c r="O1352" i="4"/>
  <c r="O1416" i="4"/>
  <c r="O885" i="4"/>
  <c r="O965" i="4"/>
  <c r="O1041" i="4"/>
  <c r="O1121" i="4"/>
  <c r="O1193" i="4"/>
  <c r="O1257" i="4"/>
  <c r="O1329" i="4"/>
  <c r="O806" i="4"/>
  <c r="O870" i="4"/>
  <c r="O934" i="4"/>
  <c r="O1018" i="4"/>
  <c r="O1094" i="4"/>
  <c r="O1158" i="4"/>
  <c r="O1226" i="4"/>
  <c r="O1294" i="4"/>
  <c r="O1362" i="4"/>
  <c r="O1446" i="4"/>
  <c r="O1535" i="4"/>
  <c r="O1635" i="4"/>
  <c r="O1727" i="4"/>
  <c r="O1819" i="4"/>
  <c r="O837" i="4"/>
  <c r="O969" i="4"/>
  <c r="O1045" i="4"/>
  <c r="O1125" i="4"/>
  <c r="O1197" i="4"/>
  <c r="O1265" i="4"/>
  <c r="O1333" i="4"/>
  <c r="O810" i="4"/>
  <c r="O875" i="4"/>
  <c r="O938" i="4"/>
  <c r="O1022" i="4"/>
  <c r="O1098" i="4"/>
  <c r="O1162" i="4"/>
  <c r="O1230" i="4"/>
  <c r="O1298" i="4"/>
  <c r="O1366" i="4"/>
  <c r="O1451" i="4"/>
  <c r="O1539" i="4"/>
  <c r="O1647" i="4"/>
  <c r="O1731" i="4"/>
  <c r="O1823" i="4"/>
  <c r="O893" i="4"/>
  <c r="O973" i="4"/>
  <c r="O1049" i="4"/>
  <c r="O1129" i="4"/>
  <c r="O1201" i="4"/>
  <c r="O1269" i="4"/>
  <c r="O1337" i="4"/>
  <c r="O814" i="4"/>
  <c r="O878" i="4"/>
  <c r="O941" i="4"/>
  <c r="O1026" i="4"/>
  <c r="O1102" i="4"/>
  <c r="O1166" i="4"/>
  <c r="O1234" i="4"/>
  <c r="O1302" i="4"/>
  <c r="O1370" i="4"/>
  <c r="O1457" i="4"/>
  <c r="O1543" i="4"/>
  <c r="O1655" i="4"/>
  <c r="O1735" i="4"/>
  <c r="O1373" i="4"/>
  <c r="O917" i="4"/>
  <c r="O1001" i="4"/>
  <c r="O1081" i="4"/>
  <c r="O1149" i="4"/>
  <c r="O1221" i="4"/>
  <c r="O1289" i="4"/>
  <c r="O1361" i="4"/>
  <c r="O834" i="4"/>
  <c r="O898" i="4"/>
  <c r="O970" i="4"/>
  <c r="O1046" i="4"/>
  <c r="O1122" i="4"/>
  <c r="O1186" i="4"/>
  <c r="O1254" i="4"/>
  <c r="O1326" i="4"/>
  <c r="O1393" i="4"/>
  <c r="O1487" i="4"/>
  <c r="O1567" i="4"/>
  <c r="O1679" i="4"/>
  <c r="O1771" i="4"/>
  <c r="O1399" i="4"/>
  <c r="O909" i="4"/>
  <c r="O1341" i="4"/>
  <c r="O1615" i="4"/>
  <c r="O1789" i="4"/>
  <c r="O1786" i="4"/>
  <c r="O1658" i="4"/>
  <c r="O1530" i="4"/>
  <c r="O1439" i="4"/>
  <c r="O1725" i="4"/>
  <c r="O1561" i="4"/>
  <c r="O1465" i="4"/>
  <c r="O1374" i="4"/>
  <c r="O1736" i="4"/>
  <c r="O1660" i="4"/>
  <c r="O1568" i="4"/>
  <c r="O1496" i="4"/>
  <c r="O1089" i="4"/>
  <c r="O1604" i="4"/>
  <c r="O1747" i="4"/>
  <c r="O1782" i="4"/>
  <c r="O1654" i="4"/>
  <c r="O1526" i="4"/>
  <c r="O1434" i="4"/>
  <c r="O1701" i="4"/>
  <c r="O1557" i="4"/>
  <c r="O1459" i="4"/>
  <c r="O1820" i="4"/>
  <c r="O1732" i="4"/>
  <c r="O1656" i="4"/>
  <c r="O1564" i="4"/>
  <c r="O1492" i="4"/>
  <c r="O1510" i="4"/>
  <c r="O1638" i="4"/>
  <c r="O1750" i="4"/>
  <c r="O1778" i="4"/>
  <c r="O1646" i="4"/>
  <c r="O1522" i="4"/>
  <c r="O1429" i="4"/>
  <c r="O1689" i="4"/>
  <c r="O1545" i="4"/>
  <c r="O1454" i="4"/>
  <c r="O1816" i="4"/>
  <c r="O1728" i="4"/>
  <c r="O1652" i="4"/>
  <c r="O1560" i="4"/>
  <c r="O1488" i="4"/>
  <c r="O1746" i="4"/>
  <c r="O1602" i="4"/>
  <c r="O1753" i="4"/>
  <c r="O1673" i="4"/>
  <c r="O1577" i="4"/>
  <c r="O1696" i="4"/>
  <c r="O1707" i="4"/>
  <c r="O1595" i="4"/>
  <c r="O1090" i="4"/>
  <c r="O769" i="4"/>
  <c r="O1476" i="4"/>
  <c r="O1011" i="4"/>
  <c r="O1742" i="4"/>
  <c r="O1598" i="4"/>
  <c r="O1813" i="4"/>
  <c r="O1685" i="4"/>
  <c r="O1541" i="4"/>
  <c r="O1740" i="4"/>
  <c r="O1612" i="4"/>
  <c r="O1442" i="4"/>
  <c r="O1575" i="4"/>
  <c r="O990" i="4"/>
  <c r="O960" i="4"/>
  <c r="O1738" i="4"/>
  <c r="O1498" i="4"/>
  <c r="O1745" i="4"/>
  <c r="O1601" i="4"/>
  <c r="O1576" i="4"/>
  <c r="O1306" i="4"/>
  <c r="O1308" i="4"/>
  <c r="O955" i="4"/>
  <c r="O1773" i="4"/>
  <c r="O1757" i="4"/>
  <c r="O1549" i="4"/>
  <c r="O927" i="4"/>
  <c r="O1381" i="4"/>
  <c r="O957" i="4"/>
  <c r="O1503" i="4"/>
  <c r="O1674" i="4"/>
  <c r="O1754" i="4"/>
  <c r="O1790" i="4"/>
  <c r="O1662" i="4"/>
  <c r="O1534" i="4"/>
  <c r="O1445" i="4"/>
  <c r="O1729" i="4"/>
  <c r="O1585" i="4"/>
  <c r="O1470" i="4"/>
  <c r="O1379" i="4"/>
  <c r="O1744" i="4"/>
  <c r="O1664" i="4"/>
  <c r="O1572" i="4"/>
  <c r="O1504" i="4"/>
  <c r="O765" i="4"/>
  <c r="O839" i="4"/>
  <c r="O903" i="4"/>
  <c r="O975" i="4"/>
  <c r="O1051" i="4"/>
  <c r="O1119" i="4"/>
  <c r="O1183" i="4"/>
  <c r="O1247" i="4"/>
  <c r="O1315" i="4"/>
  <c r="O775" i="4"/>
  <c r="O840" i="4"/>
  <c r="O904" i="4"/>
  <c r="O976" i="4"/>
  <c r="O1048" i="4"/>
  <c r="O1112" i="4"/>
  <c r="O1176" i="4"/>
  <c r="O1240" i="4"/>
  <c r="O1304" i="4"/>
  <c r="O1372" i="4"/>
  <c r="O1436" i="4"/>
  <c r="O805" i="4"/>
  <c r="O873" i="4"/>
  <c r="O827" i="4"/>
  <c r="O891" i="4"/>
  <c r="O963" i="4"/>
  <c r="O1039" i="4"/>
  <c r="O1107" i="4"/>
  <c r="O1171" i="4"/>
  <c r="O1235" i="4"/>
  <c r="O1299" i="4"/>
  <c r="O1367" i="4"/>
  <c r="O828" i="4"/>
  <c r="O892" i="4"/>
  <c r="O964" i="4"/>
  <c r="O1036" i="4"/>
  <c r="O1100" i="4"/>
  <c r="O1164" i="4"/>
  <c r="O1228" i="4"/>
  <c r="O1292" i="4"/>
  <c r="O1360" i="4"/>
  <c r="O1424" i="4"/>
  <c r="O785" i="4"/>
  <c r="O861" i="4"/>
  <c r="O831" i="4"/>
  <c r="O895" i="4"/>
  <c r="O967" i="4"/>
  <c r="O1043" i="4"/>
  <c r="O1111" i="4"/>
  <c r="O1175" i="4"/>
  <c r="O1239" i="4"/>
  <c r="O1303" i="4"/>
  <c r="O1371" i="4"/>
  <c r="O832" i="4"/>
  <c r="O896" i="4"/>
  <c r="O984" i="4"/>
  <c r="O1056" i="4"/>
  <c r="O1120" i="4"/>
  <c r="O1184" i="4"/>
  <c r="O1248" i="4"/>
  <c r="O1316" i="4"/>
  <c r="O1380" i="4"/>
  <c r="O1448" i="4"/>
  <c r="O813" i="4"/>
  <c r="O881" i="4"/>
  <c r="O835" i="4"/>
  <c r="O899" i="4"/>
  <c r="O971" i="4"/>
  <c r="O1047" i="4"/>
  <c r="O1115" i="4"/>
  <c r="O1179" i="4"/>
  <c r="O1243" i="4"/>
  <c r="O1311" i="4"/>
  <c r="O766" i="4"/>
  <c r="O836" i="4"/>
  <c r="O900" i="4"/>
  <c r="O972" i="4"/>
  <c r="O1044" i="4"/>
  <c r="O1108" i="4"/>
  <c r="O1172" i="4"/>
  <c r="O1236" i="4"/>
  <c r="O1300" i="4"/>
  <c r="O1368" i="4"/>
  <c r="O1432" i="4"/>
  <c r="O901" i="4"/>
  <c r="O981" i="4"/>
  <c r="O1061" i="4"/>
  <c r="O1137" i="4"/>
  <c r="O1209" i="4"/>
  <c r="O1277" i="4"/>
  <c r="O1349" i="4"/>
  <c r="O822" i="4"/>
  <c r="O886" i="4"/>
  <c r="O950" i="4"/>
  <c r="O1034" i="4"/>
  <c r="O1110" i="4"/>
  <c r="O1174" i="4"/>
  <c r="O1242" i="4"/>
  <c r="O1314" i="4"/>
  <c r="O1377" i="4"/>
  <c r="O1467" i="4"/>
  <c r="O1555" i="4"/>
  <c r="O1663" i="4"/>
  <c r="O1751" i="4"/>
  <c r="O1383" i="4"/>
  <c r="O889" i="4"/>
  <c r="O993" i="4"/>
  <c r="O1073" i="4"/>
  <c r="O1141" i="4"/>
  <c r="O1213" i="4"/>
  <c r="O1281" i="4"/>
  <c r="O1353" i="4"/>
  <c r="O826" i="4"/>
  <c r="O890" i="4"/>
  <c r="O962" i="4"/>
  <c r="O1038" i="4"/>
  <c r="O1114" i="4"/>
  <c r="O1178" i="4"/>
  <c r="O1246" i="4"/>
  <c r="O1318" i="4"/>
  <c r="O1382" i="4"/>
  <c r="O1478" i="4"/>
  <c r="O1559" i="4"/>
  <c r="O1667" i="4"/>
  <c r="O1763" i="4"/>
  <c r="O1389" i="4"/>
  <c r="O913" i="4"/>
  <c r="O997" i="4"/>
  <c r="O1077" i="4"/>
  <c r="O1145" i="4"/>
  <c r="O1217" i="4"/>
  <c r="O1285" i="4"/>
  <c r="O1357" i="4"/>
  <c r="O830" i="4"/>
  <c r="O894" i="4"/>
  <c r="O966" i="4"/>
  <c r="O1042" i="4"/>
  <c r="O1118" i="4"/>
  <c r="O1182" i="4"/>
  <c r="O1250" i="4"/>
  <c r="O1322" i="4"/>
  <c r="O1387" i="4"/>
  <c r="O1483" i="4"/>
  <c r="O1563" i="4"/>
  <c r="O1671" i="4"/>
  <c r="O1767" i="4"/>
  <c r="O793" i="4"/>
  <c r="O933" i="4"/>
  <c r="O1021" i="4"/>
  <c r="O1101" i="4"/>
  <c r="O1165" i="4"/>
  <c r="O1237" i="4"/>
  <c r="O1309" i="4"/>
  <c r="O781" i="4"/>
  <c r="O850" i="4"/>
  <c r="O914" i="4"/>
  <c r="O994" i="4"/>
  <c r="O1066" i="4"/>
  <c r="O1138" i="4"/>
  <c r="O1206" i="4"/>
  <c r="O1274" i="4"/>
  <c r="O1342" i="4"/>
  <c r="O1414" i="4"/>
  <c r="O1515" i="4"/>
  <c r="O1607" i="4"/>
  <c r="O1699" i="4"/>
  <c r="O1791" i="4"/>
  <c r="O1426" i="4"/>
  <c r="O1069" i="4"/>
  <c r="O1421" i="4"/>
  <c r="O1695" i="4"/>
  <c r="O1805" i="4"/>
  <c r="O1762" i="4"/>
  <c r="O1626" i="4"/>
  <c r="O1514" i="4"/>
  <c r="O1418" i="4"/>
  <c r="O1677" i="4"/>
  <c r="O1533" i="4"/>
  <c r="O1438" i="4"/>
  <c r="O1804" i="4"/>
  <c r="O1720" i="4"/>
  <c r="O1636" i="4"/>
  <c r="O1548" i="4"/>
  <c r="O1479" i="4"/>
  <c r="O1443" i="4"/>
  <c r="O1633" i="4"/>
  <c r="O1793" i="4"/>
  <c r="O1734" i="4"/>
  <c r="O1622" i="4"/>
  <c r="O1506" i="4"/>
  <c r="O1413" i="4"/>
  <c r="O1669" i="4"/>
  <c r="O1529" i="4"/>
  <c r="O1433" i="4"/>
  <c r="O1796" i="4"/>
  <c r="O1716" i="4"/>
  <c r="O1632" i="4"/>
  <c r="O1544" i="4"/>
  <c r="O1469" i="4"/>
  <c r="O1542" i="4"/>
  <c r="O1653" i="4"/>
  <c r="O1765" i="4"/>
  <c r="O1730" i="4"/>
  <c r="O1618" i="4"/>
  <c r="O1494" i="4"/>
  <c r="O1407" i="4"/>
  <c r="O1665" i="4"/>
  <c r="O1525" i="4"/>
  <c r="O1427" i="4"/>
  <c r="O1792" i="4"/>
  <c r="O1712" i="4"/>
  <c r="O1628" i="4"/>
  <c r="O1540" i="4"/>
  <c r="O1463" i="4"/>
  <c r="O1714" i="4"/>
  <c r="O1554" i="4"/>
  <c r="O1737" i="4"/>
  <c r="O1641" i="4"/>
  <c r="O1497" i="4"/>
  <c r="O1552" i="4"/>
  <c r="O1675" i="4"/>
  <c r="O1579" i="4"/>
  <c r="O1058" i="4"/>
  <c r="O1305" i="4"/>
  <c r="O1444" i="4"/>
  <c r="O803" i="4"/>
  <c r="O1710" i="4"/>
  <c r="O1582" i="4"/>
  <c r="O1797" i="4"/>
  <c r="O1637" i="4"/>
  <c r="O1509" i="4"/>
  <c r="O1708" i="4"/>
  <c r="O1596" i="4"/>
  <c r="O1799" i="4"/>
  <c r="O1511" i="4"/>
  <c r="O958" i="4"/>
  <c r="O1071" i="4"/>
  <c r="O1706" i="4"/>
  <c r="O1809" i="4"/>
  <c r="O1713" i="4"/>
  <c r="O1553" i="4"/>
  <c r="O1811" i="4"/>
  <c r="O986" i="4"/>
  <c r="O988" i="4"/>
  <c r="O942" i="4"/>
  <c r="O874" i="4"/>
  <c r="O768" i="4"/>
  <c r="O989" i="4"/>
  <c r="O1599" i="4"/>
  <c r="O1709" i="4"/>
  <c r="O1770" i="4"/>
  <c r="O1766" i="4"/>
  <c r="O1630" i="4"/>
  <c r="O1518" i="4"/>
  <c r="O1423" i="4"/>
  <c r="O1681" i="4"/>
  <c r="O1537" i="4"/>
  <c r="O1449" i="4"/>
  <c r="O1808" i="4"/>
  <c r="O1724" i="4"/>
  <c r="O1648" i="4"/>
  <c r="O1556" i="4"/>
  <c r="O1484" i="4"/>
  <c r="O787" i="4"/>
  <c r="O855" i="4"/>
  <c r="O919" i="4"/>
  <c r="O999" i="4"/>
  <c r="O1067" i="4"/>
  <c r="O1135" i="4"/>
  <c r="O1199" i="4"/>
  <c r="O1263" i="4"/>
  <c r="O1331" i="4"/>
  <c r="O792" i="4"/>
  <c r="O856" i="4"/>
  <c r="O920" i="4"/>
  <c r="O996" i="4"/>
  <c r="O1064" i="4"/>
  <c r="O1128" i="4"/>
  <c r="O1192" i="4"/>
  <c r="O1256" i="4"/>
  <c r="O1324" i="4"/>
  <c r="O1388" i="4"/>
  <c r="O1456" i="4"/>
  <c r="O821" i="4"/>
  <c r="O774" i="4"/>
  <c r="O843" i="4"/>
  <c r="O907" i="4"/>
  <c r="O979" i="4"/>
  <c r="O1055" i="4"/>
  <c r="O1123" i="4"/>
  <c r="O1187" i="4"/>
  <c r="O1251" i="4"/>
  <c r="O1319" i="4"/>
  <c r="O779" i="4"/>
  <c r="O844" i="4"/>
  <c r="O908" i="4"/>
  <c r="O980" i="4"/>
  <c r="O1052" i="4"/>
  <c r="O1116" i="4"/>
  <c r="O1180" i="4"/>
  <c r="O1244" i="4"/>
  <c r="O1312" i="4"/>
  <c r="O1376" i="4"/>
  <c r="O1440" i="4"/>
  <c r="O809" i="4"/>
  <c r="O778" i="4"/>
  <c r="O847" i="4"/>
  <c r="O911" i="4"/>
  <c r="O983" i="4"/>
  <c r="O1059" i="4"/>
  <c r="O1127" i="4"/>
  <c r="O1191" i="4"/>
  <c r="O1255" i="4"/>
  <c r="O1323" i="4"/>
  <c r="O784" i="4"/>
  <c r="O848" i="4"/>
  <c r="O912" i="4"/>
  <c r="O1004" i="4"/>
  <c r="O1072" i="4"/>
  <c r="O1136" i="4"/>
  <c r="O1200" i="4"/>
  <c r="O1264" i="4"/>
  <c r="O1332" i="4"/>
  <c r="O1396" i="4"/>
  <c r="O1464" i="4"/>
  <c r="O833" i="4"/>
  <c r="O783" i="4"/>
  <c r="O851" i="4"/>
  <c r="O915" i="4"/>
  <c r="O995" i="4"/>
  <c r="O1063" i="4"/>
  <c r="O1131" i="4"/>
  <c r="O1195" i="4"/>
  <c r="O1259" i="4"/>
  <c r="O1327" i="4"/>
  <c r="O788" i="4"/>
  <c r="O852" i="4"/>
  <c r="O916" i="4"/>
  <c r="O992" i="4"/>
  <c r="O1060" i="4"/>
  <c r="O1124" i="4"/>
  <c r="O1188" i="4"/>
  <c r="O1252" i="4"/>
  <c r="O1320" i="4"/>
  <c r="O1384" i="4"/>
  <c r="O1452" i="4"/>
  <c r="O921" i="4"/>
  <c r="O1005" i="4"/>
  <c r="O1085" i="4"/>
  <c r="O1153" i="4"/>
  <c r="O1225" i="4"/>
  <c r="O1293" i="4"/>
  <c r="O1365" i="4"/>
  <c r="O838" i="4"/>
  <c r="O902" i="4"/>
  <c r="O974" i="4"/>
  <c r="O1050" i="4"/>
  <c r="O1126" i="4"/>
  <c r="O1194" i="4"/>
  <c r="O1258" i="4"/>
  <c r="O1330" i="4"/>
  <c r="O1398" i="4"/>
  <c r="O1491" i="4"/>
  <c r="O1571" i="4"/>
  <c r="O1683" i="4"/>
  <c r="O1779" i="4"/>
  <c r="O1405" i="4"/>
  <c r="O905" i="4"/>
  <c r="O1013" i="4"/>
  <c r="O1093" i="4"/>
  <c r="O1157" i="4"/>
  <c r="O1229" i="4"/>
  <c r="O1297" i="4"/>
  <c r="O773" i="4"/>
  <c r="O842" i="4"/>
  <c r="O906" i="4"/>
  <c r="O978" i="4"/>
  <c r="O1054" i="4"/>
  <c r="O1130" i="4"/>
  <c r="O1198" i="4"/>
  <c r="O1266" i="4"/>
  <c r="O1334" i="4"/>
  <c r="O1403" i="4"/>
  <c r="O1495" i="4"/>
  <c r="O1583" i="4"/>
  <c r="O1687" i="4"/>
  <c r="O1783" i="4"/>
  <c r="O776" i="4"/>
  <c r="O929" i="4"/>
  <c r="O1017" i="4"/>
  <c r="O1097" i="4"/>
  <c r="O1161" i="4"/>
  <c r="O1233" i="4"/>
  <c r="O1301" i="4"/>
  <c r="O777" i="4"/>
  <c r="O846" i="4"/>
  <c r="O910" i="4"/>
  <c r="O982" i="4"/>
  <c r="O1062" i="4"/>
  <c r="O1134" i="4"/>
  <c r="O1202" i="4"/>
  <c r="O1270" i="4"/>
  <c r="O1338" i="4"/>
  <c r="O1409" i="4"/>
  <c r="O1507" i="4"/>
  <c r="O1587" i="4"/>
  <c r="O1691" i="4"/>
  <c r="O1787" i="4"/>
  <c r="O869" i="4"/>
  <c r="O949" i="4"/>
  <c r="O1037" i="4"/>
  <c r="O1117" i="4"/>
  <c r="O1185" i="4"/>
  <c r="O1253" i="4"/>
  <c r="O1325" i="4"/>
  <c r="O798" i="4"/>
  <c r="O866" i="4"/>
  <c r="O930" i="4"/>
  <c r="O1014" i="4"/>
  <c r="O1086" i="4"/>
  <c r="O1154" i="4"/>
  <c r="O1222" i="4"/>
  <c r="O1290" i="4"/>
  <c r="O1358" i="4"/>
  <c r="O1435" i="4"/>
  <c r="O1531" i="4"/>
  <c r="O1631" i="4"/>
  <c r="O1723" i="4"/>
  <c r="O1815" i="4"/>
  <c r="O797" i="4"/>
  <c r="O1181" i="4"/>
  <c r="O1551" i="4"/>
  <c r="O1759" i="4"/>
  <c r="O1821" i="4"/>
  <c r="O1702" i="4"/>
  <c r="O1586" i="4"/>
  <c r="O1486" i="4"/>
  <c r="O1397" i="4"/>
  <c r="O1657" i="4"/>
  <c r="O1517" i="4"/>
  <c r="O1417" i="4"/>
  <c r="O1784" i="4"/>
  <c r="O1700" i="4"/>
  <c r="O1620" i="4"/>
  <c r="O1532" i="4"/>
  <c r="O1453" i="4"/>
  <c r="O1474" i="4"/>
  <c r="O1651" i="4"/>
  <c r="O1812" i="4"/>
  <c r="O1698" i="4"/>
  <c r="O1570" i="4"/>
  <c r="O1482" i="4"/>
  <c r="O1391" i="4"/>
  <c r="O1645" i="4"/>
  <c r="O1513" i="4"/>
  <c r="O1411" i="4"/>
  <c r="O1780" i="4"/>
  <c r="O1692" i="4"/>
  <c r="O1616" i="4"/>
  <c r="O1528" i="4"/>
  <c r="O1447" i="4"/>
  <c r="O1581" i="4"/>
  <c r="O1686" i="4"/>
  <c r="O1798" i="4"/>
  <c r="O1690" i="4"/>
  <c r="O1566" i="4"/>
  <c r="O1471" i="4"/>
  <c r="O1386" i="4"/>
  <c r="O1629" i="4"/>
  <c r="O1505" i="4"/>
  <c r="O1406" i="4"/>
  <c r="O1772" i="4"/>
  <c r="O1688" i="4"/>
  <c r="O1608" i="4"/>
  <c r="O1524" i="4"/>
  <c r="O1437" i="4"/>
  <c r="O1810" i="4"/>
  <c r="O1650" i="4"/>
  <c r="O1801" i="4"/>
  <c r="O1721" i="4"/>
  <c r="O1609" i="4"/>
  <c r="O1776" i="4"/>
  <c r="O1755" i="4"/>
  <c r="O1643" i="4"/>
  <c r="O1499" i="4"/>
  <c r="O1010" i="4"/>
  <c r="O985" i="4"/>
  <c r="O1012" i="4"/>
  <c r="O770" i="4"/>
  <c r="O1774" i="4"/>
  <c r="O1694" i="4"/>
  <c r="O1550" i="4"/>
  <c r="O1749" i="4"/>
  <c r="O1589" i="4"/>
  <c r="O1475" i="4"/>
  <c r="O1676" i="4"/>
  <c r="O1580" i="4"/>
  <c r="O1639" i="4"/>
  <c r="O1262" i="4"/>
  <c r="O1189" i="4"/>
  <c r="O991" i="4"/>
  <c r="O1594" i="4"/>
  <c r="O1777" i="4"/>
  <c r="O1697" i="4"/>
  <c r="O1800" i="4"/>
  <c r="O1603" i="4"/>
  <c r="O954" i="4"/>
  <c r="O956" i="4"/>
  <c r="O1574" i="4"/>
  <c r="O1693" i="4"/>
  <c r="O1501" i="4"/>
  <c r="O1597" i="4"/>
  <c r="O1431" i="4"/>
  <c r="O801" i="4"/>
  <c r="O1057" i="4"/>
  <c r="O1065" i="4"/>
  <c r="O1610" i="4"/>
  <c r="O1722" i="4"/>
  <c r="O1817" i="4"/>
  <c r="O1726" i="4"/>
  <c r="O1606" i="4"/>
  <c r="O1490" i="4"/>
  <c r="O1402" i="4"/>
  <c r="O1661" i="4"/>
  <c r="O1521" i="4"/>
  <c r="O1422" i="4"/>
  <c r="O1788" i="4"/>
  <c r="O1704" i="4"/>
  <c r="O1624" i="4"/>
  <c r="O1536" i="4"/>
  <c r="O1458" i="4"/>
  <c r="O807" i="4"/>
  <c r="O871" i="4"/>
  <c r="O935" i="4"/>
  <c r="O1019" i="4"/>
  <c r="O1087" i="4"/>
  <c r="O1151" i="4"/>
  <c r="O1215" i="4"/>
  <c r="O1279" i="4"/>
  <c r="O1347" i="4"/>
  <c r="O808" i="4"/>
  <c r="O872" i="4"/>
  <c r="O936" i="4"/>
  <c r="O1016" i="4"/>
  <c r="O1080" i="4"/>
  <c r="O1144" i="4"/>
  <c r="O1208" i="4"/>
  <c r="O1272" i="4"/>
  <c r="O1340" i="4"/>
  <c r="O1404" i="4"/>
  <c r="O1472" i="4"/>
  <c r="O841" i="4"/>
  <c r="O791" i="4"/>
  <c r="O859" i="4"/>
  <c r="O923" i="4"/>
  <c r="O1003" i="4"/>
  <c r="O1075" i="4"/>
  <c r="O1139" i="4"/>
  <c r="O1203" i="4"/>
  <c r="O1267" i="4"/>
  <c r="O1335" i="4"/>
  <c r="O796" i="4"/>
  <c r="O860" i="4"/>
  <c r="O924" i="4"/>
  <c r="O1000" i="4"/>
  <c r="O1068" i="4"/>
  <c r="O1132" i="4"/>
  <c r="O1196" i="4"/>
  <c r="O1260" i="4"/>
  <c r="O1328" i="4"/>
  <c r="O1392" i="4"/>
  <c r="O1460" i="4"/>
  <c r="O825" i="4"/>
  <c r="O795" i="4"/>
  <c r="O863" i="4"/>
  <c r="O928" i="4"/>
  <c r="O1007" i="4"/>
  <c r="O1079" i="4"/>
  <c r="O1143" i="4"/>
  <c r="O1207" i="4"/>
  <c r="O1271" i="4"/>
  <c r="O1339" i="4"/>
  <c r="O800" i="4"/>
  <c r="O864" i="4"/>
  <c r="O944" i="4"/>
  <c r="O1024" i="4"/>
  <c r="O1088" i="4"/>
  <c r="O1152" i="4"/>
  <c r="O1216" i="4"/>
  <c r="O1280" i="4"/>
  <c r="O1348" i="4"/>
  <c r="O1412" i="4"/>
  <c r="O767" i="4"/>
  <c r="O849" i="4"/>
  <c r="O799" i="4"/>
  <c r="O867" i="4"/>
  <c r="O931" i="4"/>
  <c r="O1015" i="4"/>
  <c r="O1083" i="4"/>
  <c r="O1147" i="4"/>
  <c r="O1211" i="4"/>
  <c r="O1275" i="4"/>
  <c r="O1343" i="4"/>
  <c r="O804" i="4"/>
  <c r="O868" i="4"/>
  <c r="O932" i="4"/>
  <c r="O1008" i="4"/>
  <c r="O1076" i="4"/>
  <c r="O1140" i="4"/>
  <c r="O1204" i="4"/>
  <c r="O1268" i="4"/>
  <c r="O1336" i="4"/>
  <c r="O1400" i="4"/>
  <c r="O817" i="4"/>
  <c r="O937" i="4"/>
  <c r="O1025" i="4"/>
  <c r="O1105" i="4"/>
  <c r="O1169" i="4"/>
  <c r="O1241" i="4"/>
  <c r="O1313" i="4"/>
  <c r="O786" i="4"/>
  <c r="O854" i="4"/>
  <c r="O918" i="4"/>
  <c r="O998" i="4"/>
  <c r="O1074" i="4"/>
  <c r="O1142" i="4"/>
  <c r="O1210" i="4"/>
  <c r="O1278" i="4"/>
  <c r="O1346" i="4"/>
  <c r="O1419" i="4"/>
  <c r="O1519" i="4"/>
  <c r="O1619" i="4"/>
  <c r="O1703" i="4"/>
  <c r="O1795" i="4"/>
  <c r="O1468" i="4"/>
  <c r="O925" i="4"/>
  <c r="O1029" i="4"/>
  <c r="O1109" i="4"/>
  <c r="O1173" i="4"/>
  <c r="O1245" i="4"/>
  <c r="O1317" i="4"/>
  <c r="O790" i="4"/>
  <c r="O858" i="4"/>
  <c r="O922" i="4"/>
  <c r="O1002" i="4"/>
  <c r="O1078" i="4"/>
  <c r="O1146" i="4"/>
  <c r="O1214" i="4"/>
  <c r="O1282" i="4"/>
  <c r="O1350" i="4"/>
  <c r="O1425" i="4"/>
  <c r="O1523" i="4"/>
  <c r="O1623" i="4"/>
  <c r="O1711" i="4"/>
  <c r="O1803" i="4"/>
  <c r="O853" i="4"/>
  <c r="O945" i="4"/>
  <c r="O1033" i="4"/>
  <c r="O1113" i="4"/>
  <c r="O1177" i="4"/>
  <c r="O1249" i="4"/>
  <c r="O1321" i="4"/>
  <c r="O794" i="4"/>
  <c r="O862" i="4"/>
  <c r="O926" i="4"/>
  <c r="O1006" i="4"/>
  <c r="O1082" i="4"/>
  <c r="O1150" i="4"/>
  <c r="O1218" i="4"/>
  <c r="O1286" i="4"/>
  <c r="O1354" i="4"/>
  <c r="O1430" i="4"/>
  <c r="O1527" i="4"/>
  <c r="O1627" i="4"/>
  <c r="O1719" i="4"/>
  <c r="O1807" i="4"/>
  <c r="O897" i="4"/>
  <c r="O977" i="4"/>
  <c r="O1053" i="4"/>
  <c r="O1133" i="4"/>
  <c r="O1205" i="4"/>
  <c r="O1273" i="4"/>
  <c r="O1345" i="4"/>
  <c r="O818" i="4"/>
  <c r="O882" i="4"/>
  <c r="O946" i="4"/>
  <c r="O1030" i="4"/>
  <c r="O1106" i="4"/>
  <c r="O1170" i="4"/>
  <c r="O1238" i="4"/>
  <c r="O1310" i="4"/>
  <c r="O1369" i="4"/>
  <c r="O1462" i="4"/>
  <c r="O1547" i="4"/>
  <c r="O1659" i="4"/>
  <c r="O1743" i="4"/>
  <c r="O1378" i="4"/>
  <c r="O829" i="4"/>
  <c r="O1261" i="4"/>
  <c r="O1565" i="4"/>
  <c r="O1775" i="4"/>
  <c r="O1818" i="4"/>
  <c r="O1678" i="4"/>
  <c r="O1558" i="4"/>
  <c r="O1461" i="4"/>
  <c r="O1785" i="4"/>
  <c r="O1621" i="4"/>
  <c r="O1489" i="4"/>
  <c r="O1395" i="4"/>
  <c r="O1764" i="4"/>
  <c r="O1680" i="4"/>
  <c r="O1592" i="4"/>
  <c r="O1516" i="4"/>
  <c r="O1415" i="4"/>
  <c r="O1569" i="4"/>
  <c r="O1715" i="4"/>
  <c r="O1814" i="4"/>
  <c r="O1670" i="4"/>
  <c r="O1546" i="4"/>
  <c r="O1455" i="4"/>
  <c r="O1781" i="4"/>
  <c r="O1617" i="4"/>
  <c r="O1485" i="4"/>
  <c r="O1390" i="4"/>
  <c r="O1752" i="4"/>
  <c r="O1672" i="4"/>
  <c r="O1588" i="4"/>
  <c r="O1512" i="4"/>
  <c r="O1410" i="4"/>
  <c r="O1590" i="4"/>
  <c r="O1718" i="4"/>
  <c r="O1806" i="4"/>
  <c r="O1666" i="4"/>
  <c r="O1538" i="4"/>
  <c r="O1450" i="4"/>
  <c r="O1733" i="4"/>
  <c r="O1605" i="4"/>
  <c r="O1481" i="4"/>
  <c r="O1385" i="4"/>
  <c r="O1748" i="4"/>
  <c r="O1668" i="4"/>
  <c r="O1584" i="4"/>
  <c r="O1508" i="4"/>
  <c r="O1394" i="4"/>
  <c r="O1794" i="4"/>
  <c r="O1634" i="4"/>
  <c r="O1769" i="4"/>
  <c r="O1705" i="4"/>
  <c r="O1593" i="4"/>
  <c r="O1760" i="4"/>
  <c r="O1739" i="4"/>
  <c r="O1611" i="4"/>
  <c r="O1441" i="4"/>
  <c r="O802" i="4"/>
  <c r="O953" i="4"/>
  <c r="O771" i="4"/>
  <c r="O1758" i="4"/>
  <c r="O1614" i="4"/>
  <c r="O1502" i="4"/>
  <c r="O1717" i="4"/>
  <c r="O1573" i="4"/>
  <c r="O1756" i="4"/>
  <c r="O1644" i="4"/>
  <c r="O1500" i="4"/>
  <c r="O1591" i="4"/>
  <c r="O1070" i="4"/>
  <c r="O772" i="4"/>
  <c r="O959" i="4"/>
  <c r="O1802" i="4"/>
  <c r="O1578" i="4"/>
  <c r="O1761" i="4"/>
  <c r="O1649" i="4"/>
  <c r="O1640" i="4"/>
  <c r="O1473" i="4"/>
  <c r="O961" i="4"/>
  <c r="O987" i="4"/>
  <c r="O1477" i="4"/>
  <c r="O1613" i="4"/>
  <c r="O1825" i="4"/>
  <c r="O1824" i="4"/>
  <c r="T1847" i="4"/>
  <c r="U465" i="4"/>
  <c r="S475" i="4"/>
  <c r="U476" i="4"/>
  <c r="U472" i="4"/>
  <c r="Q1829" i="4"/>
  <c r="Q1826" i="4"/>
  <c r="Q1827" i="4"/>
  <c r="Q1828" i="4"/>
  <c r="U1828" i="4"/>
  <c r="U1826" i="4"/>
  <c r="U1829" i="4"/>
  <c r="U1827" i="4"/>
  <c r="S562" i="4"/>
  <c r="T574" i="4" s="1"/>
  <c r="U657" i="4"/>
  <c r="U611" i="4"/>
  <c r="U623" i="4"/>
  <c r="U594" i="4"/>
  <c r="S594" i="4" s="1"/>
  <c r="U670" i="4"/>
  <c r="U542" i="4"/>
  <c r="S641" i="4"/>
  <c r="U606" i="4"/>
  <c r="S612" i="4"/>
  <c r="S657" i="4" s="1"/>
  <c r="U677" i="4"/>
  <c r="S662" i="4"/>
  <c r="U705" i="4"/>
  <c r="U477" i="4"/>
  <c r="U567" i="4"/>
  <c r="U486" i="4"/>
  <c r="U666" i="4"/>
  <c r="U600" i="4"/>
  <c r="U673" i="4"/>
  <c r="U612" i="4"/>
  <c r="U639" i="4"/>
  <c r="U500" i="4"/>
  <c r="S454" i="4"/>
  <c r="U491" i="4"/>
  <c r="U736" i="4"/>
  <c r="U648" i="4"/>
  <c r="U688" i="4"/>
  <c r="U640" i="4"/>
  <c r="U711" i="4"/>
  <c r="U739" i="4"/>
  <c r="U716" i="4"/>
  <c r="U744" i="4"/>
  <c r="U566" i="4"/>
  <c r="U684" i="4"/>
  <c r="U577" i="4"/>
  <c r="U475" i="4"/>
  <c r="U499" i="4"/>
  <c r="U687" i="4"/>
  <c r="U672" i="4"/>
  <c r="U588" i="4"/>
  <c r="U643" i="4"/>
  <c r="S479" i="4"/>
  <c r="U527" i="4"/>
  <c r="U714" i="4"/>
  <c r="U682" i="4"/>
  <c r="U599" i="4"/>
  <c r="U617" i="4"/>
  <c r="U629" i="4"/>
  <c r="U618" i="4"/>
  <c r="U745" i="4"/>
  <c r="U679" i="4"/>
  <c r="U735" i="4"/>
  <c r="U645" i="4"/>
  <c r="U729" i="4"/>
  <c r="U698" i="4"/>
  <c r="U582" i="4"/>
  <c r="U526" i="4"/>
  <c r="U484" i="4"/>
  <c r="U479" i="4"/>
  <c r="U675" i="4"/>
  <c r="U715" i="4"/>
  <c r="U637" i="4"/>
  <c r="U632" i="4"/>
  <c r="U655" i="4"/>
  <c r="U572" i="4"/>
  <c r="U725" i="4"/>
  <c r="U707" i="4"/>
  <c r="U580" i="4"/>
  <c r="U747" i="4"/>
  <c r="U631" i="4"/>
  <c r="U638" i="4"/>
  <c r="U656" i="4"/>
  <c r="U712" i="4"/>
  <c r="U575" i="4"/>
  <c r="U723" i="4"/>
  <c r="U741" i="4"/>
  <c r="U535" i="4"/>
  <c r="U487" i="4"/>
  <c r="S472" i="4"/>
  <c r="S456" i="4"/>
  <c r="Q526" i="4"/>
  <c r="U593" i="4"/>
  <c r="U754" i="4"/>
  <c r="U685" i="4"/>
  <c r="U661" i="4"/>
  <c r="U737" i="4"/>
  <c r="U614" i="4"/>
  <c r="U678" i="4"/>
  <c r="U750" i="4"/>
  <c r="U738" i="4"/>
  <c r="U607" i="4"/>
  <c r="S737" i="4"/>
  <c r="T738" i="4" s="1"/>
  <c r="U509" i="4"/>
  <c r="S490" i="4"/>
  <c r="U752" i="4"/>
  <c r="U699" i="4"/>
  <c r="U731" i="4"/>
  <c r="U564" i="4"/>
  <c r="U667" i="4"/>
  <c r="U647" i="4"/>
  <c r="U579" i="4"/>
  <c r="U589" i="4"/>
  <c r="U671" i="4"/>
  <c r="U756" i="4"/>
  <c r="U720" i="4"/>
  <c r="U658" i="4"/>
  <c r="U602" i="4"/>
  <c r="U660" i="4"/>
  <c r="U740" i="4"/>
  <c r="U591" i="4"/>
  <c r="U573" i="4"/>
  <c r="U701" i="4"/>
  <c r="U547" i="4"/>
  <c r="U528" i="4"/>
  <c r="U521" i="4"/>
  <c r="U502" i="4"/>
  <c r="U520" i="4"/>
  <c r="U470" i="4"/>
  <c r="U530" i="4"/>
  <c r="U468" i="4"/>
  <c r="U532" i="4"/>
  <c r="S457" i="4"/>
  <c r="T457" i="4" s="1"/>
  <c r="U453" i="4"/>
  <c r="U633" i="4"/>
  <c r="U608" i="4"/>
  <c r="U689" i="4"/>
  <c r="U757" i="4"/>
  <c r="U603" i="4"/>
  <c r="U598" i="4"/>
  <c r="U743" i="4"/>
  <c r="U646" i="4"/>
  <c r="U691" i="4"/>
  <c r="U621" i="4"/>
  <c r="U584" i="4"/>
  <c r="U713" i="4"/>
  <c r="U692" i="4"/>
  <c r="U652" i="4"/>
  <c r="U680" i="4"/>
  <c r="U668" i="4"/>
  <c r="U732" i="4"/>
  <c r="U694" i="4"/>
  <c r="U734" i="4"/>
  <c r="U696" i="4"/>
  <c r="U702" i="4"/>
  <c r="U568" i="4"/>
  <c r="S742" i="4"/>
  <c r="T742" i="4" s="1"/>
  <c r="U565" i="4"/>
  <c r="U749" i="4"/>
  <c r="U759" i="4"/>
  <c r="U595" i="4"/>
  <c r="U626" i="4"/>
  <c r="U676" i="4"/>
  <c r="U727" i="4"/>
  <c r="U604" i="4"/>
  <c r="S659" i="4"/>
  <c r="U592" i="4"/>
  <c r="S640" i="4"/>
  <c r="U574" i="4"/>
  <c r="U730" i="4"/>
  <c r="Q727" i="4"/>
  <c r="U450" i="4"/>
  <c r="U467" i="4"/>
  <c r="U585" i="4"/>
  <c r="U615" i="4"/>
  <c r="U590" i="4"/>
  <c r="U755" i="4"/>
  <c r="U619" i="4"/>
  <c r="S595" i="4"/>
  <c r="T595" i="4" s="1"/>
  <c r="U681" i="4"/>
  <c r="U635" i="4"/>
  <c r="U601" i="4"/>
  <c r="U760" i="4"/>
  <c r="U663" i="4"/>
  <c r="U724" i="4"/>
  <c r="U576" i="4"/>
  <c r="U686" i="4"/>
  <c r="U583" i="4"/>
  <c r="U625" i="4"/>
  <c r="U636" i="4"/>
  <c r="U642" i="4"/>
  <c r="U710" i="4"/>
  <c r="U721" i="4"/>
  <c r="U722" i="4"/>
  <c r="U586" i="4"/>
  <c r="U665" i="4"/>
  <c r="U578" i="4"/>
  <c r="U726" i="4"/>
  <c r="U733" i="4"/>
  <c r="U659" i="4"/>
  <c r="U561" i="4"/>
  <c r="S561" i="4" s="1"/>
  <c r="U610" i="4"/>
  <c r="U605" i="4"/>
  <c r="U627" i="4"/>
  <c r="U718" i="4"/>
  <c r="U674" i="4"/>
  <c r="U719" i="4"/>
  <c r="U709" i="4"/>
  <c r="U695" i="4"/>
  <c r="U751" i="4"/>
  <c r="U651" i="4"/>
  <c r="S704" i="4"/>
  <c r="T704" i="4" s="1"/>
  <c r="U511" i="4"/>
  <c r="U514" i="4"/>
  <c r="U624" i="4"/>
  <c r="U690" i="4"/>
  <c r="U650" i="4"/>
  <c r="U746" i="4"/>
  <c r="U571" i="4"/>
  <c r="U728" i="4"/>
  <c r="U649" i="4"/>
  <c r="U700" i="4"/>
  <c r="U748" i="4"/>
  <c r="U570" i="4"/>
  <c r="U758" i="4"/>
  <c r="U697" i="4"/>
  <c r="U630" i="4"/>
  <c r="U581" i="4"/>
  <c r="U609" i="4"/>
  <c r="U753" i="4"/>
  <c r="U597" i="4"/>
  <c r="U653" i="4"/>
  <c r="U569" i="4"/>
  <c r="U669" i="4"/>
  <c r="U644" i="4"/>
  <c r="U683" i="4"/>
  <c r="U664" i="4"/>
  <c r="S664" i="4" s="1"/>
  <c r="U717" i="4"/>
  <c r="U628" i="4"/>
  <c r="U703" i="4"/>
  <c r="U706" i="4"/>
  <c r="U515" i="4"/>
  <c r="U490" i="4"/>
  <c r="U522" i="4"/>
  <c r="U464" i="4"/>
  <c r="T620" i="4"/>
  <c r="T628" i="4"/>
  <c r="T562" i="4"/>
  <c r="T558" i="4"/>
  <c r="Q657" i="4"/>
  <c r="Q612" i="4"/>
  <c r="Q673" i="4"/>
  <c r="Q616" i="4"/>
  <c r="Q574" i="4"/>
  <c r="Q566" i="4"/>
  <c r="Q562" i="4"/>
  <c r="Q607" i="4"/>
  <c r="Q662" i="4"/>
  <c r="Q736" i="4"/>
  <c r="Q684" i="4"/>
  <c r="Q739" i="4"/>
  <c r="Q738" i="4"/>
  <c r="Q737" i="4"/>
  <c r="M561" i="4"/>
  <c r="N561" i="4" s="1"/>
  <c r="U708" i="4"/>
  <c r="U634" i="4"/>
  <c r="Q690" i="4"/>
  <c r="Q756" i="4"/>
  <c r="Q740" i="4"/>
  <c r="Q724" i="4"/>
  <c r="Q700" i="4"/>
  <c r="Q637" i="4"/>
  <c r="Q638" i="4"/>
  <c r="Q631" i="4"/>
  <c r="Q667" i="4"/>
  <c r="Q687" i="4"/>
  <c r="Q648" i="4"/>
  <c r="Q692" i="4"/>
  <c r="Q624" i="4"/>
  <c r="Q747" i="4"/>
  <c r="Q674" i="4"/>
  <c r="Q617" i="4"/>
  <c r="Q618" i="4"/>
  <c r="Q595" i="4"/>
  <c r="Q757" i="4"/>
  <c r="Q741" i="4"/>
  <c r="Q725" i="4"/>
  <c r="Q709" i="4"/>
  <c r="Q666" i="4"/>
  <c r="Q752" i="4"/>
  <c r="Q712" i="4"/>
  <c r="Q621" i="4"/>
  <c r="Q626" i="4"/>
  <c r="Q646" i="4"/>
  <c r="Q635" i="4"/>
  <c r="Q671" i="4"/>
  <c r="Q632" i="4"/>
  <c r="Q656" i="4"/>
  <c r="Q715" i="4"/>
  <c r="Q699" i="4"/>
  <c r="Q658" i="4"/>
  <c r="Q604" i="4"/>
  <c r="Q758" i="4"/>
  <c r="Q714" i="4"/>
  <c r="Q681" i="4"/>
  <c r="Q645" i="4"/>
  <c r="Q614" i="4"/>
  <c r="Q753" i="4"/>
  <c r="Q705" i="4"/>
  <c r="Q686" i="4"/>
  <c r="Q718" i="4"/>
  <c r="Q748" i="4"/>
  <c r="Q732" i="4"/>
  <c r="Q708" i="4"/>
  <c r="Q691" i="4"/>
  <c r="Q630" i="4"/>
  <c r="Q650" i="4"/>
  <c r="Q655" i="4"/>
  <c r="Q675" i="4"/>
  <c r="Q636" i="4"/>
  <c r="Q672" i="4"/>
  <c r="Q755" i="4"/>
  <c r="Q735" i="4"/>
  <c r="Q649" i="4"/>
  <c r="Q619" i="4"/>
  <c r="Q754" i="4"/>
  <c r="Q734" i="4"/>
  <c r="Q710" i="4"/>
  <c r="Q610" i="4"/>
  <c r="Q749" i="4"/>
  <c r="Q733" i="4"/>
  <c r="Q717" i="4"/>
  <c r="Q701" i="4"/>
  <c r="Q678" i="4"/>
  <c r="Q728" i="4"/>
  <c r="Q685" i="4"/>
  <c r="Q653" i="4"/>
  <c r="Q634" i="4"/>
  <c r="Q627" i="4"/>
  <c r="Q663" i="4"/>
  <c r="Q679" i="4"/>
  <c r="Q644" i="4"/>
  <c r="Q680" i="4"/>
  <c r="Q731" i="4"/>
  <c r="Q707" i="4"/>
  <c r="Q633" i="4"/>
  <c r="Q615" i="4"/>
  <c r="Q746" i="4"/>
  <c r="Q726" i="4"/>
  <c r="Q665" i="4"/>
  <c r="Q729" i="4"/>
  <c r="Q713" i="4"/>
  <c r="Q625" i="4"/>
  <c r="Q759" i="4"/>
  <c r="Q698" i="4"/>
  <c r="Q743" i="4"/>
  <c r="Q750" i="4"/>
  <c r="Q723" i="4"/>
  <c r="Q722" i="4"/>
  <c r="Q730" i="4"/>
  <c r="Q721" i="4"/>
  <c r="Q711" i="4"/>
  <c r="Q704" i="4"/>
  <c r="U558" i="4"/>
  <c r="Q567" i="4"/>
  <c r="Q583" i="4"/>
  <c r="Q603" i="4"/>
  <c r="Q592" i="4"/>
  <c r="Q589" i="4"/>
  <c r="Q609" i="4"/>
  <c r="Q598" i="4"/>
  <c r="Q558" i="4"/>
  <c r="Q571" i="4"/>
  <c r="Q587" i="4"/>
  <c r="Q576" i="4"/>
  <c r="Q569" i="4"/>
  <c r="Q593" i="4"/>
  <c r="Q561" i="4"/>
  <c r="Q602" i="4"/>
  <c r="Q575" i="4"/>
  <c r="Q591" i="4"/>
  <c r="Q580" i="4"/>
  <c r="Q581" i="4"/>
  <c r="Q601" i="4"/>
  <c r="Q586" i="4"/>
  <c r="Q579" i="4"/>
  <c r="Q599" i="4"/>
  <c r="Q588" i="4"/>
  <c r="Q585" i="4"/>
  <c r="Q605" i="4"/>
  <c r="Q570" i="4"/>
  <c r="U742" i="4"/>
  <c r="Q742" i="4"/>
  <c r="Q744" i="4"/>
  <c r="M585" i="4"/>
  <c r="N585" i="4" s="1"/>
  <c r="S452" i="4"/>
  <c r="T452" i="4" s="1"/>
  <c r="T641" i="4"/>
  <c r="T682" i="4"/>
  <c r="T702" i="4"/>
  <c r="T694" i="4"/>
  <c r="T693" i="4"/>
  <c r="T689" i="4"/>
  <c r="T670" i="4"/>
  <c r="T677" i="4"/>
  <c r="T736" i="4"/>
  <c r="T684" i="4"/>
  <c r="T662" i="4"/>
  <c r="U693" i="4"/>
  <c r="Q677" i="4"/>
  <c r="Q689" i="4"/>
  <c r="Q641" i="4"/>
  <c r="Q694" i="4"/>
  <c r="Q751" i="4"/>
  <c r="Q682" i="4"/>
  <c r="Q702" i="4"/>
  <c r="Q745" i="4"/>
  <c r="Q670" i="4"/>
  <c r="Q693" i="4"/>
  <c r="U559" i="4"/>
  <c r="Q584" i="4"/>
  <c r="Q565" i="4"/>
  <c r="Q608" i="4"/>
  <c r="Q582" i="4"/>
  <c r="Q578" i="4"/>
  <c r="Q661" i="4"/>
  <c r="Q568" i="4"/>
  <c r="Q573" i="4"/>
  <c r="Q647" i="4"/>
  <c r="Q564" i="4"/>
  <c r="Q716" i="4"/>
  <c r="Q590" i="4"/>
  <c r="Q572" i="4"/>
  <c r="Q597" i="4"/>
  <c r="Q643" i="4"/>
  <c r="Q560" i="4"/>
  <c r="Q559" i="4"/>
  <c r="Q760" i="4"/>
  <c r="S611" i="4"/>
  <c r="Q719" i="4"/>
  <c r="Q668" i="4"/>
  <c r="Q639" i="4"/>
  <c r="Q611" i="4"/>
  <c r="Q642" i="4"/>
  <c r="Q623" i="4"/>
  <c r="Q720" i="4"/>
  <c r="Q651" i="4"/>
  <c r="Q629" i="4"/>
  <c r="Q652" i="4"/>
  <c r="Q640" i="4"/>
  <c r="Q613" i="4"/>
  <c r="Q622" i="4"/>
  <c r="M644" i="4"/>
  <c r="N644" i="4" s="1"/>
  <c r="M664" i="4"/>
  <c r="N664" i="4" s="1"/>
  <c r="U516" i="4"/>
  <c r="U492" i="4"/>
  <c r="T612" i="4"/>
  <c r="T616" i="4"/>
  <c r="T568" i="4"/>
  <c r="T608" i="4"/>
  <c r="T716" i="4"/>
  <c r="T590" i="4"/>
  <c r="T565" i="4"/>
  <c r="T578" i="4"/>
  <c r="T560" i="4"/>
  <c r="T643" i="4"/>
  <c r="T647" i="4"/>
  <c r="T573" i="4"/>
  <c r="T597" i="4"/>
  <c r="T559" i="4"/>
  <c r="T661" i="4"/>
  <c r="T760" i="4"/>
  <c r="T584" i="4"/>
  <c r="T572" i="4"/>
  <c r="T582" i="4"/>
  <c r="T564" i="4"/>
  <c r="T563" i="4"/>
  <c r="T577" i="4"/>
  <c r="T722" i="4"/>
  <c r="Q596" i="4"/>
  <c r="Q600" i="4"/>
  <c r="Q563" i="4"/>
  <c r="Q606" i="4"/>
  <c r="Q577" i="4"/>
  <c r="Q594" i="4"/>
  <c r="U587" i="4"/>
  <c r="Q628" i="4"/>
  <c r="Q620" i="4"/>
  <c r="Q664" i="4"/>
  <c r="S654" i="4"/>
  <c r="Q706" i="4"/>
  <c r="Q688" i="4"/>
  <c r="Q703" i="4"/>
  <c r="Q696" i="4"/>
  <c r="Q669" i="4"/>
  <c r="Q659" i="4"/>
  <c r="Q683" i="4"/>
  <c r="Q660" i="4"/>
  <c r="Q695" i="4"/>
  <c r="Q676" i="4"/>
  <c r="Q697" i="4"/>
  <c r="Q654" i="4"/>
  <c r="O560" i="4"/>
  <c r="O558" i="4"/>
  <c r="O559" i="4"/>
  <c r="S464" i="4"/>
  <c r="T464" i="4" s="1"/>
  <c r="S502" i="4"/>
  <c r="T522" i="4" s="1"/>
  <c r="U508" i="4"/>
  <c r="S486" i="4"/>
  <c r="X486" i="4" s="1"/>
  <c r="S467" i="4"/>
  <c r="T467" i="4" s="1"/>
  <c r="U548" i="4"/>
  <c r="U480" i="4"/>
  <c r="U459" i="4"/>
  <c r="S470" i="4"/>
  <c r="T470" i="4" s="1"/>
  <c r="U462" i="4"/>
  <c r="U455" i="4"/>
  <c r="T500" i="4"/>
  <c r="U481" i="4"/>
  <c r="U460" i="4"/>
  <c r="S449" i="4"/>
  <c r="T459" i="4" s="1"/>
  <c r="U525" i="4"/>
  <c r="U518" i="4"/>
  <c r="U533" i="4"/>
  <c r="U489" i="4"/>
  <c r="U449" i="4"/>
  <c r="U494" i="4"/>
  <c r="U471" i="4"/>
  <c r="U550" i="4"/>
  <c r="U497" i="4"/>
  <c r="S474" i="4"/>
  <c r="T474" i="4" s="1"/>
  <c r="U507" i="4"/>
  <c r="U485" i="4"/>
  <c r="U483" i="4"/>
  <c r="U506" i="4"/>
  <c r="U474" i="4"/>
  <c r="U524" i="4"/>
  <c r="U519" i="4"/>
  <c r="U482" i="4"/>
  <c r="U517" i="4"/>
  <c r="U463" i="4"/>
  <c r="U448" i="4"/>
  <c r="U473" i="4"/>
  <c r="U501" i="4"/>
  <c r="S455" i="4"/>
  <c r="U529" i="4"/>
  <c r="U513" i="4"/>
  <c r="U495" i="4"/>
  <c r="U552" i="4"/>
  <c r="U551" i="4"/>
  <c r="U549" i="4"/>
  <c r="U496" i="4"/>
  <c r="T493" i="4"/>
  <c r="U493" i="4"/>
  <c r="U544" i="4"/>
  <c r="U543" i="4"/>
  <c r="U538" i="4"/>
  <c r="U534" i="4"/>
  <c r="U504" i="4"/>
  <c r="U523" i="4"/>
  <c r="U505" i="4"/>
  <c r="U510" i="4"/>
  <c r="U546" i="4"/>
  <c r="U531" i="4"/>
  <c r="U537" i="4"/>
  <c r="U466" i="4"/>
  <c r="U512" i="4"/>
  <c r="U541" i="4"/>
  <c r="S458" i="4"/>
  <c r="V458" i="4" s="1"/>
  <c r="O556" i="4"/>
  <c r="O557" i="4"/>
  <c r="Q556" i="4"/>
  <c r="U556" i="4"/>
  <c r="Q557" i="4"/>
  <c r="U557" i="4"/>
  <c r="T556" i="4"/>
  <c r="T557" i="4"/>
  <c r="T454" i="4"/>
  <c r="T448" i="4"/>
  <c r="T481" i="4"/>
  <c r="T485" i="4"/>
  <c r="T529" i="4"/>
  <c r="T543" i="4"/>
  <c r="T461" i="4"/>
  <c r="T480" i="4"/>
  <c r="T482" i="4"/>
  <c r="T544" i="4"/>
  <c r="T541" i="4"/>
  <c r="T505" i="4"/>
  <c r="O448" i="4"/>
  <c r="O450" i="4"/>
  <c r="O449" i="4"/>
  <c r="O474" i="4"/>
  <c r="O465" i="4"/>
  <c r="O478" i="4"/>
  <c r="O481" i="4"/>
  <c r="O458" i="4"/>
  <c r="O485" i="4"/>
  <c r="O475" i="4"/>
  <c r="O453" i="4"/>
  <c r="O456" i="4"/>
  <c r="O467" i="4"/>
  <c r="O452" i="4"/>
  <c r="O471" i="4"/>
  <c r="O459" i="4"/>
  <c r="O460" i="4"/>
  <c r="O457" i="4"/>
  <c r="O468" i="4"/>
  <c r="O470" i="4"/>
  <c r="O477" i="4"/>
  <c r="O483" i="4"/>
  <c r="O473" i="4"/>
  <c r="O464" i="4"/>
  <c r="O455" i="4"/>
  <c r="O454" i="4"/>
  <c r="O466" i="4"/>
  <c r="O484" i="4"/>
  <c r="O463" i="4"/>
  <c r="O451" i="4"/>
  <c r="O476" i="4"/>
  <c r="O462" i="4"/>
  <c r="O480" i="4"/>
  <c r="O461" i="4"/>
  <c r="O479" i="4"/>
  <c r="O482" i="4"/>
  <c r="O469" i="4"/>
  <c r="O472" i="4"/>
  <c r="S451" i="4"/>
  <c r="Q466" i="4"/>
  <c r="Q451" i="4"/>
  <c r="Q506" i="4"/>
  <c r="Q474" i="4"/>
  <c r="Q508" i="4"/>
  <c r="Q507" i="4"/>
  <c r="U461" i="4"/>
  <c r="Q481" i="4"/>
  <c r="Q543" i="4"/>
  <c r="Q482" i="4"/>
  <c r="Q480" i="4"/>
  <c r="Q448" i="4"/>
  <c r="Q461" i="4"/>
  <c r="Q463" i="4"/>
  <c r="Q485" i="4"/>
  <c r="Q505" i="4"/>
  <c r="Q493" i="4"/>
  <c r="Q544" i="4"/>
  <c r="Q541" i="4"/>
  <c r="Q529" i="4"/>
  <c r="U536" i="4"/>
  <c r="S536" i="4" s="1"/>
  <c r="T536" i="4" s="1"/>
  <c r="Q536" i="4"/>
  <c r="Q504" i="4"/>
  <c r="Q459" i="4"/>
  <c r="Q449" i="4"/>
  <c r="Q501" i="4"/>
  <c r="Q460" i="4"/>
  <c r="Q510" i="4"/>
  <c r="Q533" i="4"/>
  <c r="Q534" i="4"/>
  <c r="Q471" i="4"/>
  <c r="Q549" i="4"/>
  <c r="Q531" i="4"/>
  <c r="Q551" i="4"/>
  <c r="Q489" i="4"/>
  <c r="Q497" i="4"/>
  <c r="Q483" i="4"/>
  <c r="Q512" i="4"/>
  <c r="Q552" i="4"/>
  <c r="Q462" i="4"/>
  <c r="Q528" i="4"/>
  <c r="Q537" i="4"/>
  <c r="Q499" i="4"/>
  <c r="Q513" i="4"/>
  <c r="Q473" i="4"/>
  <c r="Q523" i="4"/>
  <c r="Q494" i="4"/>
  <c r="Q465" i="4"/>
  <c r="Q524" i="4"/>
  <c r="Q517" i="4"/>
  <c r="Q455" i="4"/>
  <c r="Q546" i="4"/>
  <c r="Q525" i="4"/>
  <c r="Q545" i="4"/>
  <c r="Q496" i="4"/>
  <c r="Q518" i="4"/>
  <c r="Q519" i="4"/>
  <c r="Q547" i="4"/>
  <c r="Q495" i="4"/>
  <c r="T478" i="4"/>
  <c r="T463" i="4"/>
  <c r="U488" i="4"/>
  <c r="S488" i="4" s="1"/>
  <c r="V488" i="4" s="1"/>
  <c r="Q538" i="4"/>
  <c r="Q488" i="4"/>
  <c r="Q475" i="4"/>
  <c r="U456" i="4"/>
  <c r="Q456" i="4"/>
  <c r="Q458" i="4"/>
  <c r="U503" i="4"/>
  <c r="S503" i="4" s="1"/>
  <c r="Q492" i="4"/>
  <c r="Q503" i="4"/>
  <c r="Q479" i="4"/>
  <c r="Q527" i="4"/>
  <c r="Q491" i="4"/>
  <c r="Q484" i="4"/>
  <c r="Q516" i="4"/>
  <c r="Q515" i="4"/>
  <c r="Q514" i="4"/>
  <c r="Q535" i="4"/>
  <c r="S476" i="4"/>
  <c r="Q476" i="4"/>
  <c r="Q487" i="4"/>
  <c r="Q539" i="4"/>
  <c r="Q542" i="4"/>
  <c r="U478" i="4"/>
  <c r="Q478" i="4"/>
  <c r="Q486" i="4"/>
  <c r="Q520" i="4"/>
  <c r="Q472" i="4"/>
  <c r="Q490" i="4"/>
  <c r="Q502" i="4"/>
  <c r="Q522" i="4"/>
  <c r="Q521" i="4"/>
  <c r="T450" i="4"/>
  <c r="T479" i="4"/>
  <c r="T484" i="4"/>
  <c r="T491" i="4"/>
  <c r="T492" i="4"/>
  <c r="T475" i="4"/>
  <c r="T504" i="4"/>
  <c r="T472" i="4"/>
  <c r="T490" i="4"/>
  <c r="T456" i="4"/>
  <c r="T477" i="4"/>
  <c r="T550" i="4"/>
  <c r="T530" i="4"/>
  <c r="T532" i="4"/>
  <c r="T548" i="4"/>
  <c r="T511" i="4"/>
  <c r="T498" i="4"/>
  <c r="T509" i="4"/>
  <c r="Q454" i="4"/>
  <c r="Q470" i="4"/>
  <c r="S540" i="4"/>
  <c r="Q540" i="4"/>
  <c r="U539" i="4"/>
  <c r="U469" i="4"/>
  <c r="S469" i="4" s="1"/>
  <c r="V469" i="4" s="1"/>
  <c r="Q469" i="4"/>
  <c r="Q450" i="4"/>
  <c r="Q511" i="4"/>
  <c r="Q498" i="4"/>
  <c r="Q548" i="4"/>
  <c r="Q500" i="4"/>
  <c r="Q477" i="4"/>
  <c r="Q509" i="4"/>
  <c r="Q550" i="4"/>
  <c r="Q532" i="4"/>
  <c r="Q530" i="4"/>
  <c r="T460" i="4"/>
  <c r="U545" i="4"/>
  <c r="Q452" i="4"/>
  <c r="Q468" i="4"/>
  <c r="Q457" i="4"/>
  <c r="Q467" i="4"/>
  <c r="Q464" i="4"/>
  <c r="Q453" i="4"/>
  <c r="Q555" i="4"/>
  <c r="U555" i="4"/>
  <c r="Q553" i="4"/>
  <c r="Q554" i="4"/>
  <c r="U554" i="4"/>
  <c r="U553" i="4"/>
  <c r="Q65" i="4"/>
  <c r="U366" i="4"/>
  <c r="Q55" i="4"/>
  <c r="Q42" i="4"/>
  <c r="U256" i="4"/>
  <c r="Q247" i="4"/>
  <c r="Q233" i="4"/>
  <c r="Q294" i="4"/>
  <c r="Q396" i="4"/>
  <c r="Q181" i="4"/>
  <c r="Q306" i="4"/>
  <c r="Q180" i="4"/>
  <c r="Q359" i="4"/>
  <c r="U181" i="4"/>
  <c r="U396" i="4"/>
  <c r="U180" i="4"/>
  <c r="U294" i="4"/>
  <c r="U306" i="4"/>
  <c r="S180" i="4"/>
  <c r="U359" i="4"/>
  <c r="Q63" i="4"/>
  <c r="S38" i="4"/>
  <c r="U192" i="4"/>
  <c r="Q166" i="4"/>
  <c r="Q192" i="4"/>
  <c r="S166" i="4"/>
  <c r="U166" i="4"/>
  <c r="U32" i="4"/>
  <c r="Q175" i="4"/>
  <c r="Q32" i="4"/>
  <c r="Q221" i="4"/>
  <c r="U175" i="4"/>
  <c r="U221" i="4"/>
  <c r="S32" i="4"/>
  <c r="Q105" i="4"/>
  <c r="S105" i="4"/>
  <c r="S128" i="4"/>
  <c r="Q128" i="4"/>
  <c r="Q194" i="4"/>
  <c r="U194" i="4"/>
  <c r="U128" i="4"/>
  <c r="S29" i="4"/>
  <c r="Q29" i="4"/>
  <c r="Q36" i="4"/>
  <c r="U36" i="4"/>
  <c r="U29" i="4"/>
  <c r="Q33" i="4"/>
  <c r="Q145" i="4"/>
  <c r="Q269" i="4"/>
  <c r="Q270" i="4"/>
  <c r="Q266" i="4"/>
  <c r="Q96" i="4"/>
  <c r="Q93" i="4"/>
  <c r="Q53" i="4"/>
  <c r="Q267" i="4"/>
  <c r="Q116" i="4"/>
  <c r="Q170" i="4"/>
  <c r="U267" i="4"/>
  <c r="U116" i="4"/>
  <c r="S33" i="4"/>
  <c r="U170" i="4"/>
  <c r="U33" i="4"/>
  <c r="U266" i="4"/>
  <c r="U269" i="4"/>
  <c r="U93" i="4"/>
  <c r="U270" i="4"/>
  <c r="U53" i="4"/>
  <c r="U96" i="4"/>
  <c r="U145" i="4"/>
  <c r="U55" i="4"/>
  <c r="Q20" i="4"/>
  <c r="Q446" i="4"/>
  <c r="Q240" i="4"/>
  <c r="Q447" i="4"/>
  <c r="Q252" i="4"/>
  <c r="Q135" i="4"/>
  <c r="Q241" i="4"/>
  <c r="Q146" i="4"/>
  <c r="U447" i="4"/>
  <c r="U135" i="4"/>
  <c r="U20" i="4"/>
  <c r="U252" i="4"/>
  <c r="U241" i="4"/>
  <c r="U65" i="4"/>
  <c r="S20" i="4"/>
  <c r="U240" i="4"/>
  <c r="U446" i="4"/>
  <c r="U146" i="4"/>
  <c r="Q17" i="4"/>
  <c r="Q280" i="4"/>
  <c r="Q321" i="4"/>
  <c r="Q61" i="4"/>
  <c r="Q313" i="4"/>
  <c r="Q138" i="4"/>
  <c r="Q335" i="4"/>
  <c r="Q176" i="4"/>
  <c r="Q126" i="4"/>
  <c r="Q152" i="4"/>
  <c r="Q298" i="4"/>
  <c r="Q309" i="4"/>
  <c r="Q58" i="4"/>
  <c r="Q139" i="4"/>
  <c r="U58" i="4"/>
  <c r="U313" i="4"/>
  <c r="U280" i="4"/>
  <c r="U17" i="4"/>
  <c r="U25" i="4"/>
  <c r="U176" i="4"/>
  <c r="U126" i="4"/>
  <c r="U138" i="4"/>
  <c r="S17" i="4"/>
  <c r="U61" i="4"/>
  <c r="U309" i="4"/>
  <c r="U139" i="4"/>
  <c r="U321" i="4"/>
  <c r="U335" i="4"/>
  <c r="U298" i="4"/>
  <c r="U152" i="4"/>
  <c r="Q127" i="4"/>
  <c r="Q193" i="4"/>
  <c r="U127" i="4"/>
  <c r="S127" i="4"/>
  <c r="U193" i="4"/>
  <c r="U243" i="4"/>
  <c r="Q243" i="4"/>
  <c r="U261" i="4"/>
  <c r="S243" i="4"/>
  <c r="U297" i="4"/>
  <c r="Q289" i="4"/>
  <c r="Q297" i="4"/>
  <c r="S289" i="4"/>
  <c r="U289" i="4"/>
  <c r="U363" i="4"/>
  <c r="Q363" i="4"/>
  <c r="Q346" i="4"/>
  <c r="U346" i="4"/>
  <c r="S346" i="4"/>
  <c r="U343" i="4"/>
  <c r="Q324" i="4"/>
  <c r="Q343" i="4"/>
  <c r="S324" i="4"/>
  <c r="U324" i="4"/>
  <c r="Q336" i="4"/>
  <c r="Q347" i="4"/>
  <c r="Q365" i="4"/>
  <c r="Q364" i="4"/>
  <c r="Q385" i="4"/>
  <c r="Q366" i="4"/>
  <c r="Q401" i="4"/>
  <c r="U364" i="4"/>
  <c r="U347" i="4"/>
  <c r="U365" i="4"/>
  <c r="U385" i="4"/>
  <c r="U336" i="4"/>
  <c r="S336" i="4"/>
  <c r="U401" i="4"/>
  <c r="M25" i="4"/>
  <c r="N25" i="4" s="1"/>
  <c r="M256" i="4"/>
  <c r="N256" i="4" s="1"/>
  <c r="Q173" i="4"/>
  <c r="S173" i="4"/>
  <c r="Q369" i="4"/>
  <c r="Q168" i="4"/>
  <c r="Q159" i="4"/>
  <c r="Q400" i="4"/>
  <c r="Q10" i="4"/>
  <c r="Q9" i="4"/>
  <c r="Q31" i="4"/>
  <c r="Q71" i="4"/>
  <c r="Q18" i="4"/>
  <c r="Q72" i="4"/>
  <c r="Q130" i="4"/>
  <c r="Q5" i="4"/>
  <c r="U71" i="4"/>
  <c r="U5" i="4"/>
  <c r="U369" i="4"/>
  <c r="U9" i="4"/>
  <c r="U10" i="4"/>
  <c r="U18" i="4"/>
  <c r="U130" i="4"/>
  <c r="S5" i="4"/>
  <c r="U400" i="4"/>
  <c r="U72" i="4"/>
  <c r="U168" i="4"/>
  <c r="U31" i="4"/>
  <c r="U159" i="4"/>
  <c r="S24" i="4"/>
  <c r="Q24" i="4"/>
  <c r="Q67" i="4"/>
  <c r="Q66" i="4"/>
  <c r="Q174" i="4"/>
  <c r="Q183" i="4"/>
  <c r="Q68" i="4"/>
  <c r="U24" i="4"/>
  <c r="U183" i="4"/>
  <c r="U67" i="4"/>
  <c r="U66" i="4"/>
  <c r="U174" i="4"/>
  <c r="Q302" i="4"/>
  <c r="S113" i="4"/>
  <c r="Q238" i="4"/>
  <c r="Q351" i="4"/>
  <c r="Q290" i="4"/>
  <c r="Q326" i="4"/>
  <c r="U238" i="4"/>
  <c r="U351" i="4"/>
  <c r="U290" i="4"/>
  <c r="U326" i="4"/>
  <c r="S236" i="4"/>
  <c r="Q236" i="4"/>
  <c r="Q242" i="4"/>
  <c r="U242" i="4"/>
  <c r="U236" i="4"/>
  <c r="Q111" i="4"/>
  <c r="Q162" i="4"/>
  <c r="Q440" i="4"/>
  <c r="Q373" i="4"/>
  <c r="Q227" i="4"/>
  <c r="Q231" i="4"/>
  <c r="Q169" i="4"/>
  <c r="Q250" i="4"/>
  <c r="Q442" i="4"/>
  <c r="Q370" i="4"/>
  <c r="Q262" i="4"/>
  <c r="Q225" i="4"/>
  <c r="Q264" i="4"/>
  <c r="U162" i="4"/>
  <c r="U264" i="4"/>
  <c r="U373" i="4"/>
  <c r="S111" i="4"/>
  <c r="U250" i="4"/>
  <c r="U440" i="4"/>
  <c r="U225" i="4"/>
  <c r="U262" i="4"/>
  <c r="U111" i="4"/>
  <c r="U231" i="4"/>
  <c r="U370" i="4"/>
  <c r="U227" i="4"/>
  <c r="U442" i="4"/>
  <c r="Q112" i="4"/>
  <c r="Q301" i="4"/>
  <c r="Q113" i="4"/>
  <c r="Q323" i="4"/>
  <c r="Q222" i="4"/>
  <c r="Q420" i="4"/>
  <c r="Q410" i="4"/>
  <c r="S112" i="4"/>
  <c r="U302" i="4"/>
  <c r="U410" i="4"/>
  <c r="U222" i="4"/>
  <c r="U112" i="4"/>
  <c r="U323" i="4"/>
  <c r="U113" i="4"/>
  <c r="U301" i="4"/>
  <c r="U420" i="4"/>
  <c r="Q8" i="4"/>
  <c r="Q30" i="4"/>
  <c r="Q38" i="4"/>
  <c r="U38" i="4"/>
  <c r="U63" i="4"/>
  <c r="U30" i="4"/>
  <c r="U8" i="4"/>
  <c r="S8" i="4"/>
  <c r="S115" i="4"/>
  <c r="Q144" i="4"/>
  <c r="Q115" i="4"/>
  <c r="Q246" i="4"/>
  <c r="Q251" i="4"/>
  <c r="U115" i="4"/>
  <c r="U251" i="4"/>
  <c r="U144" i="4"/>
  <c r="U246" i="4"/>
  <c r="U247" i="4"/>
  <c r="Q286" i="4"/>
  <c r="Q277" i="4"/>
  <c r="Q60" i="4"/>
  <c r="Q143" i="4"/>
  <c r="Q107" i="4"/>
  <c r="Q91" i="4"/>
  <c r="U91" i="4"/>
  <c r="U286" i="4"/>
  <c r="U107" i="4"/>
  <c r="S60" i="4"/>
  <c r="U60" i="4"/>
  <c r="U277" i="4"/>
  <c r="U143" i="4"/>
  <c r="Q28" i="4"/>
  <c r="Q69" i="4"/>
  <c r="Q62" i="4"/>
  <c r="Q322" i="4"/>
  <c r="Q305" i="4"/>
  <c r="Q99" i="4"/>
  <c r="Q34" i="4"/>
  <c r="Q200" i="4"/>
  <c r="Q70" i="4"/>
  <c r="Q104" i="4"/>
  <c r="Q248" i="4"/>
  <c r="Q257" i="4"/>
  <c r="Q275" i="4"/>
  <c r="Q35" i="4"/>
  <c r="Q39" i="4"/>
  <c r="Q84" i="4"/>
  <c r="U62" i="4"/>
  <c r="U275" i="4"/>
  <c r="U70" i="4"/>
  <c r="U69" i="4"/>
  <c r="S28" i="4"/>
  <c r="U28" i="4"/>
  <c r="U305" i="4"/>
  <c r="U39" i="4"/>
  <c r="U200" i="4"/>
  <c r="U322" i="4"/>
  <c r="U248" i="4"/>
  <c r="U34" i="4"/>
  <c r="U104" i="4"/>
  <c r="U99" i="4"/>
  <c r="U35" i="4"/>
  <c r="U257" i="4"/>
  <c r="U84" i="4"/>
  <c r="Q171" i="4"/>
  <c r="Q172" i="4"/>
  <c r="Q341" i="4"/>
  <c r="Q379" i="4"/>
  <c r="Q205" i="4"/>
  <c r="Q316" i="4"/>
  <c r="Q229" i="4"/>
  <c r="Q404" i="4"/>
  <c r="Q244" i="4"/>
  <c r="Q380" i="4"/>
  <c r="Q334" i="4"/>
  <c r="Q182" i="4"/>
  <c r="U316" i="4"/>
  <c r="U173" i="4"/>
  <c r="U380" i="4"/>
  <c r="U229" i="4"/>
  <c r="U334" i="4"/>
  <c r="U341" i="4"/>
  <c r="U182" i="4"/>
  <c r="U171" i="4"/>
  <c r="S171" i="4"/>
  <c r="U379" i="4"/>
  <c r="U205" i="4"/>
  <c r="U404" i="4"/>
  <c r="U244" i="4"/>
  <c r="Q405" i="4"/>
  <c r="Q444" i="4"/>
  <c r="Q361" i="4"/>
  <c r="Q445" i="4"/>
  <c r="Q362" i="4"/>
  <c r="U445" i="4"/>
  <c r="U444" i="4"/>
  <c r="U362" i="4"/>
  <c r="U361" i="4"/>
  <c r="S361" i="4"/>
  <c r="U405" i="4"/>
  <c r="S383" i="4"/>
  <c r="Q383" i="4"/>
  <c r="Q384" i="4"/>
  <c r="U383" i="4"/>
  <c r="U384" i="4"/>
  <c r="S384" i="4" s="1"/>
  <c r="X384" i="4" s="1"/>
  <c r="U340" i="4"/>
  <c r="S340" i="4"/>
  <c r="Q416" i="4"/>
  <c r="Q310" i="4"/>
  <c r="S310" i="4"/>
  <c r="U416" i="4"/>
  <c r="U310" i="4"/>
  <c r="Q288" i="4"/>
  <c r="Q296" i="4"/>
  <c r="U296" i="4"/>
  <c r="S288" i="4"/>
  <c r="U288" i="4"/>
  <c r="M57" i="4"/>
  <c r="N57" i="4" s="1"/>
  <c r="Q417" i="4"/>
  <c r="Q407" i="4"/>
  <c r="Q428" i="4"/>
  <c r="Q13" i="4"/>
  <c r="Q108" i="4"/>
  <c r="Q214" i="4"/>
  <c r="Q207" i="4"/>
  <c r="Q187" i="4"/>
  <c r="Q6" i="4"/>
  <c r="Q433" i="4"/>
  <c r="Q328" i="4"/>
  <c r="Q21" i="4"/>
  <c r="Q140" i="4"/>
  <c r="Q11" i="4"/>
  <c r="Q215" i="4"/>
  <c r="Q394" i="4"/>
  <c r="Q49" i="4"/>
  <c r="Q81" i="4"/>
  <c r="Q153" i="4"/>
  <c r="Q15" i="4"/>
  <c r="Q414" i="4"/>
  <c r="Q88" i="4"/>
  <c r="Q202" i="4"/>
  <c r="Q185" i="4"/>
  <c r="Q155" i="4"/>
  <c r="U214" i="4"/>
  <c r="U13" i="4"/>
  <c r="U414" i="4"/>
  <c r="U140" i="4"/>
  <c r="U202" i="4"/>
  <c r="U88" i="4"/>
  <c r="U108" i="4"/>
  <c r="U185" i="4"/>
  <c r="U328" i="4"/>
  <c r="U49" i="4"/>
  <c r="U81" i="4"/>
  <c r="U394" i="4"/>
  <c r="U153" i="4"/>
  <c r="U15" i="4"/>
  <c r="U187" i="4"/>
  <c r="U428" i="4"/>
  <c r="U6" i="4"/>
  <c r="U417" i="4"/>
  <c r="U215" i="4"/>
  <c r="U433" i="4"/>
  <c r="U11" i="4"/>
  <c r="U155" i="4"/>
  <c r="U407" i="4"/>
  <c r="U21" i="4"/>
  <c r="U207" i="4"/>
  <c r="Q191" i="4"/>
  <c r="Q165" i="4"/>
  <c r="U165" i="4"/>
  <c r="S165" i="4"/>
  <c r="U191" i="4"/>
  <c r="Q234" i="4"/>
  <c r="Q235" i="4"/>
  <c r="U235" i="4"/>
  <c r="S234" i="4"/>
  <c r="U234" i="4"/>
  <c r="Q419" i="4"/>
  <c r="U68" i="4"/>
  <c r="S66" i="4"/>
  <c r="Q114" i="4"/>
  <c r="Q150" i="4"/>
  <c r="Q315" i="4"/>
  <c r="Q378" i="4"/>
  <c r="Q333" i="4"/>
  <c r="Q398" i="4"/>
  <c r="Q421" i="4"/>
  <c r="Q411" i="4"/>
  <c r="Q164" i="4"/>
  <c r="U411" i="4"/>
  <c r="U378" i="4"/>
  <c r="U421" i="4"/>
  <c r="U333" i="4"/>
  <c r="U315" i="4"/>
  <c r="U150" i="4"/>
  <c r="U114" i="4"/>
  <c r="U398" i="4"/>
  <c r="S114" i="4"/>
  <c r="U164" i="4"/>
  <c r="S206" i="4"/>
  <c r="Q230" i="4"/>
  <c r="Q206" i="4"/>
  <c r="U206" i="4"/>
  <c r="U230" i="4"/>
  <c r="S230" i="4" s="1"/>
  <c r="Q312" i="4"/>
  <c r="Q119" i="4"/>
  <c r="U312" i="4"/>
  <c r="S119" i="4"/>
  <c r="U119" i="4"/>
  <c r="U219" i="4"/>
  <c r="Q219" i="4"/>
  <c r="Q409" i="4"/>
  <c r="S219" i="4"/>
  <c r="T1879" i="4" s="1"/>
  <c r="U409" i="4"/>
  <c r="Q87" i="4"/>
  <c r="Q190" i="4"/>
  <c r="Q123" i="4"/>
  <c r="Q124" i="4"/>
  <c r="Q125" i="4"/>
  <c r="Q317" i="4"/>
  <c r="Q256" i="4"/>
  <c r="Q382" i="4"/>
  <c r="U123" i="4"/>
  <c r="U87" i="4"/>
  <c r="U125" i="4"/>
  <c r="S87" i="4"/>
  <c r="U190" i="4"/>
  <c r="U124" i="4"/>
  <c r="U317" i="4"/>
  <c r="U382" i="4"/>
  <c r="Q307" i="4"/>
  <c r="Q397" i="4"/>
  <c r="Q340" i="4"/>
  <c r="U307" i="4"/>
  <c r="S307" i="4"/>
  <c r="U397" i="4"/>
  <c r="M68" i="4"/>
  <c r="N68" i="4" s="1"/>
  <c r="M190" i="4"/>
  <c r="N190" i="4" s="1"/>
  <c r="M363" i="4"/>
  <c r="N363" i="4" s="1"/>
  <c r="Q163" i="4"/>
  <c r="Q132" i="4"/>
  <c r="U132" i="4"/>
  <c r="U163" i="4"/>
  <c r="S132" i="4"/>
  <c r="Q268" i="4"/>
  <c r="Q377" i="4"/>
  <c r="Q374" i="4"/>
  <c r="Q423" i="4"/>
  <c r="Q372" i="4"/>
  <c r="Q56" i="4"/>
  <c r="Q121" i="4"/>
  <c r="Q122" i="4"/>
  <c r="Q54" i="4"/>
  <c r="Q265" i="4"/>
  <c r="Q26" i="4"/>
  <c r="Q272" i="4"/>
  <c r="Q381" i="4"/>
  <c r="Q406" i="4"/>
  <c r="Q443" i="4"/>
  <c r="Q376" i="4"/>
  <c r="Q95" i="4"/>
  <c r="Q226" i="4"/>
  <c r="Q137" i="4"/>
  <c r="Q228" i="4"/>
  <c r="Q273" i="4"/>
  <c r="Q441" i="4"/>
  <c r="Q371" i="4"/>
  <c r="Q271" i="4"/>
  <c r="Q136" i="4"/>
  <c r="Q254" i="4"/>
  <c r="Q147" i="4"/>
  <c r="Q94" i="4"/>
  <c r="Q274" i="4"/>
  <c r="Q342" i="4"/>
  <c r="Q375" i="4"/>
  <c r="Q303" i="4"/>
  <c r="Q97" i="4"/>
  <c r="Q98" i="4"/>
  <c r="Q263" i="4"/>
  <c r="Q245" i="4"/>
  <c r="U381" i="4"/>
  <c r="U121" i="4"/>
  <c r="U274" i="4"/>
  <c r="U254" i="4"/>
  <c r="U273" i="4"/>
  <c r="S26" i="4"/>
  <c r="U374" i="4"/>
  <c r="U122" i="4"/>
  <c r="U95" i="4"/>
  <c r="U406" i="4"/>
  <c r="U56" i="4"/>
  <c r="U372" i="4"/>
  <c r="U26" i="4"/>
  <c r="U342" i="4"/>
  <c r="U54" i="4"/>
  <c r="U303" i="4"/>
  <c r="U441" i="4"/>
  <c r="U136" i="4"/>
  <c r="U371" i="4"/>
  <c r="U226" i="4"/>
  <c r="U375" i="4"/>
  <c r="U137" i="4"/>
  <c r="U271" i="4"/>
  <c r="U376" i="4"/>
  <c r="U245" i="4"/>
  <c r="U443" i="4"/>
  <c r="U97" i="4"/>
  <c r="U268" i="4"/>
  <c r="U228" i="4"/>
  <c r="U272" i="4"/>
  <c r="U94" i="4"/>
  <c r="U147" i="4"/>
  <c r="U423" i="4"/>
  <c r="U98" i="4"/>
  <c r="U263" i="4"/>
  <c r="U377" i="4"/>
  <c r="U265" i="4"/>
  <c r="Q237" i="4"/>
  <c r="Q258" i="4"/>
  <c r="U237" i="4"/>
  <c r="U258" i="4"/>
  <c r="S237" i="4"/>
  <c r="U172" i="4"/>
  <c r="S172" i="4"/>
  <c r="Q41" i="4"/>
  <c r="Q142" i="4"/>
  <c r="Q338" i="4"/>
  <c r="Q37" i="4"/>
  <c r="Q129" i="4"/>
  <c r="Q149" i="4"/>
  <c r="Q339" i="4"/>
  <c r="Q167" i="4"/>
  <c r="Q249" i="4"/>
  <c r="Q106" i="4"/>
  <c r="U37" i="4"/>
  <c r="U338" i="4"/>
  <c r="S37" i="4"/>
  <c r="U249" i="4"/>
  <c r="U106" i="4"/>
  <c r="U142" i="4"/>
  <c r="U149" i="4"/>
  <c r="U339" i="4"/>
  <c r="U41" i="4"/>
  <c r="U129" i="4"/>
  <c r="U167" i="4"/>
  <c r="Q134" i="4"/>
  <c r="Q117" i="4"/>
  <c r="Q118" i="4"/>
  <c r="Q413" i="4"/>
  <c r="Q86" i="4"/>
  <c r="Q432" i="4"/>
  <c r="Q133" i="4"/>
  <c r="U432" i="4"/>
  <c r="U118" i="4"/>
  <c r="U134" i="4"/>
  <c r="U86" i="4"/>
  <c r="U413" i="4"/>
  <c r="U133" i="4"/>
  <c r="U117" i="4"/>
  <c r="S86" i="4"/>
  <c r="U4" i="4"/>
  <c r="Q4" i="4"/>
  <c r="Q278" i="4"/>
  <c r="Q426" i="4"/>
  <c r="Q43" i="4"/>
  <c r="Q120" i="4"/>
  <c r="Q74" i="4"/>
  <c r="Q425" i="4"/>
  <c r="Q331" i="4"/>
  <c r="Q73" i="4"/>
  <c r="Q199" i="4"/>
  <c r="Q279" i="4"/>
  <c r="Q427" i="4"/>
  <c r="Q424" i="4"/>
  <c r="Q52" i="4"/>
  <c r="Q151" i="4"/>
  <c r="Q201" i="4"/>
  <c r="Q330" i="4"/>
  <c r="Q75" i="4"/>
  <c r="Q198" i="4"/>
  <c r="Q253" i="4"/>
  <c r="U331" i="4"/>
  <c r="U43" i="4"/>
  <c r="U42" i="4"/>
  <c r="U151" i="4"/>
  <c r="U279" i="4"/>
  <c r="S4" i="4"/>
  <c r="U330" i="4"/>
  <c r="U253" i="4"/>
  <c r="U199" i="4"/>
  <c r="U278" i="4"/>
  <c r="U120" i="4"/>
  <c r="U75" i="4"/>
  <c r="U427" i="4"/>
  <c r="U424" i="4"/>
  <c r="U198" i="4"/>
  <c r="U425" i="4"/>
  <c r="U201" i="4"/>
  <c r="U426" i="4"/>
  <c r="U74" i="4"/>
  <c r="U73" i="4"/>
  <c r="U52" i="4"/>
  <c r="Q223" i="4"/>
  <c r="Q224" i="4"/>
  <c r="U224" i="4"/>
  <c r="U223" i="4"/>
  <c r="S223" i="4"/>
  <c r="U90" i="4"/>
  <c r="Q90" i="4"/>
  <c r="Q276" i="4"/>
  <c r="Q148" i="4"/>
  <c r="Q157" i="4"/>
  <c r="Q158" i="4"/>
  <c r="Q204" i="4"/>
  <c r="U105" i="4"/>
  <c r="U204" i="4"/>
  <c r="U276" i="4"/>
  <c r="U148" i="4"/>
  <c r="U158" i="4"/>
  <c r="U157" i="4"/>
  <c r="S90" i="4"/>
  <c r="S64" i="4"/>
  <c r="T64" i="4" s="1"/>
  <c r="Q92" i="4"/>
  <c r="Q64" i="4"/>
  <c r="U92" i="4"/>
  <c r="U64" i="4"/>
  <c r="S131" i="4"/>
  <c r="Q131" i="4"/>
  <c r="Q189" i="4"/>
  <c r="Q161" i="4"/>
  <c r="U189" i="4"/>
  <c r="U161" i="4"/>
  <c r="U131" i="4"/>
  <c r="Q255" i="4"/>
  <c r="Q259" i="4"/>
  <c r="S255" i="4"/>
  <c r="U255" i="4"/>
  <c r="U259" i="4"/>
  <c r="Q232" i="4"/>
  <c r="U233" i="4"/>
  <c r="S232" i="4"/>
  <c r="U232" i="4"/>
  <c r="U19" i="4"/>
  <c r="Q19" i="4"/>
  <c r="Q220" i="4"/>
  <c r="Q332" i="4"/>
  <c r="Q110" i="4"/>
  <c r="Q403" i="4"/>
  <c r="Q360" i="4"/>
  <c r="Q160" i="4"/>
  <c r="Q57" i="4"/>
  <c r="U220" i="4"/>
  <c r="U160" i="4"/>
  <c r="S19" i="4"/>
  <c r="U332" i="4"/>
  <c r="U419" i="4"/>
  <c r="U360" i="4"/>
  <c r="U57" i="4"/>
  <c r="U403" i="4"/>
  <c r="U110" i="4"/>
  <c r="Q59" i="4"/>
  <c r="Q412" i="4"/>
  <c r="Q422" i="4"/>
  <c r="U422" i="4"/>
  <c r="U85" i="4"/>
  <c r="U412" i="4"/>
  <c r="U59" i="4"/>
  <c r="S59" i="4"/>
  <c r="S27" i="4"/>
  <c r="Q27" i="4"/>
  <c r="Q40" i="4"/>
  <c r="Q178" i="4"/>
  <c r="Q177" i="4"/>
  <c r="Q184" i="4"/>
  <c r="Q197" i="4"/>
  <c r="Q196" i="4"/>
  <c r="Q195" i="4"/>
  <c r="Q179" i="4"/>
  <c r="U197" i="4"/>
  <c r="U27" i="4"/>
  <c r="U40" i="4"/>
  <c r="U178" i="4"/>
  <c r="U195" i="4"/>
  <c r="U177" i="4"/>
  <c r="U184" i="4"/>
  <c r="U196" i="4"/>
  <c r="U179" i="4"/>
  <c r="U318" i="4"/>
  <c r="Q319" i="4"/>
  <c r="Q391" i="4"/>
  <c r="Q392" i="4"/>
  <c r="Q308" i="4"/>
  <c r="Q311" i="4"/>
  <c r="Q402" i="4"/>
  <c r="Q368" i="4"/>
  <c r="Q387" i="4"/>
  <c r="Q337" i="4"/>
  <c r="Q348" i="4"/>
  <c r="Q367" i="4"/>
  <c r="Q388" i="4"/>
  <c r="Q318" i="4"/>
  <c r="Q320" i="4"/>
  <c r="Q325" i="4"/>
  <c r="Q386" i="4"/>
  <c r="Q399" i="4"/>
  <c r="Q390" i="4"/>
  <c r="Q393" i="4"/>
  <c r="Q349" i="4"/>
  <c r="Q389" i="4"/>
  <c r="U348" i="4"/>
  <c r="U319" i="4"/>
  <c r="U392" i="4"/>
  <c r="U320" i="4"/>
  <c r="U389" i="4"/>
  <c r="U388" i="4"/>
  <c r="U367" i="4"/>
  <c r="U390" i="4"/>
  <c r="U308" i="4"/>
  <c r="U399" i="4"/>
  <c r="U393" i="4"/>
  <c r="U391" i="4"/>
  <c r="U325" i="4"/>
  <c r="U337" i="4"/>
  <c r="U402" i="4"/>
  <c r="U349" i="4"/>
  <c r="U368" i="4"/>
  <c r="U311" i="4"/>
  <c r="S308" i="4"/>
  <c r="U386" i="4"/>
  <c r="U387" i="4"/>
  <c r="S287" i="4"/>
  <c r="Q295" i="4"/>
  <c r="Q287" i="4"/>
  <c r="U287" i="4"/>
  <c r="U295" i="4"/>
  <c r="Q345" i="4"/>
  <c r="Q344" i="4"/>
  <c r="U345" i="4"/>
  <c r="U344" i="4"/>
  <c r="S344" i="4"/>
  <c r="Q314" i="4"/>
  <c r="Q304" i="4"/>
  <c r="Q299" i="4"/>
  <c r="S299" i="4"/>
  <c r="U304" i="4"/>
  <c r="U299" i="4"/>
  <c r="U314" i="4"/>
  <c r="T49" i="4"/>
  <c r="T433" i="4"/>
  <c r="T428" i="4"/>
  <c r="T81" i="4"/>
  <c r="T15" i="4"/>
  <c r="T215" i="4"/>
  <c r="T6" i="4"/>
  <c r="T394" i="4"/>
  <c r="T13" i="4"/>
  <c r="T185" i="4"/>
  <c r="T108" i="4"/>
  <c r="T155" i="4"/>
  <c r="T214" i="4"/>
  <c r="T88" i="4"/>
  <c r="T328" i="4"/>
  <c r="T407" i="4"/>
  <c r="T21" i="4"/>
  <c r="T207" i="4"/>
  <c r="T153" i="4"/>
  <c r="T202" i="4"/>
  <c r="T417" i="4"/>
  <c r="T414" i="4"/>
  <c r="T11" i="4"/>
  <c r="T187" i="4"/>
  <c r="T140" i="4"/>
  <c r="T290" i="4"/>
  <c r="T238" i="4"/>
  <c r="T351" i="4"/>
  <c r="T326" i="4"/>
  <c r="S2" i="4"/>
  <c r="X2" i="4"/>
  <c r="P2" i="4"/>
  <c r="Q1837" i="4" s="1"/>
  <c r="V2" i="4"/>
  <c r="W2" i="4"/>
  <c r="M2" i="4" s="1"/>
  <c r="N2" i="4" s="1"/>
  <c r="V965" i="4" l="1"/>
  <c r="V467" i="4"/>
  <c r="S905" i="4"/>
  <c r="V905" i="4" s="1"/>
  <c r="V470" i="4"/>
  <c r="T1320" i="4"/>
  <c r="T1329" i="4"/>
  <c r="V951" i="4"/>
  <c r="T1464" i="4"/>
  <c r="V972" i="4"/>
  <c r="V1022" i="4"/>
  <c r="T1028" i="4"/>
  <c r="T1022" i="4"/>
  <c r="T1025" i="4"/>
  <c r="T1062" i="4"/>
  <c r="V1724" i="4"/>
  <c r="V877" i="4"/>
  <c r="S798" i="4"/>
  <c r="S468" i="4"/>
  <c r="T468" i="4" s="1"/>
  <c r="S793" i="4"/>
  <c r="S1578" i="4"/>
  <c r="V777" i="4"/>
  <c r="T924" i="4"/>
  <c r="V810" i="4"/>
  <c r="T931" i="4"/>
  <c r="V931" i="4"/>
  <c r="V821" i="4"/>
  <c r="T821" i="4"/>
  <c r="V979" i="4"/>
  <c r="T979" i="4"/>
  <c r="T1017" i="4"/>
  <c r="V834" i="4"/>
  <c r="T449" i="4"/>
  <c r="T730" i="4"/>
  <c r="T986" i="4"/>
  <c r="T998" i="4"/>
  <c r="T987" i="4"/>
  <c r="T1012" i="4"/>
  <c r="S1892" i="4"/>
  <c r="V1892" i="4" s="1"/>
  <c r="V915" i="4"/>
  <c r="S950" i="4"/>
  <c r="V950" i="4" s="1"/>
  <c r="T915" i="4"/>
  <c r="T940" i="4"/>
  <c r="S1201" i="4"/>
  <c r="T739" i="4"/>
  <c r="T1857" i="4"/>
  <c r="S526" i="4"/>
  <c r="T711" i="4"/>
  <c r="T721" i="4"/>
  <c r="T566" i="4"/>
  <c r="T723" i="4"/>
  <c r="S1212" i="4"/>
  <c r="T1078" i="4"/>
  <c r="V1078" i="4"/>
  <c r="S828" i="4"/>
  <c r="V828" i="4" s="1"/>
  <c r="V827" i="4"/>
  <c r="T827" i="4"/>
  <c r="T458" i="4"/>
  <c r="T818" i="4"/>
  <c r="V818" i="4"/>
  <c r="V464" i="4"/>
  <c r="T737" i="4"/>
  <c r="S1810" i="4"/>
  <c r="S1532" i="4"/>
  <c r="V794" i="4"/>
  <c r="S883" i="4"/>
  <c r="S1702" i="4"/>
  <c r="S1776" i="4"/>
  <c r="S809" i="4"/>
  <c r="V837" i="4"/>
  <c r="S844" i="4"/>
  <c r="V844" i="4" s="1"/>
  <c r="T837" i="4"/>
  <c r="V888" i="4"/>
  <c r="T906" i="4"/>
  <c r="S925" i="4"/>
  <c r="V925" i="4" s="1"/>
  <c r="T902" i="4"/>
  <c r="T916" i="4"/>
  <c r="T888" i="4"/>
  <c r="V870" i="4"/>
  <c r="S903" i="4"/>
  <c r="V1290" i="4"/>
  <c r="T1301" i="4"/>
  <c r="T1292" i="4"/>
  <c r="T1290" i="4"/>
  <c r="T1326" i="4"/>
  <c r="S1175" i="4"/>
  <c r="S1213" i="4" s="1"/>
  <c r="T1866" i="4"/>
  <c r="T1868" i="4"/>
  <c r="S1367" i="4"/>
  <c r="V1367" i="4" s="1"/>
  <c r="T462" i="4"/>
  <c r="S1334" i="4"/>
  <c r="V924" i="4"/>
  <c r="V892" i="4"/>
  <c r="S1800" i="4"/>
  <c r="T1871" i="4"/>
  <c r="V939" i="4"/>
  <c r="T939" i="4"/>
  <c r="V1244" i="4"/>
  <c r="S1221" i="4"/>
  <c r="S1006" i="4"/>
  <c r="S1525" i="4"/>
  <c r="V1316" i="4"/>
  <c r="T1316" i="4"/>
  <c r="S1323" i="4"/>
  <c r="V1323" i="4" s="1"/>
  <c r="S1838" i="4"/>
  <c r="T1849" i="4" s="1"/>
  <c r="V1700" i="4"/>
  <c r="T164" i="4"/>
  <c r="T520" i="4"/>
  <c r="T744" i="4"/>
  <c r="V502" i="4"/>
  <c r="T502" i="4"/>
  <c r="S607" i="4"/>
  <c r="T521" i="4"/>
  <c r="S1192" i="4"/>
  <c r="T1059" i="4"/>
  <c r="V1059" i="4"/>
  <c r="S1155" i="4"/>
  <c r="S1575" i="4"/>
  <c r="T1390" i="4"/>
  <c r="V1364" i="4"/>
  <c r="S829" i="4"/>
  <c r="S847" i="4" s="1"/>
  <c r="V847" i="4" s="1"/>
  <c r="S949" i="4"/>
  <c r="S1660" i="4"/>
  <c r="V1578" i="4"/>
  <c r="S1324" i="4"/>
  <c r="S1349" i="4" s="1"/>
  <c r="V1349" i="4" s="1"/>
  <c r="S811" i="4"/>
  <c r="S841" i="4" s="1"/>
  <c r="V1220" i="4"/>
  <c r="S1225" i="4"/>
  <c r="V594" i="4"/>
  <c r="T594" i="4"/>
  <c r="V1359" i="4"/>
  <c r="T878" i="4"/>
  <c r="S975" i="4"/>
  <c r="S1038" i="4" s="1"/>
  <c r="V878" i="4"/>
  <c r="S1345" i="4"/>
  <c r="S1105" i="4"/>
  <c r="S1024" i="4"/>
  <c r="S745" i="4"/>
  <c r="T905" i="4"/>
  <c r="T1810" i="4"/>
  <c r="S1817" i="4"/>
  <c r="V1810" i="4"/>
  <c r="V857" i="4"/>
  <c r="S872" i="4"/>
  <c r="S954" i="4" s="1"/>
  <c r="V954" i="4" s="1"/>
  <c r="S1357" i="4"/>
  <c r="S1365" i="4" s="1"/>
  <c r="V1365" i="4" s="1"/>
  <c r="V1334" i="4"/>
  <c r="V1354" i="4"/>
  <c r="S1449" i="4"/>
  <c r="S1473" i="4" s="1"/>
  <c r="S1498" i="4"/>
  <c r="S1520" i="4" s="1"/>
  <c r="V1520" i="4" s="1"/>
  <c r="V1482" i="4"/>
  <c r="S1635" i="4"/>
  <c r="S1780" i="4" s="1"/>
  <c r="V1780" i="4" s="1"/>
  <c r="V1632" i="4"/>
  <c r="S1216" i="4"/>
  <c r="S845" i="4"/>
  <c r="S1372" i="4"/>
  <c r="V1705" i="4"/>
  <c r="S1775" i="4"/>
  <c r="T1876" i="4" s="1"/>
  <c r="V1447" i="4"/>
  <c r="S1483" i="4"/>
  <c r="V1239" i="4"/>
  <c r="S1350" i="4"/>
  <c r="T1113" i="4"/>
  <c r="V1113" i="4"/>
  <c r="S1285" i="4"/>
  <c r="S1346" i="4" s="1"/>
  <c r="V1346" i="4" s="1"/>
  <c r="S1068" i="4"/>
  <c r="S1742" i="4"/>
  <c r="V1742" i="4" s="1"/>
  <c r="S1682" i="4"/>
  <c r="V1682" i="4" s="1"/>
  <c r="S1534" i="4"/>
  <c r="V1534" i="4" s="1"/>
  <c r="S908" i="4"/>
  <c r="T1844" i="4"/>
  <c r="X1838" i="4"/>
  <c r="V1838" i="4"/>
  <c r="M1838" i="4" s="1"/>
  <c r="N1838" i="4" s="1"/>
  <c r="S1486" i="4"/>
  <c r="V1486" i="4" s="1"/>
  <c r="S1729" i="4"/>
  <c r="V1729" i="4" s="1"/>
  <c r="S970" i="4"/>
  <c r="V970" i="4" s="1"/>
  <c r="S1503" i="4"/>
  <c r="V1503" i="4" s="1"/>
  <c r="S1545" i="4"/>
  <c r="V1545" i="4" s="1"/>
  <c r="T1830" i="4"/>
  <c r="T1838" i="4"/>
  <c r="T1728" i="4"/>
  <c r="T1472" i="4"/>
  <c r="T1479" i="4"/>
  <c r="T920" i="4"/>
  <c r="T1723" i="4"/>
  <c r="T1480" i="4"/>
  <c r="T1485" i="4"/>
  <c r="T1493" i="4"/>
  <c r="T1588" i="4"/>
  <c r="T1667" i="4"/>
  <c r="T1581" i="4"/>
  <c r="T1533" i="4"/>
  <c r="T1517" i="4"/>
  <c r="T1528" i="4"/>
  <c r="T1839" i="4"/>
  <c r="T1840" i="4"/>
  <c r="S1842" i="4"/>
  <c r="V1842" i="4" s="1"/>
  <c r="U1831" i="4"/>
  <c r="U1836" i="4"/>
  <c r="Q1835" i="4"/>
  <c r="Q1833" i="4"/>
  <c r="S465" i="4"/>
  <c r="T1845" i="4" s="1"/>
  <c r="U1837" i="4"/>
  <c r="U1832" i="4"/>
  <c r="Q1831" i="4"/>
  <c r="U1835" i="4"/>
  <c r="Q1836" i="4"/>
  <c r="Q1834" i="4"/>
  <c r="T506" i="4"/>
  <c r="U1833" i="4"/>
  <c r="U1834" i="4"/>
  <c r="Q1832" i="4"/>
  <c r="T1834" i="4"/>
  <c r="T1832" i="4"/>
  <c r="T1836" i="4"/>
  <c r="T1833" i="4"/>
  <c r="T1837" i="4"/>
  <c r="T1831" i="4"/>
  <c r="T1835" i="4"/>
  <c r="O707" i="4"/>
  <c r="O602" i="4"/>
  <c r="O590" i="4"/>
  <c r="O694" i="4"/>
  <c r="O571" i="4"/>
  <c r="O720" i="4"/>
  <c r="O563" i="4"/>
  <c r="O642" i="4"/>
  <c r="O567" i="4"/>
  <c r="O633" i="4"/>
  <c r="O703" i="4"/>
  <c r="O728" i="4"/>
  <c r="O752" i="4"/>
  <c r="O585" i="4"/>
  <c r="O658" i="4"/>
  <c r="O583" i="4"/>
  <c r="O632" i="4"/>
  <c r="O719" i="4"/>
  <c r="O697" i="4"/>
  <c r="O639" i="4"/>
  <c r="O729" i="4"/>
  <c r="O677" i="4"/>
  <c r="O662" i="4"/>
  <c r="O621" i="4"/>
  <c r="O573" i="4"/>
  <c r="O643" i="4"/>
  <c r="O647" i="4"/>
  <c r="O565" i="4"/>
  <c r="O741" i="4"/>
  <c r="O672" i="4"/>
  <c r="O608" i="4"/>
  <c r="O617" i="4"/>
  <c r="O661" i="4"/>
  <c r="O591" i="4"/>
  <c r="O663" i="4"/>
  <c r="O679" i="4"/>
  <c r="O693" i="4"/>
  <c r="O724" i="4"/>
  <c r="O674" i="4"/>
  <c r="O623" i="4"/>
  <c r="O739" i="4"/>
  <c r="O744" i="4"/>
  <c r="O613" i="4"/>
  <c r="O754" i="4"/>
  <c r="O664" i="4"/>
  <c r="O629" i="4"/>
  <c r="O696" i="4"/>
  <c r="O709" i="4"/>
  <c r="O587" i="4"/>
  <c r="O692" i="4"/>
  <c r="O705" i="4"/>
  <c r="O607" i="4"/>
  <c r="O566" i="4"/>
  <c r="O630" i="4"/>
  <c r="O715" i="4"/>
  <c r="O612" i="4"/>
  <c r="O701" i="4"/>
  <c r="O735" i="4"/>
  <c r="O702" i="4"/>
  <c r="O581" i="4"/>
  <c r="O611" i="4"/>
  <c r="O657" i="4"/>
  <c r="O576" i="4"/>
  <c r="O646" i="4"/>
  <c r="O638" i="4"/>
  <c r="O592" i="4"/>
  <c r="O616" i="4"/>
  <c r="O656" i="4"/>
  <c r="O604" i="4"/>
  <c r="O652" i="4"/>
  <c r="O584" i="4"/>
  <c r="O597" i="4"/>
  <c r="O593" i="4"/>
  <c r="O659" i="4"/>
  <c r="O589" i="4"/>
  <c r="O636" i="4"/>
  <c r="O599" i="4"/>
  <c r="O582" i="4"/>
  <c r="O575" i="4"/>
  <c r="O653" i="4"/>
  <c r="O745" i="4"/>
  <c r="O624" i="4"/>
  <c r="O626" i="4"/>
  <c r="O755" i="4"/>
  <c r="O726" i="4"/>
  <c r="O605" i="4"/>
  <c r="O684" i="4"/>
  <c r="O686" i="4"/>
  <c r="O601" i="4"/>
  <c r="O759" i="4"/>
  <c r="O610" i="4"/>
  <c r="O760" i="4"/>
  <c r="O637" i="4"/>
  <c r="O631" i="4"/>
  <c r="O615" i="4"/>
  <c r="O598" i="4"/>
  <c r="O655" i="4"/>
  <c r="O665" i="4"/>
  <c r="O580" i="4"/>
  <c r="O650" i="4"/>
  <c r="O748" i="4"/>
  <c r="O673" i="4"/>
  <c r="O595" i="4"/>
  <c r="O721" i="4"/>
  <c r="O577" i="4"/>
  <c r="O627" i="4"/>
  <c r="O675" i="4"/>
  <c r="O634" i="4"/>
  <c r="O667" i="4"/>
  <c r="O622" i="4"/>
  <c r="O603" i="4"/>
  <c r="O572" i="4"/>
  <c r="O564" i="4"/>
  <c r="O588" i="4"/>
  <c r="O651" i="4"/>
  <c r="O606" i="4"/>
  <c r="O614" i="4"/>
  <c r="O682" i="4"/>
  <c r="O718" i="4"/>
  <c r="O668" i="4"/>
  <c r="O750" i="4"/>
  <c r="O740" i="4"/>
  <c r="O568" i="4"/>
  <c r="O594" i="4"/>
  <c r="O600" i="4"/>
  <c r="O678" i="4"/>
  <c r="O586" i="4"/>
  <c r="O596" i="4"/>
  <c r="O670" i="4"/>
  <c r="O730" i="4"/>
  <c r="O717" i="4"/>
  <c r="O648" i="4"/>
  <c r="O578" i="4"/>
  <c r="O734" i="4"/>
  <c r="O644" i="4"/>
  <c r="O570" i="4"/>
  <c r="O676" i="4"/>
  <c r="O640" i="4"/>
  <c r="O654" i="4"/>
  <c r="O569" i="4"/>
  <c r="O619" i="4"/>
  <c r="O579" i="4"/>
  <c r="O628" i="4"/>
  <c r="O562" i="4"/>
  <c r="O645" i="4"/>
  <c r="O620" i="4"/>
  <c r="O641" i="4"/>
  <c r="O561" i="4"/>
  <c r="O618" i="4"/>
  <c r="O574" i="4"/>
  <c r="O660" i="4"/>
  <c r="O649" i="4"/>
  <c r="O625" i="4"/>
  <c r="O609" i="4"/>
  <c r="O635" i="4"/>
  <c r="O749" i="4"/>
  <c r="V486" i="4"/>
  <c r="M486" i="4" s="1"/>
  <c r="N486" i="4" s="1"/>
  <c r="T519" i="4"/>
  <c r="O725" i="4"/>
  <c r="O699" i="4"/>
  <c r="O669" i="4"/>
  <c r="O711" i="4"/>
  <c r="O751" i="4"/>
  <c r="O747" i="4"/>
  <c r="O714" i="4"/>
  <c r="O695" i="4"/>
  <c r="S466" i="4"/>
  <c r="V466" i="4" s="1"/>
  <c r="O716" i="4"/>
  <c r="O704" i="4"/>
  <c r="O689" i="4"/>
  <c r="O666" i="4"/>
  <c r="O700" i="4"/>
  <c r="O713" i="4"/>
  <c r="O736" i="4"/>
  <c r="O757" i="4"/>
  <c r="O732" i="4"/>
  <c r="O753" i="4"/>
  <c r="O688" i="4"/>
  <c r="O746" i="4"/>
  <c r="O731" i="4"/>
  <c r="O691" i="4"/>
  <c r="O687" i="4"/>
  <c r="O738" i="4"/>
  <c r="O743" i="4"/>
  <c r="O710" i="4"/>
  <c r="O727" i="4"/>
  <c r="O742" i="4"/>
  <c r="O671" i="4"/>
  <c r="S673" i="4"/>
  <c r="T673" i="4" s="1"/>
  <c r="V657" i="4"/>
  <c r="T657" i="4"/>
  <c r="T486" i="4"/>
  <c r="O681" i="4"/>
  <c r="O683" i="4"/>
  <c r="O756" i="4"/>
  <c r="O723" i="4"/>
  <c r="O698" i="4"/>
  <c r="V468" i="4"/>
  <c r="T546" i="4"/>
  <c r="O680" i="4"/>
  <c r="O685" i="4"/>
  <c r="O712" i="4"/>
  <c r="O737" i="4"/>
  <c r="S751" i="4"/>
  <c r="V751" i="4" s="1"/>
  <c r="O733" i="4"/>
  <c r="T523" i="4"/>
  <c r="O706" i="4"/>
  <c r="O708" i="4"/>
  <c r="S596" i="4"/>
  <c r="T524" i="4"/>
  <c r="S471" i="4"/>
  <c r="T547" i="4"/>
  <c r="T496" i="4"/>
  <c r="S604" i="4"/>
  <c r="O758" i="4"/>
  <c r="T751" i="4"/>
  <c r="T561" i="4"/>
  <c r="V561" i="4"/>
  <c r="T571" i="4"/>
  <c r="T570" i="4"/>
  <c r="S575" i="4"/>
  <c r="T575" i="4" s="1"/>
  <c r="T567" i="4"/>
  <c r="T569" i="4"/>
  <c r="T664" i="4"/>
  <c r="V664" i="4"/>
  <c r="O722" i="4"/>
  <c r="O690" i="4"/>
  <c r="T622" i="4"/>
  <c r="T613" i="4"/>
  <c r="T623" i="4"/>
  <c r="T611" i="4"/>
  <c r="S629" i="4"/>
  <c r="T654" i="4"/>
  <c r="T659" i="4"/>
  <c r="T688" i="4"/>
  <c r="T683" i="4"/>
  <c r="T696" i="4"/>
  <c r="T703" i="4"/>
  <c r="T697" i="4"/>
  <c r="T669" i="4"/>
  <c r="T695" i="4"/>
  <c r="T676" i="4"/>
  <c r="S706" i="4"/>
  <c r="V706" i="4" s="1"/>
  <c r="T660" i="4"/>
  <c r="S193" i="4"/>
  <c r="X193" i="4" s="1"/>
  <c r="V536" i="4"/>
  <c r="T473" i="4"/>
  <c r="T518" i="4"/>
  <c r="T517" i="4"/>
  <c r="T545" i="4"/>
  <c r="T495" i="4"/>
  <c r="T465" i="4"/>
  <c r="T494" i="4"/>
  <c r="T455" i="4"/>
  <c r="S483" i="4"/>
  <c r="S489" i="4" s="1"/>
  <c r="T508" i="4"/>
  <c r="T507" i="4"/>
  <c r="T488" i="4"/>
  <c r="T538" i="4"/>
  <c r="V503" i="4"/>
  <c r="S527" i="4"/>
  <c r="T527" i="4" s="1"/>
  <c r="T516" i="4"/>
  <c r="T515" i="4"/>
  <c r="T503" i="4"/>
  <c r="T514" i="4"/>
  <c r="T469" i="4"/>
  <c r="T540" i="4"/>
  <c r="S542" i="4"/>
  <c r="V542" i="4" s="1"/>
  <c r="T451" i="4"/>
  <c r="T476" i="4"/>
  <c r="S487" i="4"/>
  <c r="V487" i="4" s="1"/>
  <c r="T144" i="4"/>
  <c r="T554" i="4"/>
  <c r="T553" i="4"/>
  <c r="T66" i="4"/>
  <c r="S194" i="4"/>
  <c r="X194" i="4" s="1"/>
  <c r="S259" i="4"/>
  <c r="X259" i="4" s="1"/>
  <c r="S92" i="4"/>
  <c r="T92" i="4" s="1"/>
  <c r="S151" i="4"/>
  <c r="T330" i="4" s="1"/>
  <c r="T287" i="4"/>
  <c r="S295" i="4"/>
  <c r="T131" i="4"/>
  <c r="T161" i="4"/>
  <c r="S189" i="4"/>
  <c r="V189" i="4" s="1"/>
  <c r="T223" i="4"/>
  <c r="S224" i="4"/>
  <c r="T224" i="4" s="1"/>
  <c r="T73" i="4"/>
  <c r="T4" i="4"/>
  <c r="T43" i="4"/>
  <c r="T74" i="4"/>
  <c r="T120" i="4"/>
  <c r="T42" i="4"/>
  <c r="T52" i="4"/>
  <c r="T75" i="4"/>
  <c r="T425" i="4"/>
  <c r="T132" i="4"/>
  <c r="S163" i="4"/>
  <c r="V163" i="4" s="1"/>
  <c r="V92" i="4"/>
  <c r="T307" i="4"/>
  <c r="T340" i="4"/>
  <c r="S397" i="4"/>
  <c r="T119" i="4"/>
  <c r="S312" i="4"/>
  <c r="V312" i="4" s="1"/>
  <c r="V230" i="4"/>
  <c r="M230" i="4" s="1"/>
  <c r="N230" i="4" s="1"/>
  <c r="X230" i="4"/>
  <c r="T206" i="4"/>
  <c r="T230" i="4"/>
  <c r="T234" i="4"/>
  <c r="S235" i="4"/>
  <c r="V235" i="4" s="1"/>
  <c r="T383" i="4"/>
  <c r="T384" i="4"/>
  <c r="T171" i="4"/>
  <c r="T182" i="4"/>
  <c r="T229" i="4"/>
  <c r="T244" i="4"/>
  <c r="T172" i="4"/>
  <c r="T173" i="4"/>
  <c r="T205" i="4"/>
  <c r="S316" i="4"/>
  <c r="V316" i="4" s="1"/>
  <c r="T115" i="4"/>
  <c r="T251" i="4"/>
  <c r="T246" i="4"/>
  <c r="T247" i="4"/>
  <c r="S242" i="4"/>
  <c r="T242" i="4" s="1"/>
  <c r="T9" i="4"/>
  <c r="T10" i="4"/>
  <c r="T18" i="4"/>
  <c r="T5" i="4"/>
  <c r="S31" i="4"/>
  <c r="V31" i="4" s="1"/>
  <c r="T324" i="4"/>
  <c r="S343" i="4"/>
  <c r="T346" i="4"/>
  <c r="S363" i="4"/>
  <c r="T20" i="4"/>
  <c r="S65" i="4"/>
  <c r="T135" i="4" s="1"/>
  <c r="S170" i="4"/>
  <c r="V170" i="4" s="1"/>
  <c r="T128" i="4"/>
  <c r="T32" i="4"/>
  <c r="T175" i="4"/>
  <c r="S221" i="4"/>
  <c r="T166" i="4"/>
  <c r="S192" i="4"/>
  <c r="T192" i="4" s="1"/>
  <c r="V384" i="4"/>
  <c r="M384" i="4" s="1"/>
  <c r="N384" i="4" s="1"/>
  <c r="T19" i="4"/>
  <c r="S57" i="4"/>
  <c r="T237" i="4"/>
  <c r="S258" i="4"/>
  <c r="V258" i="4" s="1"/>
  <c r="T87" i="4"/>
  <c r="T123" i="4"/>
  <c r="T124" i="4"/>
  <c r="T125" i="4"/>
  <c r="S190" i="4"/>
  <c r="V190" i="4" s="1"/>
  <c r="T165" i="4"/>
  <c r="S191" i="4"/>
  <c r="V191" i="4" s="1"/>
  <c r="T288" i="4"/>
  <c r="S296" i="4"/>
  <c r="T296" i="4" s="1"/>
  <c r="T28" i="4"/>
  <c r="T60" i="4"/>
  <c r="T91" i="4"/>
  <c r="S107" i="4"/>
  <c r="V107" i="4" s="1"/>
  <c r="T8" i="4"/>
  <c r="S30" i="4"/>
  <c r="T38" i="4" s="1"/>
  <c r="T112" i="4"/>
  <c r="T302" i="4"/>
  <c r="T222" i="4"/>
  <c r="T113" i="4"/>
  <c r="T301" i="4"/>
  <c r="T410" i="4"/>
  <c r="S420" i="4"/>
  <c r="V420" i="4" s="1"/>
  <c r="T323" i="4"/>
  <c r="T33" i="4"/>
  <c r="T96" i="4"/>
  <c r="T55" i="4"/>
  <c r="T53" i="4"/>
  <c r="T93" i="4"/>
  <c r="T267" i="4"/>
  <c r="T116" i="4"/>
  <c r="T269" i="4"/>
  <c r="T266" i="4"/>
  <c r="T270" i="4"/>
  <c r="T145" i="4"/>
  <c r="S34" i="4"/>
  <c r="V34" i="4" s="1"/>
  <c r="T27" i="4"/>
  <c r="S40" i="4"/>
  <c r="T232" i="4"/>
  <c r="S233" i="4"/>
  <c r="V233" i="4" s="1"/>
  <c r="T90" i="4"/>
  <c r="T105" i="4"/>
  <c r="T148" i="4"/>
  <c r="S157" i="4"/>
  <c r="V157" i="4" s="1"/>
  <c r="T167" i="4"/>
  <c r="T129" i="4"/>
  <c r="T149" i="4"/>
  <c r="T37" i="4"/>
  <c r="T106" i="4"/>
  <c r="T41" i="4"/>
  <c r="T142" i="4"/>
  <c r="S249" i="4"/>
  <c r="V249" i="4" s="1"/>
  <c r="T268" i="4"/>
  <c r="T122" i="4"/>
  <c r="T136" i="4"/>
  <c r="T121" i="4"/>
  <c r="T26" i="4"/>
  <c r="T272" i="4"/>
  <c r="T137" i="4"/>
  <c r="T94" i="4"/>
  <c r="T56" i="4"/>
  <c r="T54" i="4"/>
  <c r="T271" i="4"/>
  <c r="T98" i="4"/>
  <c r="T95" i="4"/>
  <c r="T97" i="4"/>
  <c r="S147" i="4"/>
  <c r="V147" i="4" s="1"/>
  <c r="T114" i="4"/>
  <c r="T150" i="4"/>
  <c r="T315" i="4"/>
  <c r="T378" i="4"/>
  <c r="T333" i="4"/>
  <c r="T398" i="4"/>
  <c r="T411" i="4"/>
  <c r="S421" i="4"/>
  <c r="V421" i="4" s="1"/>
  <c r="T405" i="4"/>
  <c r="T444" i="4"/>
  <c r="T362" i="4"/>
  <c r="T445" i="4"/>
  <c r="T361" i="4"/>
  <c r="T111" i="4"/>
  <c r="S162" i="4"/>
  <c r="V162" i="4" s="1"/>
  <c r="T24" i="4"/>
  <c r="S67" i="4"/>
  <c r="V67" i="4" s="1"/>
  <c r="T336" i="4"/>
  <c r="S347" i="4"/>
  <c r="T289" i="4"/>
  <c r="S297" i="4"/>
  <c r="T297" i="4" s="1"/>
  <c r="T243" i="4"/>
  <c r="S261" i="4"/>
  <c r="V261" i="4" s="1"/>
  <c r="T17" i="4"/>
  <c r="S25" i="4"/>
  <c r="V25" i="4" s="1"/>
  <c r="V193" i="4"/>
  <c r="M193" i="4" s="1"/>
  <c r="N193" i="4" s="1"/>
  <c r="T299" i="4"/>
  <c r="S304" i="4"/>
  <c r="V304" i="4" s="1"/>
  <c r="T344" i="4"/>
  <c r="S345" i="4"/>
  <c r="V345" i="4" s="1"/>
  <c r="T308" i="4"/>
  <c r="S311" i="4"/>
  <c r="T319" i="4" s="1"/>
  <c r="T59" i="4"/>
  <c r="S85" i="4"/>
  <c r="T85" i="4" s="1"/>
  <c r="T255" i="4"/>
  <c r="T259" i="4"/>
  <c r="T86" i="4"/>
  <c r="T117" i="4"/>
  <c r="T118" i="4"/>
  <c r="S133" i="4"/>
  <c r="V133" i="4" s="1"/>
  <c r="T409" i="4"/>
  <c r="T219" i="4"/>
  <c r="T310" i="4"/>
  <c r="S416" i="4"/>
  <c r="T416" i="4" s="1"/>
  <c r="T236" i="4"/>
  <c r="T127" i="4"/>
  <c r="T193" i="4"/>
  <c r="T29" i="4"/>
  <c r="S36" i="4"/>
  <c r="V36" i="4" s="1"/>
  <c r="T294" i="4"/>
  <c r="T306" i="4"/>
  <c r="T180" i="4"/>
  <c r="T181" i="4"/>
  <c r="S359" i="4"/>
  <c r="V359" i="4" s="1"/>
  <c r="Q284" i="4"/>
  <c r="Q292" i="4"/>
  <c r="Q300" i="4"/>
  <c r="Q281" i="4"/>
  <c r="Q285" i="4"/>
  <c r="Q293" i="4"/>
  <c r="Q282" i="4"/>
  <c r="Q291" i="4"/>
  <c r="Q329" i="4"/>
  <c r="Q353" i="4"/>
  <c r="Q357" i="4"/>
  <c r="Q429" i="4"/>
  <c r="Q437" i="4"/>
  <c r="Q350" i="4"/>
  <c r="Q354" i="4"/>
  <c r="Q358" i="4"/>
  <c r="Q418" i="4"/>
  <c r="Q430" i="4"/>
  <c r="Q434" i="4"/>
  <c r="Q438" i="4"/>
  <c r="Q283" i="4"/>
  <c r="Q327" i="4"/>
  <c r="Q355" i="4"/>
  <c r="Q395" i="4"/>
  <c r="Q415" i="4"/>
  <c r="Q431" i="4"/>
  <c r="Q435" i="4"/>
  <c r="Q439" i="4"/>
  <c r="Q352" i="4"/>
  <c r="Q356" i="4"/>
  <c r="Q436" i="4"/>
  <c r="U283" i="4"/>
  <c r="U291" i="4"/>
  <c r="U327" i="4"/>
  <c r="U355" i="4"/>
  <c r="U395" i="4"/>
  <c r="U415" i="4"/>
  <c r="U431" i="4"/>
  <c r="U435" i="4"/>
  <c r="U439" i="4"/>
  <c r="Q408" i="4"/>
  <c r="U284" i="4"/>
  <c r="U292" i="4"/>
  <c r="U300" i="4"/>
  <c r="U352" i="4"/>
  <c r="U356" i="4"/>
  <c r="U281" i="4"/>
  <c r="U285" i="4"/>
  <c r="U293" i="4"/>
  <c r="U329" i="4"/>
  <c r="U353" i="4"/>
  <c r="U357" i="4"/>
  <c r="U282" i="4"/>
  <c r="U350" i="4"/>
  <c r="U354" i="4"/>
  <c r="U358" i="4"/>
  <c r="U418" i="4"/>
  <c r="U430" i="4"/>
  <c r="U434" i="4"/>
  <c r="U438" i="4"/>
  <c r="U436" i="4"/>
  <c r="U429" i="4"/>
  <c r="U437" i="4"/>
  <c r="U408" i="4"/>
  <c r="T283" i="4"/>
  <c r="T291" i="4"/>
  <c r="T327" i="4"/>
  <c r="T355" i="4"/>
  <c r="T284" i="4"/>
  <c r="T292" i="4"/>
  <c r="T300" i="4"/>
  <c r="T352" i="4"/>
  <c r="T356" i="4"/>
  <c r="T408" i="4"/>
  <c r="T281" i="4"/>
  <c r="T285" i="4"/>
  <c r="T293" i="4"/>
  <c r="T329" i="4"/>
  <c r="T353" i="4"/>
  <c r="T357" i="4"/>
  <c r="T354" i="4"/>
  <c r="T429" i="4"/>
  <c r="T437" i="4"/>
  <c r="T358" i="4"/>
  <c r="T418" i="4"/>
  <c r="T430" i="4"/>
  <c r="T434" i="4"/>
  <c r="T438" i="4"/>
  <c r="T282" i="4"/>
  <c r="T395" i="4"/>
  <c r="T431" i="4"/>
  <c r="T435" i="4"/>
  <c r="T439" i="4"/>
  <c r="T350" i="4"/>
  <c r="T415" i="4"/>
  <c r="T436" i="4"/>
  <c r="T3" i="4"/>
  <c r="T7" i="4"/>
  <c r="T23" i="4"/>
  <c r="T47" i="4"/>
  <c r="T51" i="4"/>
  <c r="T78" i="4"/>
  <c r="T82" i="4"/>
  <c r="T102" i="4"/>
  <c r="T154" i="4"/>
  <c r="T186" i="4"/>
  <c r="T210" i="4"/>
  <c r="T218" i="4"/>
  <c r="T12" i="4"/>
  <c r="T16" i="4"/>
  <c r="T44" i="4"/>
  <c r="T48" i="4"/>
  <c r="T79" i="4"/>
  <c r="T83" i="4"/>
  <c r="T103" i="4"/>
  <c r="T203" i="4"/>
  <c r="T211" i="4"/>
  <c r="T239" i="4"/>
  <c r="T45" i="4"/>
  <c r="T76" i="4"/>
  <c r="T80" i="4"/>
  <c r="T100" i="4"/>
  <c r="T156" i="4"/>
  <c r="T188" i="4"/>
  <c r="T208" i="4"/>
  <c r="T212" i="4"/>
  <c r="T216" i="4"/>
  <c r="T260" i="4"/>
  <c r="T14" i="4"/>
  <c r="T22" i="4"/>
  <c r="T46" i="4"/>
  <c r="T50" i="4"/>
  <c r="T77" i="4"/>
  <c r="T89" i="4"/>
  <c r="T101" i="4"/>
  <c r="T109" i="4"/>
  <c r="T141" i="4"/>
  <c r="T209" i="4"/>
  <c r="T213" i="4"/>
  <c r="T217" i="4"/>
  <c r="O3" i="4"/>
  <c r="O7" i="4"/>
  <c r="O11" i="4"/>
  <c r="O15" i="4"/>
  <c r="O19" i="4"/>
  <c r="O23" i="4"/>
  <c r="O27" i="4"/>
  <c r="O31" i="4"/>
  <c r="O35" i="4"/>
  <c r="O39" i="4"/>
  <c r="O6" i="4"/>
  <c r="O12" i="4"/>
  <c r="O17" i="4"/>
  <c r="O22" i="4"/>
  <c r="O28" i="4"/>
  <c r="O33" i="4"/>
  <c r="O38" i="4"/>
  <c r="O8" i="4"/>
  <c r="O13" i="4"/>
  <c r="O18" i="4"/>
  <c r="O24" i="4"/>
  <c r="O29" i="4"/>
  <c r="O34" i="4"/>
  <c r="O5" i="4"/>
  <c r="O16" i="4"/>
  <c r="O26" i="4"/>
  <c r="O37" i="4"/>
  <c r="O9" i="4"/>
  <c r="O20" i="4"/>
  <c r="O30" i="4"/>
  <c r="O10" i="4"/>
  <c r="O21" i="4"/>
  <c r="O32" i="4"/>
  <c r="O4" i="4"/>
  <c r="O14" i="4"/>
  <c r="O25" i="4"/>
  <c r="O36" i="4"/>
  <c r="Q7" i="4"/>
  <c r="Q12" i="4"/>
  <c r="Q16" i="4"/>
  <c r="Q44" i="4"/>
  <c r="Q48" i="4"/>
  <c r="Q79" i="4"/>
  <c r="Q83" i="4"/>
  <c r="Q103" i="4"/>
  <c r="Q3" i="4"/>
  <c r="Q45" i="4"/>
  <c r="Q76" i="4"/>
  <c r="Q80" i="4"/>
  <c r="Q100" i="4"/>
  <c r="Q156" i="4"/>
  <c r="Q188" i="4"/>
  <c r="Q50" i="4"/>
  <c r="Q89" i="4"/>
  <c r="Q141" i="4"/>
  <c r="Q210" i="4"/>
  <c r="Q218" i="4"/>
  <c r="Q51" i="4"/>
  <c r="Q82" i="4"/>
  <c r="Q203" i="4"/>
  <c r="Q211" i="4"/>
  <c r="Q239" i="4"/>
  <c r="Q14" i="4"/>
  <c r="Q22" i="4"/>
  <c r="Q46" i="4"/>
  <c r="Q77" i="4"/>
  <c r="Q101" i="4"/>
  <c r="Q109" i="4"/>
  <c r="Q154" i="4"/>
  <c r="Q186" i="4"/>
  <c r="Q208" i="4"/>
  <c r="Q212" i="4"/>
  <c r="Q216" i="4"/>
  <c r="Q260" i="4"/>
  <c r="Q23" i="4"/>
  <c r="Q47" i="4"/>
  <c r="Q78" i="4"/>
  <c r="Q102" i="4"/>
  <c r="Q209" i="4"/>
  <c r="Q213" i="4"/>
  <c r="Q217" i="4"/>
  <c r="U3" i="4"/>
  <c r="U7" i="4"/>
  <c r="U23" i="4"/>
  <c r="U47" i="4"/>
  <c r="U51" i="4"/>
  <c r="U78" i="4"/>
  <c r="U82" i="4"/>
  <c r="U102" i="4"/>
  <c r="U154" i="4"/>
  <c r="U186" i="4"/>
  <c r="U210" i="4"/>
  <c r="U218" i="4"/>
  <c r="U12" i="4"/>
  <c r="U16" i="4"/>
  <c r="U45" i="4"/>
  <c r="U76" i="4"/>
  <c r="U80" i="4"/>
  <c r="U100" i="4"/>
  <c r="U156" i="4"/>
  <c r="U188" i="4"/>
  <c r="U208" i="4"/>
  <c r="U212" i="4"/>
  <c r="U216" i="4"/>
  <c r="U260" i="4"/>
  <c r="U14" i="4"/>
  <c r="U22" i="4"/>
  <c r="U46" i="4"/>
  <c r="U50" i="4"/>
  <c r="U77" i="4"/>
  <c r="U89" i="4"/>
  <c r="U101" i="4"/>
  <c r="U109" i="4"/>
  <c r="U141" i="4"/>
  <c r="U209" i="4"/>
  <c r="U213" i="4"/>
  <c r="U217" i="4"/>
  <c r="U239" i="4"/>
  <c r="U44" i="4"/>
  <c r="U79" i="4"/>
  <c r="U211" i="4"/>
  <c r="U203" i="4"/>
  <c r="U48" i="4"/>
  <c r="U83" i="4"/>
  <c r="U103" i="4"/>
  <c r="U2" i="4"/>
  <c r="Q2" i="4"/>
  <c r="T2" i="4"/>
  <c r="T1511" i="4" l="1"/>
  <c r="S1054" i="4"/>
  <c r="V1054" i="4" s="1"/>
  <c r="T970" i="4"/>
  <c r="T1534" i="4"/>
  <c r="T798" i="4"/>
  <c r="T944" i="4"/>
  <c r="S946" i="4"/>
  <c r="V798" i="4"/>
  <c r="T934" i="4"/>
  <c r="V793" i="4"/>
  <c r="S838" i="4"/>
  <c r="T838" i="4" s="1"/>
  <c r="T833" i="4"/>
  <c r="T793" i="4"/>
  <c r="T1578" i="4"/>
  <c r="T1610" i="4"/>
  <c r="T1628" i="4"/>
  <c r="T1618" i="4"/>
  <c r="T1892" i="4"/>
  <c r="O1892" i="4"/>
  <c r="O1893" i="4"/>
  <c r="O1894" i="4"/>
  <c r="T950" i="4"/>
  <c r="T1885" i="4"/>
  <c r="T1682" i="4"/>
  <c r="T1883" i="4"/>
  <c r="S1881" i="4"/>
  <c r="V1881" i="4" s="1"/>
  <c r="T1887" i="4"/>
  <c r="V1201" i="4"/>
  <c r="T1201" i="4"/>
  <c r="V526" i="4"/>
  <c r="T526" i="4"/>
  <c r="T997" i="4"/>
  <c r="V1212" i="4"/>
  <c r="S1226" i="4"/>
  <c r="T1226" i="4" s="1"/>
  <c r="T1212" i="4"/>
  <c r="T828" i="4"/>
  <c r="T1877" i="4"/>
  <c r="V1776" i="4"/>
  <c r="S1807" i="4"/>
  <c r="V1807" i="4" s="1"/>
  <c r="T1776" i="4"/>
  <c r="T1798" i="4"/>
  <c r="T1790" i="4"/>
  <c r="V1702" i="4"/>
  <c r="S1706" i="4"/>
  <c r="T1706" i="4" s="1"/>
  <c r="T1702" i="4"/>
  <c r="V1532" i="4"/>
  <c r="T1532" i="4"/>
  <c r="T1571" i="4"/>
  <c r="T1572" i="4"/>
  <c r="S839" i="4"/>
  <c r="T809" i="4"/>
  <c r="T839" i="4"/>
  <c r="V809" i="4"/>
  <c r="V883" i="4"/>
  <c r="T937" i="4"/>
  <c r="S955" i="4"/>
  <c r="T955" i="4" s="1"/>
  <c r="T883" i="4"/>
  <c r="T948" i="4"/>
  <c r="T844" i="4"/>
  <c r="T1870" i="4"/>
  <c r="T925" i="4"/>
  <c r="V903" i="4"/>
  <c r="T903" i="4"/>
  <c r="V1800" i="4"/>
  <c r="T1800" i="4"/>
  <c r="S1811" i="4"/>
  <c r="V1811" i="4" s="1"/>
  <c r="T1869" i="4"/>
  <c r="T1367" i="4"/>
  <c r="T1867" i="4"/>
  <c r="O1868" i="4"/>
  <c r="O1867" i="4"/>
  <c r="O1869" i="4"/>
  <c r="O1871" i="4"/>
  <c r="O1870" i="4"/>
  <c r="O1866" i="4"/>
  <c r="S1469" i="4"/>
  <c r="V1469" i="4" s="1"/>
  <c r="T1334" i="4"/>
  <c r="T1344" i="4"/>
  <c r="V1175" i="4"/>
  <c r="T1175" i="4"/>
  <c r="V1006" i="4"/>
  <c r="T1006" i="4"/>
  <c r="S1126" i="4"/>
  <c r="T1126" i="4" s="1"/>
  <c r="T1106" i="4"/>
  <c r="T1860" i="4"/>
  <c r="S1856" i="4"/>
  <c r="T1856" i="4" s="1"/>
  <c r="S1861" i="4"/>
  <c r="V1861" i="4" s="1"/>
  <c r="V1221" i="4"/>
  <c r="T1221" i="4"/>
  <c r="S1386" i="4"/>
  <c r="V1386" i="4" s="1"/>
  <c r="T1861" i="4"/>
  <c r="T1862" i="4"/>
  <c r="V1525" i="4"/>
  <c r="T1525" i="4"/>
  <c r="S1561" i="4"/>
  <c r="T1545" i="4"/>
  <c r="T1323" i="4"/>
  <c r="T1729" i="4"/>
  <c r="T607" i="4"/>
  <c r="V607" i="4"/>
  <c r="V1192" i="4"/>
  <c r="T1214" i="4"/>
  <c r="S1302" i="4"/>
  <c r="V1302" i="4" s="1"/>
  <c r="T1192" i="4"/>
  <c r="T1235" i="4"/>
  <c r="T1054" i="4"/>
  <c r="T1486" i="4"/>
  <c r="T1742" i="4"/>
  <c r="V1213" i="4"/>
  <c r="S1249" i="4"/>
  <c r="T1249" i="4" s="1"/>
  <c r="T1213" i="4"/>
  <c r="S1550" i="4"/>
  <c r="S1556" i="4" s="1"/>
  <c r="S1576" i="4" s="1"/>
  <c r="V1576" i="4" s="1"/>
  <c r="T829" i="4"/>
  <c r="V829" i="4"/>
  <c r="T862" i="4"/>
  <c r="S866" i="4"/>
  <c r="S871" i="4" s="1"/>
  <c r="T847" i="4"/>
  <c r="S1732" i="4"/>
  <c r="V1225" i="4"/>
  <c r="T1225" i="4"/>
  <c r="V811" i="4"/>
  <c r="T811" i="4"/>
  <c r="V1660" i="4"/>
  <c r="T1660" i="4"/>
  <c r="V1155" i="4"/>
  <c r="T1189" i="4"/>
  <c r="T1155" i="4"/>
  <c r="T1190" i="4"/>
  <c r="T1188" i="4"/>
  <c r="S1761" i="4"/>
  <c r="S1781" i="4" s="1"/>
  <c r="S1229" i="4"/>
  <c r="S1233" i="4" s="1"/>
  <c r="V1324" i="4"/>
  <c r="T1324" i="4"/>
  <c r="T1349" i="4"/>
  <c r="S1599" i="4"/>
  <c r="V949" i="4"/>
  <c r="T949" i="4"/>
  <c r="S961" i="4"/>
  <c r="V961" i="4" s="1"/>
  <c r="V1575" i="4"/>
  <c r="S1730" i="4"/>
  <c r="V1730" i="4" s="1"/>
  <c r="T1575" i="4"/>
  <c r="S1679" i="4"/>
  <c r="V1679" i="4" s="1"/>
  <c r="V1473" i="4"/>
  <c r="S1531" i="4"/>
  <c r="V1038" i="4"/>
  <c r="T466" i="4"/>
  <c r="V1285" i="4"/>
  <c r="T1293" i="4"/>
  <c r="T1297" i="4"/>
  <c r="T1321" i="4"/>
  <c r="T1285" i="4"/>
  <c r="T1346" i="4"/>
  <c r="S1522" i="4"/>
  <c r="V1522" i="4" s="1"/>
  <c r="V1483" i="4"/>
  <c r="T1483" i="4"/>
  <c r="V1372" i="4"/>
  <c r="T1372" i="4"/>
  <c r="T1384" i="4"/>
  <c r="T1408" i="4"/>
  <c r="V1216" i="4"/>
  <c r="T1216" i="4"/>
  <c r="V1498" i="4"/>
  <c r="T1498" i="4"/>
  <c r="T1520" i="4"/>
  <c r="S1280" i="4"/>
  <c r="T1439" i="4" s="1"/>
  <c r="V872" i="4"/>
  <c r="T922" i="4"/>
  <c r="T872" i="4"/>
  <c r="T935" i="4"/>
  <c r="T954" i="4"/>
  <c r="V1105" i="4"/>
  <c r="S1335" i="4"/>
  <c r="T1105" i="4"/>
  <c r="T1207" i="4"/>
  <c r="T1231" i="4"/>
  <c r="V841" i="4"/>
  <c r="S846" i="4"/>
  <c r="T846" i="4" s="1"/>
  <c r="T841" i="4"/>
  <c r="V975" i="4"/>
  <c r="T975" i="4"/>
  <c r="T1038" i="4"/>
  <c r="T1251" i="4"/>
  <c r="T1001" i="4"/>
  <c r="T1503" i="4"/>
  <c r="S1688" i="4"/>
  <c r="T923" i="4"/>
  <c r="V845" i="4"/>
  <c r="T936" i="4"/>
  <c r="T845" i="4"/>
  <c r="V1635" i="4"/>
  <c r="T1736" i="4"/>
  <c r="T1748" i="4"/>
  <c r="T1780" i="4"/>
  <c r="T1635" i="4"/>
  <c r="S1546" i="4"/>
  <c r="V1546" i="4" s="1"/>
  <c r="T745" i="4"/>
  <c r="V745" i="4"/>
  <c r="S1366" i="4"/>
  <c r="T1377" i="4" s="1"/>
  <c r="V1345" i="4"/>
  <c r="T1345" i="4"/>
  <c r="T1348" i="4"/>
  <c r="T1366" i="4"/>
  <c r="S1255" i="4"/>
  <c r="S1271" i="4" s="1"/>
  <c r="S1453" i="4"/>
  <c r="S1500" i="4" s="1"/>
  <c r="S1516" i="4"/>
  <c r="S1544" i="4"/>
  <c r="S1595" i="4" s="1"/>
  <c r="V1595" i="4" s="1"/>
  <c r="S1075" i="4"/>
  <c r="T1075" i="4" s="1"/>
  <c r="V1068" i="4"/>
  <c r="V1350" i="4"/>
  <c r="T1350" i="4"/>
  <c r="V1775" i="4"/>
  <c r="T1775" i="4"/>
  <c r="S1784" i="4"/>
  <c r="V1784" i="4" s="1"/>
  <c r="V1449" i="4"/>
  <c r="T1459" i="4"/>
  <c r="T1531" i="4"/>
  <c r="T1449" i="4"/>
  <c r="T1467" i="4"/>
  <c r="T1473" i="4"/>
  <c r="T1465" i="4"/>
  <c r="S956" i="4"/>
  <c r="V1357" i="4"/>
  <c r="T1357" i="4"/>
  <c r="T1365" i="4"/>
  <c r="S1450" i="4"/>
  <c r="T1418" i="4"/>
  <c r="S974" i="4"/>
  <c r="V974" i="4" s="1"/>
  <c r="V1817" i="4"/>
  <c r="T1817" i="4"/>
  <c r="T1026" i="4"/>
  <c r="V1024" i="4"/>
  <c r="T1068" i="4"/>
  <c r="T1024" i="4"/>
  <c r="T1031" i="4"/>
  <c r="S1358" i="4"/>
  <c r="V1358" i="4" s="1"/>
  <c r="V908" i="4"/>
  <c r="T908" i="4"/>
  <c r="T1841" i="4"/>
  <c r="T1848" i="4"/>
  <c r="T1846" i="4"/>
  <c r="S1843" i="4"/>
  <c r="V1843" i="4" s="1"/>
  <c r="O1844" i="4"/>
  <c r="O1839" i="4"/>
  <c r="O1848" i="4"/>
  <c r="O1843" i="4"/>
  <c r="O1845" i="4"/>
  <c r="O1842" i="4"/>
  <c r="O1841" i="4"/>
  <c r="O1847" i="4"/>
  <c r="O1840" i="4"/>
  <c r="O1846" i="4"/>
  <c r="T1842" i="4"/>
  <c r="T1843" i="4"/>
  <c r="O490" i="4"/>
  <c r="T525" i="4"/>
  <c r="V465" i="4"/>
  <c r="T1827" i="4"/>
  <c r="T1829" i="4"/>
  <c r="T1828" i="4"/>
  <c r="T1826" i="4"/>
  <c r="O545" i="4"/>
  <c r="O552" i="4"/>
  <c r="O523" i="4"/>
  <c r="O499" i="4"/>
  <c r="O491" i="4"/>
  <c r="O540" i="4"/>
  <c r="O493" i="4"/>
  <c r="O546" i="4"/>
  <c r="O529" i="4"/>
  <c r="O509" i="4"/>
  <c r="O494" i="4"/>
  <c r="O496" i="4"/>
  <c r="O535" i="4"/>
  <c r="O488" i="4"/>
  <c r="O505" i="4"/>
  <c r="O507" i="4"/>
  <c r="O530" i="4"/>
  <c r="O543" i="4"/>
  <c r="O541" i="4"/>
  <c r="O537" i="4"/>
  <c r="O508" i="4"/>
  <c r="O511" i="4"/>
  <c r="O533" i="4"/>
  <c r="O512" i="4"/>
  <c r="O542" i="4"/>
  <c r="O487" i="4"/>
  <c r="O492" i="4"/>
  <c r="O516" i="4"/>
  <c r="O544" i="4"/>
  <c r="O538" i="4"/>
  <c r="O519" i="4"/>
  <c r="O526" i="4"/>
  <c r="O521" i="4"/>
  <c r="O539" i="4"/>
  <c r="O536" i="4"/>
  <c r="O495" i="4"/>
  <c r="O534" i="4"/>
  <c r="O504" i="4"/>
  <c r="O550" i="4"/>
  <c r="O501" i="4"/>
  <c r="O531" i="4"/>
  <c r="O549" i="4"/>
  <c r="O517" i="4"/>
  <c r="O522" i="4"/>
  <c r="O518" i="4"/>
  <c r="O510" i="4"/>
  <c r="O514" i="4"/>
  <c r="O527" i="4"/>
  <c r="O486" i="4"/>
  <c r="O489" i="4"/>
  <c r="O497" i="4"/>
  <c r="O524" i="4"/>
  <c r="O525" i="4"/>
  <c r="O520" i="4"/>
  <c r="O532" i="4"/>
  <c r="O506" i="4"/>
  <c r="O502" i="4"/>
  <c r="O500" i="4"/>
  <c r="O515" i="4"/>
  <c r="O503" i="4"/>
  <c r="O547" i="4"/>
  <c r="O528" i="4"/>
  <c r="O498" i="4"/>
  <c r="O548" i="4"/>
  <c r="O551" i="4"/>
  <c r="O513" i="4"/>
  <c r="V673" i="4"/>
  <c r="T600" i="4"/>
  <c r="T596" i="4"/>
  <c r="S606" i="4"/>
  <c r="V596" i="4"/>
  <c r="V471" i="4"/>
  <c r="T471" i="4"/>
  <c r="T576" i="4"/>
  <c r="S617" i="4"/>
  <c r="T619" i="4" s="1"/>
  <c r="T610" i="4"/>
  <c r="T604" i="4"/>
  <c r="T615" i="4"/>
  <c r="T614" i="4"/>
  <c r="V604" i="4"/>
  <c r="S579" i="4"/>
  <c r="T581" i="4" s="1"/>
  <c r="V575" i="4"/>
  <c r="S642" i="4"/>
  <c r="T651" i="4" s="1"/>
  <c r="T640" i="4"/>
  <c r="V629" i="4"/>
  <c r="T629" i="4"/>
  <c r="T639" i="4"/>
  <c r="T706" i="4"/>
  <c r="T497" i="4"/>
  <c r="T534" i="4"/>
  <c r="T489" i="4"/>
  <c r="T549" i="4"/>
  <c r="T537" i="4"/>
  <c r="V489" i="4"/>
  <c r="T499" i="4"/>
  <c r="T528" i="4"/>
  <c r="T501" i="4"/>
  <c r="T510" i="4"/>
  <c r="T533" i="4"/>
  <c r="T531" i="4"/>
  <c r="T551" i="4"/>
  <c r="T512" i="4"/>
  <c r="T513" i="4"/>
  <c r="T552" i="4"/>
  <c r="T483" i="4"/>
  <c r="V483" i="4"/>
  <c r="T487" i="4"/>
  <c r="T542" i="4"/>
  <c r="S535" i="4"/>
  <c r="V527" i="4"/>
  <c r="T539" i="4"/>
  <c r="T555" i="4"/>
  <c r="V194" i="4"/>
  <c r="M194" i="4" s="1"/>
  <c r="N194" i="4" s="1"/>
  <c r="T194" i="4"/>
  <c r="V259" i="4"/>
  <c r="M259" i="4" s="1"/>
  <c r="N259" i="4" s="1"/>
  <c r="T170" i="4"/>
  <c r="S35" i="4"/>
  <c r="V35" i="4" s="1"/>
  <c r="T199" i="4"/>
  <c r="T331" i="4"/>
  <c r="T191" i="4"/>
  <c r="T201" i="4"/>
  <c r="T424" i="4"/>
  <c r="T253" i="4"/>
  <c r="T427" i="4"/>
  <c r="T151" i="4"/>
  <c r="T198" i="4"/>
  <c r="T278" i="4"/>
  <c r="T426" i="4"/>
  <c r="S320" i="4"/>
  <c r="X320" i="4" s="1"/>
  <c r="T359" i="4"/>
  <c r="T261" i="4"/>
  <c r="T67" i="4"/>
  <c r="T304" i="4"/>
  <c r="T190" i="4"/>
  <c r="S334" i="4"/>
  <c r="V334" i="4" s="1"/>
  <c r="T412" i="4"/>
  <c r="T345" i="4"/>
  <c r="T25" i="4"/>
  <c r="S338" i="4"/>
  <c r="V338" i="4" s="1"/>
  <c r="T420" i="4"/>
  <c r="S63" i="4"/>
  <c r="V63" i="4" s="1"/>
  <c r="T312" i="4"/>
  <c r="T279" i="4"/>
  <c r="V151" i="4"/>
  <c r="S396" i="4"/>
  <c r="T36" i="4"/>
  <c r="S256" i="4"/>
  <c r="T256" i="4" s="1"/>
  <c r="T133" i="4"/>
  <c r="X347" i="4"/>
  <c r="V347" i="4"/>
  <c r="M347" i="4" s="1"/>
  <c r="N347" i="4" s="1"/>
  <c r="T347" i="4"/>
  <c r="X40" i="4"/>
  <c r="V40" i="4"/>
  <c r="M40" i="4" s="1"/>
  <c r="N40" i="4" s="1"/>
  <c r="T40" i="4"/>
  <c r="T143" i="4"/>
  <c r="T360" i="4"/>
  <c r="V57" i="4"/>
  <c r="T403" i="4"/>
  <c r="T65" i="4"/>
  <c r="T240" i="4"/>
  <c r="T363" i="4"/>
  <c r="V363" i="4"/>
  <c r="X242" i="4"/>
  <c r="V242" i="4"/>
  <c r="M242" i="4" s="1"/>
  <c r="N242" i="4" s="1"/>
  <c r="T163" i="4"/>
  <c r="T311" i="4"/>
  <c r="X311" i="4"/>
  <c r="V311" i="4"/>
  <c r="M311" i="4" s="1"/>
  <c r="N311" i="4" s="1"/>
  <c r="T58" i="4"/>
  <c r="T228" i="4"/>
  <c r="S158" i="4"/>
  <c r="T158" i="4" s="1"/>
  <c r="T157" i="4"/>
  <c r="T178" i="4"/>
  <c r="T107" i="4"/>
  <c r="T34" i="4"/>
  <c r="T258" i="4"/>
  <c r="T57" i="4"/>
  <c r="T221" i="4"/>
  <c r="V221" i="4"/>
  <c r="T146" i="4"/>
  <c r="T241" i="4"/>
  <c r="V295" i="4"/>
  <c r="M295" i="4" s="1"/>
  <c r="N295" i="4" s="1"/>
  <c r="X295" i="4"/>
  <c r="X416" i="4"/>
  <c r="V416" i="4"/>
  <c r="M416" i="4" s="1"/>
  <c r="N416" i="4" s="1"/>
  <c r="S422" i="4"/>
  <c r="V85" i="4"/>
  <c r="S314" i="4"/>
  <c r="V314" i="4" s="1"/>
  <c r="S61" i="4"/>
  <c r="X297" i="4"/>
  <c r="V297" i="4"/>
  <c r="M297" i="4" s="1"/>
  <c r="N297" i="4" s="1"/>
  <c r="S365" i="4"/>
  <c r="S68" i="4"/>
  <c r="S174" i="4" s="1"/>
  <c r="V174" i="4" s="1"/>
  <c r="S169" i="4"/>
  <c r="T169" i="4" s="1"/>
  <c r="T162" i="4"/>
  <c r="T273" i="4"/>
  <c r="T249" i="4"/>
  <c r="T233" i="4"/>
  <c r="T177" i="4"/>
  <c r="S184" i="4"/>
  <c r="S197" i="4" s="1"/>
  <c r="T30" i="4"/>
  <c r="V30" i="4"/>
  <c r="T160" i="4"/>
  <c r="T332" i="4"/>
  <c r="X192" i="4"/>
  <c r="V192" i="4"/>
  <c r="M192" i="4" s="1"/>
  <c r="N192" i="4" s="1"/>
  <c r="T446" i="4"/>
  <c r="T343" i="4"/>
  <c r="X343" i="4"/>
  <c r="V343" i="4"/>
  <c r="M343" i="4" s="1"/>
  <c r="N343" i="4" s="1"/>
  <c r="S71" i="4"/>
  <c r="T71" i="4" s="1"/>
  <c r="T316" i="4"/>
  <c r="T235" i="4"/>
  <c r="X224" i="4"/>
  <c r="V224" i="4"/>
  <c r="M224" i="4" s="1"/>
  <c r="N224" i="4" s="1"/>
  <c r="T189" i="4"/>
  <c r="T295" i="4"/>
  <c r="S134" i="4"/>
  <c r="V134" i="4" s="1"/>
  <c r="T318" i="4"/>
  <c r="T364" i="4"/>
  <c r="T421" i="4"/>
  <c r="S245" i="4"/>
  <c r="T263" i="4" s="1"/>
  <c r="T147" i="4"/>
  <c r="T226" i="4"/>
  <c r="T179" i="4"/>
  <c r="S277" i="4"/>
  <c r="V277" i="4" s="1"/>
  <c r="X296" i="4"/>
  <c r="V296" i="4"/>
  <c r="M296" i="4" s="1"/>
  <c r="N296" i="4" s="1"/>
  <c r="S419" i="4"/>
  <c r="V419" i="4" s="1"/>
  <c r="T110" i="4"/>
  <c r="T220" i="4"/>
  <c r="T447" i="4"/>
  <c r="V65" i="4"/>
  <c r="T252" i="4"/>
  <c r="T31" i="4"/>
  <c r="T397" i="4"/>
  <c r="V397" i="4"/>
  <c r="O2" i="4"/>
  <c r="V946" i="4" l="1"/>
  <c r="S968" i="4"/>
  <c r="S1021" i="4" s="1"/>
  <c r="T946" i="4"/>
  <c r="S843" i="4"/>
  <c r="V838" i="4"/>
  <c r="S1177" i="4"/>
  <c r="V1177" i="4" s="1"/>
  <c r="T1881" i="4"/>
  <c r="S1884" i="4"/>
  <c r="V1884" i="4" s="1"/>
  <c r="S1882" i="4"/>
  <c r="V1882" i="4" s="1"/>
  <c r="T1880" i="4"/>
  <c r="X1856" i="4"/>
  <c r="V1226" i="4"/>
  <c r="S1228" i="4"/>
  <c r="V1856" i="4"/>
  <c r="M1856" i="4" s="1"/>
  <c r="N1856" i="4" s="1"/>
  <c r="T1811" i="4"/>
  <c r="S1814" i="4"/>
  <c r="V1814" i="4" s="1"/>
  <c r="V839" i="4"/>
  <c r="T1807" i="4"/>
  <c r="V955" i="4"/>
  <c r="S967" i="4"/>
  <c r="S859" i="4"/>
  <c r="V1706" i="4"/>
  <c r="S1726" i="4"/>
  <c r="T1814" i="4"/>
  <c r="T1469" i="4"/>
  <c r="T1853" i="4"/>
  <c r="T1859" i="4"/>
  <c r="V1126" i="4"/>
  <c r="S1194" i="4"/>
  <c r="T1850" i="4"/>
  <c r="T1386" i="4"/>
  <c r="T1162" i="4"/>
  <c r="T1858" i="4"/>
  <c r="V1561" i="4"/>
  <c r="S1663" i="4"/>
  <c r="T1663" i="4" s="1"/>
  <c r="T1582" i="4"/>
  <c r="T1587" i="4"/>
  <c r="T1561" i="4"/>
  <c r="T1302" i="4"/>
  <c r="S1557" i="4"/>
  <c r="V1557" i="4" s="1"/>
  <c r="T1804" i="4"/>
  <c r="T1822" i="4"/>
  <c r="S1289" i="4"/>
  <c r="V1249" i="4"/>
  <c r="V1500" i="4"/>
  <c r="S1553" i="4"/>
  <c r="V1553" i="4" s="1"/>
  <c r="V1233" i="4"/>
  <c r="V871" i="4"/>
  <c r="T871" i="4"/>
  <c r="T1376" i="4"/>
  <c r="T1730" i="4"/>
  <c r="T961" i="4"/>
  <c r="T884" i="4"/>
  <c r="S1368" i="4"/>
  <c r="V1368" i="4" s="1"/>
  <c r="T1522" i="4"/>
  <c r="V1599" i="4"/>
  <c r="T1599" i="4"/>
  <c r="V1229" i="4"/>
  <c r="S1242" i="4"/>
  <c r="V1242" i="4" s="1"/>
  <c r="T1679" i="4"/>
  <c r="T1233" i="4"/>
  <c r="T1229" i="4"/>
  <c r="S1378" i="4"/>
  <c r="V1378" i="4" s="1"/>
  <c r="V1761" i="4"/>
  <c r="T1761" i="4"/>
  <c r="T1240" i="4"/>
  <c r="V866" i="4"/>
  <c r="S889" i="4"/>
  <c r="S897" i="4" s="1"/>
  <c r="V897" i="4" s="1"/>
  <c r="T1500" i="4"/>
  <c r="V1732" i="4"/>
  <c r="T1732" i="4"/>
  <c r="T866" i="4"/>
  <c r="V1550" i="4"/>
  <c r="T1550" i="4"/>
  <c r="T956" i="4"/>
  <c r="V956" i="4"/>
  <c r="V1516" i="4"/>
  <c r="T1516" i="4"/>
  <c r="V1688" i="4"/>
  <c r="T1688" i="4"/>
  <c r="T1271" i="4"/>
  <c r="V846" i="4"/>
  <c r="S959" i="4"/>
  <c r="T1060" i="4"/>
  <c r="S1440" i="4"/>
  <c r="V1280" i="4"/>
  <c r="T1280" i="4"/>
  <c r="T1400" i="4"/>
  <c r="T1567" i="4"/>
  <c r="T1590" i="4"/>
  <c r="T1358" i="4"/>
  <c r="S1689" i="4"/>
  <c r="V1689" i="4" s="1"/>
  <c r="T1453" i="4"/>
  <c r="V1453" i="4"/>
  <c r="T1784" i="4"/>
  <c r="S1630" i="4"/>
  <c r="S1713" i="4" s="1"/>
  <c r="S1745" i="4" s="1"/>
  <c r="V1745" i="4" s="1"/>
  <c r="S1379" i="4"/>
  <c r="V1379" i="4" s="1"/>
  <c r="T1786" i="4"/>
  <c r="T1456" i="4"/>
  <c r="T1630" i="4"/>
  <c r="V1556" i="4"/>
  <c r="T1624" i="4"/>
  <c r="T1566" i="4"/>
  <c r="T1576" i="4"/>
  <c r="S1639" i="4"/>
  <c r="V1639" i="4" s="1"/>
  <c r="T1556" i="4"/>
  <c r="T1341" i="4"/>
  <c r="V1271" i="4"/>
  <c r="V1075" i="4"/>
  <c r="S1217" i="4"/>
  <c r="S1291" i="4" s="1"/>
  <c r="S1072" i="4"/>
  <c r="V1072" i="4" s="1"/>
  <c r="V1781" i="4"/>
  <c r="T1781" i="4"/>
  <c r="V1335" i="4"/>
  <c r="S1373" i="4"/>
  <c r="T974" i="4"/>
  <c r="T995" i="4"/>
  <c r="T1546" i="4"/>
  <c r="T1783" i="4"/>
  <c r="T1553" i="4"/>
  <c r="T1592" i="4"/>
  <c r="S1678" i="4"/>
  <c r="V1678" i="4" s="1"/>
  <c r="T1605" i="4"/>
  <c r="S1538" i="4"/>
  <c r="V1538" i="4" s="1"/>
  <c r="S1535" i="4"/>
  <c r="S1543" i="4" s="1"/>
  <c r="V1543" i="4" s="1"/>
  <c r="V1531" i="4"/>
  <c r="V1450" i="4"/>
  <c r="S1481" i="4"/>
  <c r="S1499" i="4" s="1"/>
  <c r="V1499" i="4" s="1"/>
  <c r="T1450" i="4"/>
  <c r="S1363" i="4"/>
  <c r="V1363" i="4" s="1"/>
  <c r="V1544" i="4"/>
  <c r="T1574" i="4"/>
  <c r="T1595" i="4"/>
  <c r="T1544" i="4"/>
  <c r="T1255" i="4"/>
  <c r="V1255" i="4"/>
  <c r="V1366" i="4"/>
  <c r="S969" i="4"/>
  <c r="T1009" i="4" s="1"/>
  <c r="T959" i="4"/>
  <c r="T945" i="4"/>
  <c r="T1335" i="4"/>
  <c r="T1072" i="4"/>
  <c r="S1806" i="4"/>
  <c r="V1806" i="4" s="1"/>
  <c r="T1440" i="4"/>
  <c r="T1507" i="4"/>
  <c r="T1633" i="4"/>
  <c r="T1651" i="4"/>
  <c r="T1468" i="4"/>
  <c r="T1466" i="4"/>
  <c r="T1678" i="4"/>
  <c r="T1557" i="4"/>
  <c r="S1809" i="4"/>
  <c r="T1177" i="4"/>
  <c r="V606" i="4"/>
  <c r="T606" i="4"/>
  <c r="S668" i="4"/>
  <c r="V668" i="4" s="1"/>
  <c r="T617" i="4"/>
  <c r="S621" i="4"/>
  <c r="S644" i="4" s="1"/>
  <c r="V617" i="4"/>
  <c r="T618" i="4"/>
  <c r="V579" i="4"/>
  <c r="S583" i="4"/>
  <c r="S585" i="4" s="1"/>
  <c r="V585" i="4" s="1"/>
  <c r="T579" i="4"/>
  <c r="T580" i="4"/>
  <c r="T652" i="4"/>
  <c r="V642" i="4"/>
  <c r="T642" i="4"/>
  <c r="V535" i="4"/>
  <c r="T535" i="4"/>
  <c r="S325" i="4"/>
  <c r="T349" i="4" s="1"/>
  <c r="S39" i="4"/>
  <c r="V39" i="4" s="1"/>
  <c r="T35" i="4"/>
  <c r="T314" i="4"/>
  <c r="T231" i="4"/>
  <c r="T334" i="4"/>
  <c r="T373" i="4"/>
  <c r="S339" i="4"/>
  <c r="V339" i="4" s="1"/>
  <c r="S341" i="4"/>
  <c r="V341" i="4" s="1"/>
  <c r="T338" i="4"/>
  <c r="V320" i="4"/>
  <c r="M320" i="4" s="1"/>
  <c r="N320" i="4" s="1"/>
  <c r="T320" i="4"/>
  <c r="T63" i="4"/>
  <c r="T204" i="4"/>
  <c r="T196" i="4"/>
  <c r="S317" i="4"/>
  <c r="T317" i="4" s="1"/>
  <c r="V256" i="4"/>
  <c r="T195" i="4"/>
  <c r="T174" i="4"/>
  <c r="T227" i="4"/>
  <c r="V396" i="4"/>
  <c r="T396" i="4"/>
  <c r="T134" i="4"/>
  <c r="T197" i="4"/>
  <c r="X197" i="4"/>
  <c r="V197" i="4"/>
  <c r="M197" i="4" s="1"/>
  <c r="N197" i="4" s="1"/>
  <c r="T68" i="4"/>
  <c r="V68" i="4"/>
  <c r="S183" i="4"/>
  <c r="V183" i="4" s="1"/>
  <c r="V61" i="4"/>
  <c r="S138" i="4"/>
  <c r="S139" i="4" s="1"/>
  <c r="V139" i="4" s="1"/>
  <c r="T254" i="4"/>
  <c r="T262" i="4"/>
  <c r="T184" i="4"/>
  <c r="V71" i="4"/>
  <c r="T245" i="4"/>
  <c r="S303" i="4"/>
  <c r="T381" i="4" s="1"/>
  <c r="T225" i="4"/>
  <c r="T61" i="4"/>
  <c r="V422" i="4"/>
  <c r="T422" i="4"/>
  <c r="T419" i="4"/>
  <c r="T126" i="4"/>
  <c r="O272" i="4"/>
  <c r="O266" i="4"/>
  <c r="O51" i="4"/>
  <c r="O66" i="4"/>
  <c r="O44" i="4"/>
  <c r="O64" i="4"/>
  <c r="O81" i="4"/>
  <c r="O97" i="4"/>
  <c r="O113" i="4"/>
  <c r="O129" i="4"/>
  <c r="O145" i="4"/>
  <c r="O161" i="4"/>
  <c r="O177" i="4"/>
  <c r="O56" i="4"/>
  <c r="O74" i="4"/>
  <c r="O90" i="4"/>
  <c r="O106" i="4"/>
  <c r="O122" i="4"/>
  <c r="O138" i="4"/>
  <c r="O154" i="4"/>
  <c r="O170" i="4"/>
  <c r="O48" i="4"/>
  <c r="O84" i="4"/>
  <c r="O116" i="4"/>
  <c r="O148" i="4"/>
  <c r="O180" i="4"/>
  <c r="O61" i="4"/>
  <c r="O95" i="4"/>
  <c r="O127" i="4"/>
  <c r="O159" i="4"/>
  <c r="O72" i="4"/>
  <c r="O104" i="4"/>
  <c r="O136" i="4"/>
  <c r="O168" i="4"/>
  <c r="O83" i="4"/>
  <c r="O155" i="4"/>
  <c r="O67" i="4"/>
  <c r="O139" i="4"/>
  <c r="O268" i="4"/>
  <c r="O271" i="4"/>
  <c r="O55" i="4"/>
  <c r="O49" i="4"/>
  <c r="O69" i="4"/>
  <c r="O85" i="4"/>
  <c r="O101" i="4"/>
  <c r="O117" i="4"/>
  <c r="O133" i="4"/>
  <c r="O149" i="4"/>
  <c r="O165" i="4"/>
  <c r="O181" i="4"/>
  <c r="O40" i="4"/>
  <c r="O60" i="4"/>
  <c r="O78" i="4"/>
  <c r="O94" i="4"/>
  <c r="O110" i="4"/>
  <c r="O126" i="4"/>
  <c r="O142" i="4"/>
  <c r="O158" i="4"/>
  <c r="O174" i="4"/>
  <c r="O57" i="4"/>
  <c r="O92" i="4"/>
  <c r="O124" i="4"/>
  <c r="O156" i="4"/>
  <c r="O71" i="4"/>
  <c r="O103" i="4"/>
  <c r="O135" i="4"/>
  <c r="O167" i="4"/>
  <c r="O42" i="4"/>
  <c r="O80" i="4"/>
  <c r="O112" i="4"/>
  <c r="O144" i="4"/>
  <c r="O176" i="4"/>
  <c r="O115" i="4"/>
  <c r="O99" i="4"/>
  <c r="O171" i="4"/>
  <c r="O269" i="4"/>
  <c r="O43" i="4"/>
  <c r="O58" i="4"/>
  <c r="O54" i="4"/>
  <c r="O73" i="4"/>
  <c r="O89" i="4"/>
  <c r="O105" i="4"/>
  <c r="O121" i="4"/>
  <c r="O137" i="4"/>
  <c r="O153" i="4"/>
  <c r="O169" i="4"/>
  <c r="O45" i="4"/>
  <c r="O65" i="4"/>
  <c r="O82" i="4"/>
  <c r="O98" i="4"/>
  <c r="O114" i="4"/>
  <c r="O130" i="4"/>
  <c r="O146" i="4"/>
  <c r="O162" i="4"/>
  <c r="O178" i="4"/>
  <c r="O68" i="4"/>
  <c r="O100" i="4"/>
  <c r="O132" i="4"/>
  <c r="O164" i="4"/>
  <c r="O41" i="4"/>
  <c r="O79" i="4"/>
  <c r="O111" i="4"/>
  <c r="O143" i="4"/>
  <c r="O175" i="4"/>
  <c r="O53" i="4"/>
  <c r="O88" i="4"/>
  <c r="O120" i="4"/>
  <c r="O152" i="4"/>
  <c r="O147" i="4"/>
  <c r="O91" i="4"/>
  <c r="O131" i="4"/>
  <c r="O75" i="4"/>
  <c r="O267" i="4"/>
  <c r="O270" i="4"/>
  <c r="O47" i="4"/>
  <c r="O62" i="4"/>
  <c r="O59" i="4"/>
  <c r="O77" i="4"/>
  <c r="O93" i="4"/>
  <c r="O109" i="4"/>
  <c r="O125" i="4"/>
  <c r="O141" i="4"/>
  <c r="O157" i="4"/>
  <c r="O173" i="4"/>
  <c r="O50" i="4"/>
  <c r="O70" i="4"/>
  <c r="O86" i="4"/>
  <c r="O102" i="4"/>
  <c r="O118" i="4"/>
  <c r="O134" i="4"/>
  <c r="O150" i="4"/>
  <c r="O166" i="4"/>
  <c r="O182" i="4"/>
  <c r="O76" i="4"/>
  <c r="O108" i="4"/>
  <c r="O140" i="4"/>
  <c r="O172" i="4"/>
  <c r="O52" i="4"/>
  <c r="O87" i="4"/>
  <c r="O119" i="4"/>
  <c r="O151" i="4"/>
  <c r="O183" i="4"/>
  <c r="O63" i="4"/>
  <c r="O96" i="4"/>
  <c r="O128" i="4"/>
  <c r="O160" i="4"/>
  <c r="O46" i="4"/>
  <c r="O179" i="4"/>
  <c r="O123" i="4"/>
  <c r="O163" i="4"/>
  <c r="O107" i="4"/>
  <c r="V245" i="4"/>
  <c r="X184" i="4"/>
  <c r="V184" i="4"/>
  <c r="M184" i="4" s="1"/>
  <c r="N184" i="4" s="1"/>
  <c r="T370" i="4"/>
  <c r="V169" i="4"/>
  <c r="T442" i="4"/>
  <c r="T250" i="4"/>
  <c r="T264" i="4"/>
  <c r="T365" i="4"/>
  <c r="X365" i="4"/>
  <c r="V365" i="4"/>
  <c r="M365" i="4" s="1"/>
  <c r="N365" i="4" s="1"/>
  <c r="T432" i="4"/>
  <c r="T277" i="4"/>
  <c r="T274" i="4"/>
  <c r="T183" i="4"/>
  <c r="S72" i="4"/>
  <c r="S286" i="4"/>
  <c r="V286" i="4" s="1"/>
  <c r="V158" i="4"/>
  <c r="S276" i="4"/>
  <c r="V276" i="4" s="1"/>
  <c r="T440" i="4"/>
  <c r="S366" i="4"/>
  <c r="T366" i="4" s="1"/>
  <c r="T413" i="4"/>
  <c r="T265" i="4"/>
  <c r="V1021" i="4" l="1"/>
  <c r="T1016" i="4"/>
  <c r="T1002" i="4"/>
  <c r="S1032" i="4"/>
  <c r="V1032" i="4" s="1"/>
  <c r="V968" i="4"/>
  <c r="T1003" i="4"/>
  <c r="T1021" i="4"/>
  <c r="S1043" i="4"/>
  <c r="T968" i="4"/>
  <c r="V843" i="4"/>
  <c r="T843" i="4"/>
  <c r="S858" i="4"/>
  <c r="T921" i="4" s="1"/>
  <c r="T1884" i="4"/>
  <c r="T1882" i="4"/>
  <c r="V1228" i="4"/>
  <c r="T1228" i="4"/>
  <c r="T1818" i="4"/>
  <c r="T1392" i="4"/>
  <c r="S873" i="4"/>
  <c r="S973" i="4" s="1"/>
  <c r="V973" i="4" s="1"/>
  <c r="V859" i="4"/>
  <c r="T859" i="4"/>
  <c r="V1726" i="4"/>
  <c r="S1738" i="4"/>
  <c r="T1726" i="4"/>
  <c r="T967" i="4"/>
  <c r="V967" i="4"/>
  <c r="T1379" i="4"/>
  <c r="S1370" i="4"/>
  <c r="S1406" i="4" s="1"/>
  <c r="V1406" i="4" s="1"/>
  <c r="T1209" i="4"/>
  <c r="V1194" i="4"/>
  <c r="T1194" i="4"/>
  <c r="V1663" i="4"/>
  <c r="S1670" i="4"/>
  <c r="T1674" i="4" s="1"/>
  <c r="T1441" i="4"/>
  <c r="T1278" i="4"/>
  <c r="S1501" i="4"/>
  <c r="V1501" i="4" s="1"/>
  <c r="S1387" i="4"/>
  <c r="T1387" i="4" s="1"/>
  <c r="T1378" i="4"/>
  <c r="T1375" i="4"/>
  <c r="T1639" i="4"/>
  <c r="S1325" i="4"/>
  <c r="S1362" i="4" s="1"/>
  <c r="V1362" i="4" s="1"/>
  <c r="V1289" i="4"/>
  <c r="T1289" i="4"/>
  <c r="S914" i="4"/>
  <c r="V914" i="4" s="1"/>
  <c r="V889" i="4"/>
  <c r="T909" i="4"/>
  <c r="T897" i="4"/>
  <c r="S1247" i="4"/>
  <c r="T907" i="4"/>
  <c r="T889" i="4"/>
  <c r="T894" i="4"/>
  <c r="T1242" i="4"/>
  <c r="V1291" i="4"/>
  <c r="T1298" i="4"/>
  <c r="S1328" i="4"/>
  <c r="V1328" i="4" s="1"/>
  <c r="S1451" i="4"/>
  <c r="T1451" i="4" s="1"/>
  <c r="T1713" i="4"/>
  <c r="V1713" i="4"/>
  <c r="T994" i="4"/>
  <c r="T1217" i="4"/>
  <c r="T1416" i="4"/>
  <c r="V959" i="4"/>
  <c r="S1020" i="4"/>
  <c r="V1020" i="4" s="1"/>
  <c r="T1294" i="4"/>
  <c r="T1363" i="4"/>
  <c r="T1692" i="4"/>
  <c r="V1630" i="4"/>
  <c r="T1004" i="4"/>
  <c r="T1806" i="4"/>
  <c r="V1440" i="4"/>
  <c r="S1552" i="4"/>
  <c r="T1504" i="4"/>
  <c r="T668" i="4"/>
  <c r="V969" i="4"/>
  <c r="S1521" i="4"/>
  <c r="V1521" i="4" s="1"/>
  <c r="T1499" i="4"/>
  <c r="V1481" i="4"/>
  <c r="T1481" i="4"/>
  <c r="V1535" i="4"/>
  <c r="T1540" i="4"/>
  <c r="T1535" i="4"/>
  <c r="T1543" i="4"/>
  <c r="S1549" i="4"/>
  <c r="V1549" i="4" s="1"/>
  <c r="S1496" i="4"/>
  <c r="V1496" i="4" s="1"/>
  <c r="T1328" i="4"/>
  <c r="T1291" i="4"/>
  <c r="V1217" i="4"/>
  <c r="T1420" i="4"/>
  <c r="T1419" i="4"/>
  <c r="S977" i="4"/>
  <c r="T1391" i="4"/>
  <c r="S1695" i="4"/>
  <c r="V1695" i="4" s="1"/>
  <c r="S1397" i="4"/>
  <c r="T1403" i="4" s="1"/>
  <c r="V1809" i="4"/>
  <c r="T1809" i="4"/>
  <c r="T1385" i="4"/>
  <c r="V1373" i="4"/>
  <c r="T1373" i="4"/>
  <c r="T969" i="4"/>
  <c r="V1387" i="4"/>
  <c r="T1538" i="4"/>
  <c r="T1689" i="4"/>
  <c r="S1033" i="4"/>
  <c r="V1033" i="4" s="1"/>
  <c r="S727" i="4"/>
  <c r="V727" i="4" s="1"/>
  <c r="T720" i="4"/>
  <c r="T719" i="4"/>
  <c r="V644" i="4"/>
  <c r="T634" i="4"/>
  <c r="T646" i="4"/>
  <c r="T627" i="4"/>
  <c r="T635" i="4"/>
  <c r="T631" i="4"/>
  <c r="T636" i="4"/>
  <c r="T650" i="4"/>
  <c r="T644" i="4"/>
  <c r="T625" i="4"/>
  <c r="T637" i="4"/>
  <c r="S653" i="4"/>
  <c r="V653" i="4" s="1"/>
  <c r="T633" i="4"/>
  <c r="T632" i="4"/>
  <c r="V621" i="4"/>
  <c r="T648" i="4"/>
  <c r="T630" i="4"/>
  <c r="T624" i="4"/>
  <c r="T621" i="4"/>
  <c r="T638" i="4"/>
  <c r="T626" i="4"/>
  <c r="T649" i="4"/>
  <c r="T645" i="4"/>
  <c r="T583" i="4"/>
  <c r="T588" i="4"/>
  <c r="T587" i="4"/>
  <c r="T585" i="4"/>
  <c r="T586" i="4"/>
  <c r="V583" i="4"/>
  <c r="S591" i="4"/>
  <c r="T589" i="4"/>
  <c r="S367" i="4"/>
  <c r="S368" i="4" s="1"/>
  <c r="V368" i="4" s="1"/>
  <c r="M368" i="4" s="1"/>
  <c r="N368" i="4" s="1"/>
  <c r="V325" i="4"/>
  <c r="M325" i="4" s="1"/>
  <c r="N325" i="4" s="1"/>
  <c r="O362" i="4" s="1"/>
  <c r="T337" i="4"/>
  <c r="T325" i="4"/>
  <c r="X325" i="4"/>
  <c r="S379" i="4"/>
  <c r="V379" i="4" s="1"/>
  <c r="T348" i="4"/>
  <c r="T69" i="4"/>
  <c r="T70" i="4"/>
  <c r="T39" i="4"/>
  <c r="T339" i="4"/>
  <c r="O304" i="4"/>
  <c r="S84" i="4"/>
  <c r="T104" i="4" s="1"/>
  <c r="T62" i="4"/>
  <c r="T377" i="4"/>
  <c r="S406" i="4"/>
  <c r="V406" i="4" s="1"/>
  <c r="T372" i="4"/>
  <c r="T374" i="4"/>
  <c r="T341" i="4"/>
  <c r="S176" i="4"/>
  <c r="S298" i="4" s="1"/>
  <c r="V317" i="4"/>
  <c r="S382" i="4"/>
  <c r="S1889" i="4" s="1"/>
  <c r="V1889" i="4" s="1"/>
  <c r="T286" i="4"/>
  <c r="O247" i="4"/>
  <c r="O204" i="4"/>
  <c r="O214" i="4"/>
  <c r="O237" i="4"/>
  <c r="O302" i="4"/>
  <c r="O309" i="4"/>
  <c r="O316" i="4"/>
  <c r="O256" i="4"/>
  <c r="O227" i="4"/>
  <c r="O258" i="4"/>
  <c r="O194" i="4"/>
  <c r="O233" i="4"/>
  <c r="O298" i="4"/>
  <c r="O305" i="4"/>
  <c r="O312" i="4"/>
  <c r="O240" i="4"/>
  <c r="O248" i="4"/>
  <c r="O252" i="4"/>
  <c r="O238" i="4"/>
  <c r="O213" i="4"/>
  <c r="O283" i="4"/>
  <c r="O291" i="4"/>
  <c r="O278" i="4"/>
  <c r="O285" i="4"/>
  <c r="O292" i="4"/>
  <c r="O251" i="4"/>
  <c r="O255" i="4"/>
  <c r="O212" i="4"/>
  <c r="O218" i="4"/>
  <c r="O241" i="4"/>
  <c r="O319" i="4"/>
  <c r="O322" i="4"/>
  <c r="V303" i="4"/>
  <c r="T371" i="4"/>
  <c r="T303" i="4"/>
  <c r="T375" i="4"/>
  <c r="T72" i="4"/>
  <c r="O235" i="4"/>
  <c r="O243" i="4"/>
  <c r="O215" i="4"/>
  <c r="O262" i="4"/>
  <c r="O198" i="4"/>
  <c r="O221" i="4"/>
  <c r="O315" i="4"/>
  <c r="O323" i="4"/>
  <c r="O286" i="4"/>
  <c r="O293" i="4"/>
  <c r="O300" i="4"/>
  <c r="O192" i="4"/>
  <c r="O264" i="4"/>
  <c r="O260" i="4"/>
  <c r="O242" i="4"/>
  <c r="O217" i="4"/>
  <c r="O299" i="4"/>
  <c r="O307" i="4"/>
  <c r="O282" i="4"/>
  <c r="O289" i="4"/>
  <c r="O296" i="4"/>
  <c r="O184" i="4"/>
  <c r="O263" i="4"/>
  <c r="O220" i="4"/>
  <c r="O222" i="4"/>
  <c r="O261" i="4"/>
  <c r="O197" i="4"/>
  <c r="O276" i="4"/>
  <c r="O187" i="4"/>
  <c r="O259" i="4"/>
  <c r="O223" i="4"/>
  <c r="O202" i="4"/>
  <c r="O225" i="4"/>
  <c r="O279" i="4"/>
  <c r="O306" i="4"/>
  <c r="O313" i="4"/>
  <c r="O320" i="4"/>
  <c r="T342" i="4"/>
  <c r="V138" i="4"/>
  <c r="T138" i="4"/>
  <c r="T152" i="4"/>
  <c r="T376" i="4"/>
  <c r="X368" i="4"/>
  <c r="O246" i="4"/>
  <c r="O205" i="4"/>
  <c r="O341" i="4"/>
  <c r="O277" i="4"/>
  <c r="O284" i="4"/>
  <c r="O200" i="4"/>
  <c r="O239" i="4"/>
  <c r="O228" i="4"/>
  <c r="O226" i="4"/>
  <c r="O265" i="4"/>
  <c r="O201" i="4"/>
  <c r="O337" i="4"/>
  <c r="O273" i="4"/>
  <c r="O280" i="4"/>
  <c r="O203" i="4"/>
  <c r="O211" i="4"/>
  <c r="O231" i="4"/>
  <c r="O188" i="4"/>
  <c r="O206" i="4"/>
  <c r="O245" i="4"/>
  <c r="O295" i="4"/>
  <c r="O310" i="4"/>
  <c r="O317" i="4"/>
  <c r="O324" i="4"/>
  <c r="O224" i="4"/>
  <c r="O195" i="4"/>
  <c r="O191" i="4"/>
  <c r="O250" i="4"/>
  <c r="O186" i="4"/>
  <c r="O209" i="4"/>
  <c r="O331" i="4"/>
  <c r="O290" i="4"/>
  <c r="O361" i="4"/>
  <c r="O297" i="4"/>
  <c r="X366" i="4"/>
  <c r="V366" i="4"/>
  <c r="M366" i="4" s="1"/>
  <c r="N366" i="4" s="1"/>
  <c r="S401" i="4"/>
  <c r="T276" i="4"/>
  <c r="V72" i="4"/>
  <c r="O208" i="4"/>
  <c r="O216" i="4"/>
  <c r="O236" i="4"/>
  <c r="O230" i="4"/>
  <c r="O253" i="4"/>
  <c r="O189" i="4"/>
  <c r="O303" i="4"/>
  <c r="O318" i="4"/>
  <c r="O332" i="4"/>
  <c r="O219" i="4"/>
  <c r="O207" i="4"/>
  <c r="O196" i="4"/>
  <c r="O210" i="4"/>
  <c r="O249" i="4"/>
  <c r="O185" i="4"/>
  <c r="O287" i="4"/>
  <c r="O311" i="4"/>
  <c r="O314" i="4"/>
  <c r="O321" i="4"/>
  <c r="O199" i="4"/>
  <c r="O254" i="4"/>
  <c r="O190" i="4"/>
  <c r="O229" i="4"/>
  <c r="O347" i="4"/>
  <c r="O358" i="4"/>
  <c r="O294" i="4"/>
  <c r="O365" i="4"/>
  <c r="O301" i="4"/>
  <c r="O308" i="4"/>
  <c r="O232" i="4"/>
  <c r="O244" i="4"/>
  <c r="O234" i="4"/>
  <c r="O257" i="4"/>
  <c r="O193" i="4"/>
  <c r="O275" i="4"/>
  <c r="O274" i="4"/>
  <c r="O281" i="4"/>
  <c r="O288" i="4"/>
  <c r="T84" i="4"/>
  <c r="S305" i="4"/>
  <c r="S130" i="4"/>
  <c r="V130" i="4" s="1"/>
  <c r="T389" i="4"/>
  <c r="T139" i="4"/>
  <c r="T385" i="4"/>
  <c r="T1032" i="4" l="1"/>
  <c r="T1043" i="4"/>
  <c r="V1043" i="4"/>
  <c r="S1092" i="4"/>
  <c r="S1120" i="4" s="1"/>
  <c r="V1120" i="4" s="1"/>
  <c r="S971" i="4"/>
  <c r="V858" i="4"/>
  <c r="T932" i="4"/>
  <c r="T858" i="4"/>
  <c r="T971" i="4"/>
  <c r="T368" i="4"/>
  <c r="T1889" i="4"/>
  <c r="T973" i="4"/>
  <c r="V873" i="4"/>
  <c r="V1738" i="4"/>
  <c r="T1738" i="4"/>
  <c r="T1740" i="4"/>
  <c r="S1044" i="4"/>
  <c r="T1044" i="4" s="1"/>
  <c r="T993" i="4"/>
  <c r="T1014" i="4"/>
  <c r="T933" i="4"/>
  <c r="T873" i="4"/>
  <c r="T914" i="4"/>
  <c r="V1370" i="4"/>
  <c r="T1406" i="4"/>
  <c r="T1325" i="4"/>
  <c r="T1670" i="4"/>
  <c r="S918" i="4"/>
  <c r="V918" i="4" s="1"/>
  <c r="S1683" i="4"/>
  <c r="S1694" i="4" s="1"/>
  <c r="V1694" i="4" s="1"/>
  <c r="V1670" i="4"/>
  <c r="T1398" i="4"/>
  <c r="S1399" i="4"/>
  <c r="V1325" i="4"/>
  <c r="S1389" i="4"/>
  <c r="V1389" i="4" s="1"/>
  <c r="V1247" i="4"/>
  <c r="T1279" i="4"/>
  <c r="T1247" i="4"/>
  <c r="T1273" i="4"/>
  <c r="T1521" i="4"/>
  <c r="T1272" i="4"/>
  <c r="T1549" i="4"/>
  <c r="T1695" i="4"/>
  <c r="T977" i="4"/>
  <c r="V1451" i="4"/>
  <c r="T1506" i="4"/>
  <c r="S1036" i="4"/>
  <c r="V1036" i="4" s="1"/>
  <c r="T985" i="4"/>
  <c r="V977" i="4"/>
  <c r="S1023" i="4"/>
  <c r="T1023" i="4" s="1"/>
  <c r="S1558" i="4"/>
  <c r="T1573" i="4" s="1"/>
  <c r="T1033" i="4"/>
  <c r="T1552" i="4"/>
  <c r="S1661" i="4"/>
  <c r="S1686" i="4" s="1"/>
  <c r="V1686" i="4" s="1"/>
  <c r="T1397" i="4"/>
  <c r="V1397" i="4"/>
  <c r="S1437" i="4"/>
  <c r="T1437" i="4" s="1"/>
  <c r="T1616" i="4"/>
  <c r="T1654" i="4"/>
  <c r="T1018" i="4"/>
  <c r="V1552" i="4"/>
  <c r="S1559" i="4"/>
  <c r="X367" i="4"/>
  <c r="T386" i="4"/>
  <c r="T727" i="4"/>
  <c r="O353" i="4"/>
  <c r="T666" i="4"/>
  <c r="T655" i="4"/>
  <c r="T665" i="4"/>
  <c r="S671" i="4"/>
  <c r="T675" i="4" s="1"/>
  <c r="T658" i="4"/>
  <c r="T656" i="4"/>
  <c r="T653" i="4"/>
  <c r="T667" i="4"/>
  <c r="T663" i="4"/>
  <c r="T592" i="4"/>
  <c r="S601" i="4"/>
  <c r="S609" i="4" s="1"/>
  <c r="V609" i="4" s="1"/>
  <c r="V591" i="4"/>
  <c r="T598" i="4"/>
  <c r="T599" i="4"/>
  <c r="T591" i="4"/>
  <c r="T593" i="4"/>
  <c r="T406" i="4"/>
  <c r="T176" i="4"/>
  <c r="O326" i="4"/>
  <c r="O329" i="4"/>
  <c r="T379" i="4"/>
  <c r="S380" i="4"/>
  <c r="V380" i="4" s="1"/>
  <c r="T257" i="4"/>
  <c r="V84" i="4"/>
  <c r="T387" i="4"/>
  <c r="T367" i="4"/>
  <c r="T99" i="4"/>
  <c r="T388" i="4"/>
  <c r="T391" i="4"/>
  <c r="S392" i="4"/>
  <c r="S393" i="4" s="1"/>
  <c r="T393" i="4" s="1"/>
  <c r="T390" i="4"/>
  <c r="V367" i="4"/>
  <c r="M367" i="4" s="1"/>
  <c r="N367" i="4" s="1"/>
  <c r="O378" i="4" s="1"/>
  <c r="O366" i="4"/>
  <c r="O354" i="4"/>
  <c r="O344" i="4"/>
  <c r="O351" i="4"/>
  <c r="O348" i="4"/>
  <c r="O340" i="4"/>
  <c r="O335" i="4"/>
  <c r="O360" i="4"/>
  <c r="O346" i="4"/>
  <c r="O343" i="4"/>
  <c r="O352" i="4"/>
  <c r="O338" i="4"/>
  <c r="O355" i="4"/>
  <c r="O327" i="4"/>
  <c r="O339" i="4"/>
  <c r="O333" i="4"/>
  <c r="O364" i="4"/>
  <c r="O350" i="4"/>
  <c r="O336" i="4"/>
  <c r="O349" i="4"/>
  <c r="O345" i="4"/>
  <c r="O328" i="4"/>
  <c r="O325" i="4"/>
  <c r="O330" i="4"/>
  <c r="O334" i="4"/>
  <c r="O359" i="4"/>
  <c r="O357" i="4"/>
  <c r="O356" i="4"/>
  <c r="O342" i="4"/>
  <c r="O363" i="4"/>
  <c r="T200" i="4"/>
  <c r="T275" i="4"/>
  <c r="T248" i="4"/>
  <c r="T392" i="4"/>
  <c r="S423" i="4"/>
  <c r="T441" i="4" s="1"/>
  <c r="S313" i="4"/>
  <c r="T313" i="4" s="1"/>
  <c r="T298" i="4"/>
  <c r="V176" i="4"/>
  <c r="T280" i="4"/>
  <c r="V382" i="4"/>
  <c r="T382" i="4"/>
  <c r="V298" i="4"/>
  <c r="T309" i="4"/>
  <c r="V305" i="4"/>
  <c r="S322" i="4"/>
  <c r="T305" i="4"/>
  <c r="T400" i="4"/>
  <c r="T401" i="4"/>
  <c r="X401" i="4"/>
  <c r="V401" i="4"/>
  <c r="M401" i="4" s="1"/>
  <c r="N401" i="4" s="1"/>
  <c r="T130" i="4"/>
  <c r="T369" i="4"/>
  <c r="T168" i="4"/>
  <c r="T159" i="4"/>
  <c r="T1129" i="4" l="1"/>
  <c r="V1092" i="4"/>
  <c r="T1132" i="4"/>
  <c r="T1092" i="4"/>
  <c r="T1117" i="4"/>
  <c r="T1120" i="4"/>
  <c r="T1116" i="4"/>
  <c r="S1154" i="4"/>
  <c r="V1154" i="4" s="1"/>
  <c r="S1019" i="4"/>
  <c r="T1010" i="4"/>
  <c r="V971" i="4"/>
  <c r="T1013" i="4"/>
  <c r="V392" i="4"/>
  <c r="M392" i="4" s="1"/>
  <c r="N392" i="4" s="1"/>
  <c r="T404" i="4"/>
  <c r="V393" i="4"/>
  <c r="M393" i="4" s="1"/>
  <c r="N393" i="4" s="1"/>
  <c r="S1073" i="4"/>
  <c r="S1095" i="4" s="1"/>
  <c r="V1095" i="4" s="1"/>
  <c r="V1044" i="4"/>
  <c r="T1051" i="4"/>
  <c r="T1851" i="4"/>
  <c r="T1855" i="4"/>
  <c r="T1854" i="4"/>
  <c r="T1852" i="4"/>
  <c r="S1863" i="4"/>
  <c r="V1863" i="4" s="1"/>
  <c r="S1865" i="4"/>
  <c r="V1865" i="4" s="1"/>
  <c r="T1694" i="4"/>
  <c r="T1683" i="4"/>
  <c r="V1683" i="4"/>
  <c r="S1720" i="4"/>
  <c r="X392" i="4"/>
  <c r="T380" i="4"/>
  <c r="V1399" i="4"/>
  <c r="S1410" i="4"/>
  <c r="T1399" i="4"/>
  <c r="S1608" i="4"/>
  <c r="V1608" i="4" s="1"/>
  <c r="T1584" i="4"/>
  <c r="T1568" i="4"/>
  <c r="T1558" i="4"/>
  <c r="V1558" i="4"/>
  <c r="S1612" i="4"/>
  <c r="S1627" i="4" s="1"/>
  <c r="V1627" i="4" s="1"/>
  <c r="V1437" i="4"/>
  <c r="V1661" i="4"/>
  <c r="S1741" i="4"/>
  <c r="V1741" i="4" s="1"/>
  <c r="T1052" i="4"/>
  <c r="V1559" i="4"/>
  <c r="S1046" i="4"/>
  <c r="V1023" i="4"/>
  <c r="T1559" i="4"/>
  <c r="X393" i="4"/>
  <c r="O375" i="4"/>
  <c r="O368" i="4"/>
  <c r="O388" i="4"/>
  <c r="T443" i="4"/>
  <c r="O373" i="4"/>
  <c r="O377" i="4"/>
  <c r="O381" i="4"/>
  <c r="O380" i="4"/>
  <c r="O370" i="4"/>
  <c r="O391" i="4"/>
  <c r="O386" i="4"/>
  <c r="O374" i="4"/>
  <c r="O390" i="4"/>
  <c r="O372" i="4"/>
  <c r="T674" i="4"/>
  <c r="S678" i="4"/>
  <c r="S681" i="4" s="1"/>
  <c r="V681" i="4" s="1"/>
  <c r="V671" i="4"/>
  <c r="T671" i="4"/>
  <c r="T672" i="4"/>
  <c r="V601" i="4"/>
  <c r="T609" i="4"/>
  <c r="T601" i="4"/>
  <c r="T603" i="4"/>
  <c r="T602" i="4"/>
  <c r="O384" i="4"/>
  <c r="O389" i="4"/>
  <c r="O385" i="4"/>
  <c r="O371" i="4"/>
  <c r="O376" i="4"/>
  <c r="O379" i="4"/>
  <c r="O387" i="4"/>
  <c r="O382" i="4"/>
  <c r="O383" i="4"/>
  <c r="O367" i="4"/>
  <c r="O369" i="4"/>
  <c r="S399" i="4"/>
  <c r="V399" i="4" s="1"/>
  <c r="M399" i="4" s="1"/>
  <c r="N399" i="4" s="1"/>
  <c r="T423" i="4"/>
  <c r="V423" i="4"/>
  <c r="V313" i="4"/>
  <c r="S335" i="4"/>
  <c r="V335" i="4" s="1"/>
  <c r="T321" i="4"/>
  <c r="O396" i="4"/>
  <c r="O392" i="4"/>
  <c r="V322" i="4"/>
  <c r="T322" i="4"/>
  <c r="O397" i="4"/>
  <c r="O393" i="4"/>
  <c r="O394" i="4" l="1"/>
  <c r="V1019" i="4"/>
  <c r="S1034" i="4"/>
  <c r="T1019" i="4"/>
  <c r="O398" i="4"/>
  <c r="O395" i="4"/>
  <c r="O400" i="4"/>
  <c r="T1095" i="4"/>
  <c r="S1121" i="4"/>
  <c r="V1121" i="4" s="1"/>
  <c r="V1073" i="4"/>
  <c r="T1073" i="4"/>
  <c r="T1865" i="4"/>
  <c r="T1863" i="4"/>
  <c r="S1864" i="4"/>
  <c r="V1864" i="4" s="1"/>
  <c r="V1720" i="4"/>
  <c r="T1720" i="4"/>
  <c r="S1733" i="4"/>
  <c r="V1410" i="4"/>
  <c r="T1410" i="4"/>
  <c r="V1046" i="4"/>
  <c r="V1612" i="4"/>
  <c r="S1065" i="4"/>
  <c r="V1065" i="4" s="1"/>
  <c r="S402" i="4"/>
  <c r="V402" i="4" s="1"/>
  <c r="M402" i="4" s="1"/>
  <c r="N402" i="4" s="1"/>
  <c r="O1880" i="4" s="1"/>
  <c r="T678" i="4"/>
  <c r="T679" i="4"/>
  <c r="V678" i="4"/>
  <c r="X399" i="4"/>
  <c r="T335" i="4"/>
  <c r="O401" i="4"/>
  <c r="O399" i="4"/>
  <c r="T399" i="4"/>
  <c r="V1034" i="4" l="1"/>
  <c r="S1037" i="4"/>
  <c r="V1037" i="4" s="1"/>
  <c r="T1034" i="4"/>
  <c r="O1885" i="4"/>
  <c r="O1888" i="4"/>
  <c r="O1890" i="4"/>
  <c r="O1884" i="4"/>
  <c r="O1891" i="4"/>
  <c r="O1887" i="4"/>
  <c r="O1881" i="4"/>
  <c r="O1889" i="4"/>
  <c r="O1879" i="4"/>
  <c r="O1882" i="4"/>
  <c r="O1886" i="4"/>
  <c r="O1883" i="4"/>
  <c r="O1854" i="4"/>
  <c r="T1199" i="4"/>
  <c r="S1218" i="4"/>
  <c r="V1218" i="4" s="1"/>
  <c r="O1852" i="4"/>
  <c r="O1857" i="4"/>
  <c r="O1862" i="4"/>
  <c r="T1864" i="4"/>
  <c r="O1860" i="4"/>
  <c r="O1856" i="4"/>
  <c r="O1851" i="4"/>
  <c r="O1861" i="4"/>
  <c r="O1863" i="4"/>
  <c r="O1850" i="4"/>
  <c r="O1859" i="4"/>
  <c r="O1853" i="4"/>
  <c r="O1865" i="4"/>
  <c r="O1849" i="4"/>
  <c r="O1858" i="4"/>
  <c r="O1864" i="4"/>
  <c r="O1855" i="4"/>
  <c r="V1733" i="4"/>
  <c r="S1754" i="4"/>
  <c r="V1754" i="4" s="1"/>
  <c r="T1733" i="4"/>
  <c r="T402" i="4"/>
  <c r="X402" i="4"/>
  <c r="T1084" i="4"/>
  <c r="T1065" i="4"/>
  <c r="O1827" i="4"/>
  <c r="O1828" i="4"/>
  <c r="O1832" i="4"/>
  <c r="O1830" i="4"/>
  <c r="O1826" i="4"/>
  <c r="O1838" i="4"/>
  <c r="O1833" i="4"/>
  <c r="O1834" i="4"/>
  <c r="O1831" i="4"/>
  <c r="O1837" i="4"/>
  <c r="O1836" i="4"/>
  <c r="O1835" i="4"/>
  <c r="O1829" i="4"/>
  <c r="O423" i="4"/>
  <c r="O553" i="4"/>
  <c r="O554" i="4"/>
  <c r="O555" i="4"/>
  <c r="O432" i="4"/>
  <c r="O447" i="4"/>
  <c r="O446" i="4"/>
  <c r="O403" i="4"/>
  <c r="O414" i="4"/>
  <c r="O409" i="4"/>
  <c r="O419" i="4"/>
  <c r="O425" i="4"/>
  <c r="O435" i="4"/>
  <c r="O415" i="4"/>
  <c r="O422" i="4"/>
  <c r="O417" i="4"/>
  <c r="O429" i="4"/>
  <c r="O421" i="4"/>
  <c r="O424" i="4"/>
  <c r="O443" i="4"/>
  <c r="O416" i="4"/>
  <c r="O438" i="4"/>
  <c r="O431" i="4"/>
  <c r="O405" i="4"/>
  <c r="O437" i="4"/>
  <c r="O428" i="4"/>
  <c r="O412" i="4"/>
  <c r="O441" i="4"/>
  <c r="O434" i="4"/>
  <c r="O418" i="4"/>
  <c r="O408" i="4"/>
  <c r="O440" i="4"/>
  <c r="O445" i="4"/>
  <c r="O404" i="4"/>
  <c r="O444" i="4"/>
  <c r="O439" i="4"/>
  <c r="O442" i="4"/>
  <c r="O402" i="4"/>
  <c r="O407" i="4"/>
  <c r="O436" i="4"/>
  <c r="O413" i="4"/>
  <c r="O433" i="4"/>
  <c r="O411" i="4"/>
  <c r="O430" i="4"/>
  <c r="O426" i="4"/>
  <c r="O427" i="4"/>
  <c r="O410" i="4"/>
  <c r="O420" i="4"/>
  <c r="O406" i="4"/>
  <c r="S685" i="4"/>
  <c r="S690" i="4" s="1"/>
  <c r="T681" i="4"/>
  <c r="T680" i="4"/>
  <c r="T605" i="4"/>
  <c r="S1042" i="4" l="1"/>
  <c r="V1042" i="4" s="1"/>
  <c r="T1754" i="4"/>
  <c r="T687" i="4"/>
  <c r="T686" i="4"/>
  <c r="T685" i="4"/>
  <c r="V685" i="4"/>
  <c r="V690" i="4"/>
  <c r="T692" i="4"/>
  <c r="T690" i="4"/>
  <c r="T691" i="4"/>
  <c r="S698" i="4"/>
  <c r="V698" i="4" s="1"/>
  <c r="T1053" i="4" l="1"/>
  <c r="T700" i="4"/>
  <c r="T699" i="4"/>
  <c r="T698" i="4"/>
  <c r="S701" i="4"/>
  <c r="V701" i="4" s="1"/>
  <c r="T701" i="4" l="1"/>
  <c r="S705" i="4"/>
  <c r="V705" i="4" s="1"/>
  <c r="T708" i="4" l="1"/>
  <c r="T705" i="4"/>
  <c r="T709" i="4"/>
  <c r="T707" i="4"/>
  <c r="S710" i="4"/>
  <c r="T717" i="4" s="1"/>
  <c r="T725" i="4" l="1"/>
  <c r="T712" i="4"/>
  <c r="T710" i="4"/>
  <c r="V710" i="4"/>
  <c r="T718" i="4"/>
  <c r="T726" i="4"/>
  <c r="T728" i="4"/>
  <c r="T729" i="4"/>
  <c r="T715" i="4"/>
  <c r="S731" i="4"/>
  <c r="T733" i="4" s="1"/>
  <c r="T724" i="4"/>
  <c r="T713" i="4"/>
  <c r="T714" i="4"/>
  <c r="T732" i="4" l="1"/>
  <c r="V731" i="4"/>
  <c r="S743" i="4"/>
  <c r="T753" i="4" s="1"/>
  <c r="T734" i="4"/>
  <c r="T743" i="4" l="1"/>
  <c r="T754" i="4"/>
  <c r="T750" i="4"/>
  <c r="T746" i="4"/>
  <c r="V743" i="4"/>
  <c r="T740" i="4"/>
  <c r="T741" i="4"/>
  <c r="T731" i="4"/>
  <c r="T748" i="4"/>
  <c r="T759" i="4"/>
  <c r="T747" i="4"/>
  <c r="T756" i="4"/>
  <c r="T735" i="4"/>
  <c r="T755" i="4"/>
  <c r="T749" i="4"/>
  <c r="T752" i="4"/>
  <c r="T757" i="4"/>
  <c r="T758" i="4"/>
  <c r="S1099" i="4"/>
  <c r="S928" i="4"/>
  <c r="T928" i="4" s="1"/>
  <c r="S1057" i="4"/>
  <c r="S1064" i="4" s="1"/>
  <c r="S1063" i="4"/>
  <c r="S1074" i="4" s="1"/>
  <c r="S1091" i="4"/>
  <c r="S1122" i="4" s="1"/>
  <c r="S1200" i="4"/>
  <c r="T1200" i="4" s="1"/>
  <c r="S1223" i="4"/>
  <c r="S1238" i="4" s="1"/>
  <c r="S1284" i="4"/>
  <c r="S1347" i="4"/>
  <c r="S1452" i="4" s="1"/>
  <c r="S1411" i="4"/>
  <c r="V1411" i="4" s="1"/>
  <c r="S1445" i="4"/>
  <c r="S1492" i="4" s="1"/>
  <c r="S1547" i="4"/>
  <c r="S1606" i="4" s="1"/>
  <c r="S1749" i="4"/>
  <c r="S1750" i="4" s="1"/>
  <c r="V1750" i="4" s="1"/>
  <c r="S1774" i="4"/>
  <c r="V1774" i="4" s="1"/>
  <c r="T1091" i="4"/>
  <c r="V1099" i="4"/>
  <c r="T1433" i="4"/>
  <c r="T1389" i="4"/>
  <c r="T1655" i="4"/>
  <c r="T1362" i="4"/>
  <c r="T1529" i="4"/>
  <c r="T1218" i="4"/>
  <c r="T1652" i="4"/>
  <c r="T1501" i="4"/>
  <c r="T1154" i="4"/>
  <c r="T1099" i="4"/>
  <c r="T1539" i="4"/>
  <c r="T1617" i="4"/>
  <c r="T1036" i="4"/>
  <c r="T1063" i="4"/>
  <c r="T1042" i="4"/>
  <c r="T918" i="4"/>
  <c r="T1541" i="4"/>
  <c r="T1612" i="4"/>
  <c r="T1515" i="4"/>
  <c r="T1613" i="4"/>
  <c r="T1741" i="4"/>
  <c r="T1608" i="4"/>
  <c r="T1322" i="4"/>
  <c r="T1284" i="4"/>
  <c r="T1135" i="4"/>
  <c r="T1496" i="4"/>
  <c r="T1121" i="4"/>
  <c r="T1160" i="4"/>
  <c r="T1411" i="4"/>
  <c r="T1686" i="4"/>
  <c r="T1079" i="4"/>
  <c r="T1020" i="4"/>
  <c r="T1058" i="4"/>
  <c r="T1745" i="4"/>
  <c r="T1370" i="4"/>
  <c r="T1661" i="4"/>
  <c r="T1368" i="4"/>
  <c r="V928" i="4"/>
  <c r="V1063" i="4"/>
  <c r="V1223" i="4"/>
  <c r="T1347" i="4"/>
  <c r="V1347" i="4"/>
  <c r="V1445" i="4"/>
  <c r="V1284" i="4"/>
  <c r="V1200" i="4"/>
  <c r="V1057" i="4"/>
  <c r="T1057" i="4" l="1"/>
  <c r="T1445" i="4"/>
  <c r="T1223" i="4"/>
  <c r="T1565" i="4"/>
  <c r="V1749" i="4"/>
  <c r="S1333" i="4"/>
  <c r="T1333" i="4" s="1"/>
  <c r="T1409" i="4"/>
  <c r="T1064" i="4"/>
  <c r="T1089" i="4"/>
  <c r="T1081" i="4"/>
  <c r="V1064" i="4"/>
  <c r="V1547" i="4"/>
  <c r="T1749" i="4"/>
  <c r="T1547" i="4"/>
  <c r="V1091" i="4"/>
  <c r="V1492" i="4"/>
  <c r="T1492" i="4"/>
  <c r="S1508" i="4"/>
  <c r="S1530" i="4" s="1"/>
  <c r="T1530" i="4" s="1"/>
  <c r="V1452" i="4"/>
  <c r="T1452" i="4"/>
  <c r="T1774" i="4"/>
  <c r="T1750" i="4"/>
  <c r="V1606" i="4"/>
  <c r="S1607" i="4"/>
  <c r="T1606" i="4"/>
  <c r="T1238" i="4"/>
  <c r="V1238" i="4"/>
  <c r="T1751" i="4"/>
  <c r="S1412" i="4"/>
  <c r="S1446" i="4" s="1"/>
  <c r="V1122" i="4"/>
  <c r="T1122" i="4"/>
  <c r="T1074" i="4"/>
  <c r="T1080" i="4"/>
  <c r="S1094" i="4"/>
  <c r="V1094" i="4" s="1"/>
  <c r="T1086" i="4"/>
  <c r="V1074" i="4"/>
  <c r="S1158" i="4"/>
  <c r="S1176" i="4" s="1"/>
  <c r="S1093" i="4"/>
  <c r="T1508" i="4" l="1"/>
  <c r="V1508" i="4"/>
  <c r="S1342" i="4"/>
  <c r="V1333" i="4"/>
  <c r="S1614" i="4"/>
  <c r="V1614" i="4" s="1"/>
  <c r="V1530" i="4"/>
  <c r="T1446" i="4"/>
  <c r="V1446" i="4"/>
  <c r="S1474" i="4"/>
  <c r="V1474" i="4" s="1"/>
  <c r="V1607" i="4"/>
  <c r="T1426" i="4"/>
  <c r="T1412" i="4"/>
  <c r="V1412" i="4"/>
  <c r="T1607" i="4"/>
  <c r="V1176" i="4"/>
  <c r="S1202" i="4"/>
  <c r="V1202" i="4" s="1"/>
  <c r="T941" i="4"/>
  <c r="T1094" i="4"/>
  <c r="T1093" i="4"/>
  <c r="T1096" i="4"/>
  <c r="V1093" i="4"/>
  <c r="S1097" i="4"/>
  <c r="V1158" i="4"/>
  <c r="T1163" i="4"/>
  <c r="T1176" i="4"/>
  <c r="T1158" i="4"/>
  <c r="T1202" i="4"/>
  <c r="S1103" i="4"/>
  <c r="T1133" i="4" s="1"/>
  <c r="T1474" i="4" l="1"/>
  <c r="T1295" i="4"/>
  <c r="S1371" i="4"/>
  <c r="V1371" i="4" s="1"/>
  <c r="T1304" i="4"/>
  <c r="T1203" i="4"/>
  <c r="S1620" i="4"/>
  <c r="V1620" i="4" s="1"/>
  <c r="T1268" i="4"/>
  <c r="T1342" i="4"/>
  <c r="S1356" i="4"/>
  <c r="S1360" i="4" s="1"/>
  <c r="V1360" i="4" s="1"/>
  <c r="V1342" i="4"/>
  <c r="T1614" i="4"/>
  <c r="T1620" i="4"/>
  <c r="S1150" i="4"/>
  <c r="V1150" i="4" s="1"/>
  <c r="T1371" i="4"/>
  <c r="T1118" i="4"/>
  <c r="V1097" i="4"/>
  <c r="T1097" i="4"/>
  <c r="S1102" i="4"/>
  <c r="S1119" i="4" s="1"/>
  <c r="V1119" i="4" s="1"/>
  <c r="V1103" i="4"/>
  <c r="T1142" i="4"/>
  <c r="T1434" i="4"/>
  <c r="T1405" i="4"/>
  <c r="T1103" i="4"/>
  <c r="T1136" i="4"/>
  <c r="S1629" i="4" l="1"/>
  <c r="T1629" i="4" s="1"/>
  <c r="T1435" i="4"/>
  <c r="T1429" i="4"/>
  <c r="S1475" i="4"/>
  <c r="T1475" i="4" s="1"/>
  <c r="S1404" i="4"/>
  <c r="V1404" i="4" s="1"/>
  <c r="V1356" i="4"/>
  <c r="T1360" i="4"/>
  <c r="T1356" i="4"/>
  <c r="T1102" i="4"/>
  <c r="S1153" i="4"/>
  <c r="V1153" i="4" s="1"/>
  <c r="S1636" i="4"/>
  <c r="T1636" i="4" s="1"/>
  <c r="T1119" i="4"/>
  <c r="T1140" i="4"/>
  <c r="S1548" i="4"/>
  <c r="V1102" i="4"/>
  <c r="S1151" i="4"/>
  <c r="V1151" i="4" s="1"/>
  <c r="T1114" i="4"/>
  <c r="V1475" i="4"/>
  <c r="T1150" i="4"/>
  <c r="T1115" i="4"/>
  <c r="T1548" i="4"/>
  <c r="V1629" i="4" l="1"/>
  <c r="T1495" i="4"/>
  <c r="T1542" i="4"/>
  <c r="T1222" i="4"/>
  <c r="T1153" i="4"/>
  <c r="T1404" i="4"/>
  <c r="T1184" i="4"/>
  <c r="T1183" i="4"/>
  <c r="S1245" i="4"/>
  <c r="T1267" i="4" s="1"/>
  <c r="S1211" i="4"/>
  <c r="V1211" i="4" s="1"/>
  <c r="V1636" i="4"/>
  <c r="S1641" i="4"/>
  <c r="T1151" i="4"/>
  <c r="V1548" i="4"/>
  <c r="S1554" i="4"/>
  <c r="T1640" i="4" l="1"/>
  <c r="T1259" i="4"/>
  <c r="V1245" i="4"/>
  <c r="T1245" i="4"/>
  <c r="S1270" i="4"/>
  <c r="T1211" i="4"/>
  <c r="T1648" i="4"/>
  <c r="S1653" i="4"/>
  <c r="V1641" i="4"/>
  <c r="T1641" i="4"/>
  <c r="S1646" i="4"/>
  <c r="T1646" i="4" s="1"/>
  <c r="V1554" i="4"/>
  <c r="T1577" i="4"/>
  <c r="S1601" i="4"/>
  <c r="T1564" i="4"/>
  <c r="T1554" i="4"/>
  <c r="T927" i="4" l="1"/>
  <c r="V1270" i="4"/>
  <c r="T1270" i="4"/>
  <c r="T1275" i="4"/>
  <c r="S1287" i="4"/>
  <c r="V1653" i="4"/>
  <c r="T1653" i="4"/>
  <c r="S1662" i="4"/>
  <c r="S1699" i="4"/>
  <c r="V1646" i="4"/>
  <c r="T1673" i="4"/>
  <c r="V1601" i="4"/>
  <c r="S1609" i="4"/>
  <c r="T1601" i="4"/>
  <c r="T1330" i="4" l="1"/>
  <c r="V1287" i="4"/>
  <c r="T1309" i="4"/>
  <c r="T1287" i="4"/>
  <c r="S1332" i="4"/>
  <c r="T1353" i="4" s="1"/>
  <c r="T1662" i="4"/>
  <c r="T1737" i="4"/>
  <c r="V1662" i="4"/>
  <c r="T1758" i="4"/>
  <c r="S1764" i="4"/>
  <c r="T1703" i="4"/>
  <c r="T1699" i="4"/>
  <c r="V1699" i="4"/>
  <c r="S1707" i="4"/>
  <c r="T1711" i="4" s="1"/>
  <c r="V1609" i="4"/>
  <c r="T1609" i="4"/>
  <c r="S1650" i="4"/>
  <c r="T1650" i="4" s="1"/>
  <c r="T1332" i="4"/>
  <c r="S1747" i="4" l="1"/>
  <c r="T1747" i="4" s="1"/>
  <c r="V1650" i="4"/>
  <c r="T1714" i="4"/>
  <c r="V1332" i="4"/>
  <c r="S1355" i="4"/>
  <c r="S1773" i="4"/>
  <c r="S1794" i="4" s="1"/>
  <c r="V1794" i="4" s="1"/>
  <c r="V1764" i="4"/>
  <c r="T1764" i="4"/>
  <c r="V1707" i="4"/>
  <c r="S1746" i="4"/>
  <c r="S1799" i="4" s="1"/>
  <c r="V1799" i="4" s="1"/>
  <c r="T1719" i="4"/>
  <c r="T1707" i="4"/>
  <c r="S1768" i="4" l="1"/>
  <c r="V1768" i="4" s="1"/>
  <c r="V1747" i="4"/>
  <c r="V1355" i="4"/>
  <c r="T1355" i="4"/>
  <c r="S1361" i="4"/>
  <c r="T1383" i="4" s="1"/>
  <c r="T1746" i="4"/>
  <c r="V1773" i="4"/>
  <c r="T1797" i="4"/>
  <c r="T1794" i="4"/>
  <c r="T1773" i="4"/>
  <c r="V1746" i="4"/>
  <c r="T1799" i="4"/>
  <c r="T1789" i="4"/>
  <c r="S1815" i="4"/>
  <c r="V1815" i="4" s="1"/>
  <c r="T1779" i="4"/>
  <c r="T1765" i="4"/>
  <c r="S1787" i="4" l="1"/>
  <c r="T1787" i="4" s="1"/>
  <c r="T1768" i="4"/>
  <c r="T1778" i="4"/>
  <c r="S1462" i="4"/>
  <c r="V1462" i="4" s="1"/>
  <c r="T1388" i="4"/>
  <c r="T1458" i="4"/>
  <c r="V1361" i="4"/>
  <c r="T1361" i="4"/>
  <c r="V1787" i="4"/>
  <c r="S1791" i="4"/>
  <c r="T1815" i="4"/>
  <c r="T1462" i="4" l="1"/>
  <c r="V1791" i="4"/>
  <c r="T1791" i="4"/>
  <c r="S1816" i="4"/>
  <c r="V1816" i="4" s="1"/>
  <c r="T1816" i="4" l="1"/>
  <c r="T1819" i="4"/>
  <c r="S942" i="4"/>
  <c r="S960" i="4" s="1"/>
  <c r="T942" i="4" l="1"/>
  <c r="T952" i="4"/>
  <c r="T960" i="4"/>
  <c r="V960" i="4"/>
  <c r="S978" i="4"/>
  <c r="V978" i="4" s="1"/>
  <c r="V942" i="4"/>
  <c r="T963" i="4"/>
  <c r="S980" i="4" l="1"/>
  <c r="V980" i="4" s="1"/>
  <c r="T978" i="4"/>
  <c r="T999" i="4" l="1"/>
  <c r="T980" i="4"/>
  <c r="S1007" i="4"/>
  <c r="S1823" i="4" s="1"/>
  <c r="V1823" i="4" l="1"/>
  <c r="S1551" i="4"/>
  <c r="T1477" i="4"/>
  <c r="S1638" i="4"/>
  <c r="S1448" i="4"/>
  <c r="S1704" i="4"/>
  <c r="T1627" i="4"/>
  <c r="T1056" i="4"/>
  <c r="T1046" i="4"/>
  <c r="T1007" i="4"/>
  <c r="V1007" i="4"/>
  <c r="T1808" i="4"/>
  <c r="T1823" i="4"/>
  <c r="T1821" i="4"/>
  <c r="V1638" i="4" l="1"/>
  <c r="T1644" i="4"/>
  <c r="T1638" i="4"/>
  <c r="S1647" i="4"/>
  <c r="T1647" i="4" s="1"/>
  <c r="V1704" i="4"/>
  <c r="T1704" i="4"/>
  <c r="S1753" i="4"/>
  <c r="V1753" i="4" s="1"/>
  <c r="V1551" i="4"/>
  <c r="S1560" i="4"/>
  <c r="V1560" i="4" s="1"/>
  <c r="T1551" i="4"/>
  <c r="S1505" i="4"/>
  <c r="V1505" i="4" s="1"/>
  <c r="V1448" i="4"/>
  <c r="T1448" i="4"/>
  <c r="T1505" i="4" l="1"/>
  <c r="S1760" i="4"/>
  <c r="T1771" i="4" s="1"/>
  <c r="T1725" i="4"/>
  <c r="S1631" i="4"/>
  <c r="T1645" i="4" s="1"/>
  <c r="T1760" i="4"/>
  <c r="S1772" i="4"/>
  <c r="T1753" i="4"/>
  <c r="S1739" i="4"/>
  <c r="V1647" i="4"/>
  <c r="V1631" i="4" l="1"/>
  <c r="T1631" i="4"/>
  <c r="V1760" i="4"/>
  <c r="S1680" i="4"/>
  <c r="V1680" i="4" s="1"/>
  <c r="V1772" i="4"/>
  <c r="T1772" i="4"/>
  <c r="V1739" i="4"/>
  <c r="T1739" i="4"/>
  <c r="S1767" i="4"/>
  <c r="V1767" i="4" s="1"/>
  <c r="S1796" i="4"/>
  <c r="T1680" i="4" l="1"/>
  <c r="V1796" i="4"/>
  <c r="T1560" i="4"/>
  <c r="T1767" i="4"/>
  <c r="T1796" i="4"/>
  <c r="T1805" i="4"/>
  <c r="S1872" i="4"/>
  <c r="V1872" i="4" s="1"/>
  <c r="T1873" i="4"/>
  <c r="T1875" i="4"/>
  <c r="S1874" i="4" l="1"/>
  <c r="S1888" i="4" s="1"/>
  <c r="T1872" i="4"/>
  <c r="T996" i="4" l="1"/>
  <c r="T1037" i="4"/>
  <c r="V1888" i="4"/>
  <c r="T1888" i="4"/>
  <c r="V1874" i="4"/>
  <c r="T187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royer wang</author>
  </authors>
  <commentList>
    <comment ref="B1" authorId="0" shapeId="0" xr:uid="{00000000-0006-0000-0000-000001000000}">
      <text>
        <r>
          <rPr>
            <b/>
            <sz val="9"/>
            <color indexed="81"/>
            <rFont val="Tahoma"/>
            <family val="2"/>
          </rPr>
          <t>royer wang:</t>
        </r>
        <r>
          <rPr>
            <sz val="9"/>
            <color indexed="81"/>
            <rFont val="Tahoma"/>
            <family val="2"/>
          </rPr>
          <t xml:space="preserve">
Transaction occur date.
MUST input field.
The Date is must be ASC order in one account.
RED background mean error :
1. Date is Early this account open date.(which be set in Accounts!Accounts[OpenDate])
2.Date is Early than  exist transaction date of this account.
3. Date is greate than today.
3. Not a Date format data.</t>
        </r>
      </text>
    </comment>
    <comment ref="D1" authorId="0" shapeId="0" xr:uid="{00000000-0006-0000-0000-000002000000}">
      <text>
        <r>
          <rPr>
            <b/>
            <sz val="9"/>
            <color indexed="81"/>
            <rFont val="Tahoma"/>
            <family val="2"/>
          </rPr>
          <t>royer wang:</t>
        </r>
        <r>
          <rPr>
            <sz val="9"/>
            <color indexed="81"/>
            <rFont val="Tahoma"/>
            <family val="2"/>
          </rPr>
          <t xml:space="preserve">
Short text to assign sub-type for transaction. Could be anything - not used in calculations and used to find/filter transactions.
Examples: 
1. When you receive dividends and reinvest them, for stocks you will enter 2 transactions - one to mark dividend received and another to mark new shares bought. You can add TransSubType="DRIP", so you can later find these type of transactions easy.
2. When depositing money you can further identify deposits made by your employer to match contributions by using TransSubType="Employer Deposit"</t>
        </r>
      </text>
    </comment>
    <comment ref="F1" authorId="0" shapeId="0" xr:uid="{00000000-0006-0000-0000-000003000000}">
      <text>
        <r>
          <rPr>
            <b/>
            <sz val="9"/>
            <color indexed="81"/>
            <rFont val="Tahoma"/>
            <family val="2"/>
          </rPr>
          <t>royer wang:</t>
        </r>
        <r>
          <rPr>
            <sz val="9"/>
            <color indexed="81"/>
            <rFont val="Tahoma"/>
            <family val="2"/>
          </rPr>
          <t xml:space="preserve">
Enter Quanity. 
Some transactions ignore quantity you entered. In such case number you entered will have different color ("dimmer").
For all "*Cash" transactions we recommed to use Qty=1.
For "DivTA" transaction type we recommend to enter number of shares even if it is not used - for data audit. You can compare number of shares you have in that account for that symbol by checking field QtyHeld on the same row that shows Quantity AFTER current transaction impact is calculated.
In majority of cases you should enter Qty without sign. Exception would be when you enter "Split" symbol transaction and after split you end up with less shares than before.
Special for Forex trande, Qty is ammount of base currency used.
For BuyCurrency trade, Qty is how much base currency of this account used.
For SellCurrency trade, Qty is How mush base currency will get.</t>
        </r>
      </text>
    </comment>
    <comment ref="H1" authorId="0" shapeId="0" xr:uid="{00000000-0006-0000-0000-000004000000}">
      <text>
        <r>
          <rPr>
            <b/>
            <sz val="9"/>
            <color indexed="81"/>
            <rFont val="Tahoma"/>
            <family val="2"/>
          </rPr>
          <t>royer wang:</t>
        </r>
        <r>
          <rPr>
            <sz val="9"/>
            <color indexed="81"/>
            <rFont val="Tahoma"/>
            <family val="2"/>
          </rPr>
          <t xml:space="preserve">
All Commissions and transaction fees.
Except Forex trade(Buy Currency/Sell Currency) the Fee currency is same as trade currency.
*** In the Forex Trade the Fee currency is same as Base Currency!***</t>
        </r>
      </text>
    </comment>
    <comment ref="I1" authorId="0" shapeId="0" xr:uid="{00000000-0006-0000-0000-000005000000}">
      <text>
        <r>
          <rPr>
            <b/>
            <sz val="9"/>
            <color indexed="81"/>
            <rFont val="Tahoma"/>
            <family val="2"/>
          </rPr>
          <t>royer wang:</t>
        </r>
        <r>
          <rPr>
            <sz val="9"/>
            <color indexed="81"/>
            <rFont val="Tahoma"/>
            <family val="2"/>
          </rPr>
          <t xml:space="preserve">
You would use this field just with Bond buying and selling transactions.</t>
        </r>
      </text>
    </comment>
    <comment ref="L1" authorId="0" shapeId="0" xr:uid="{00000000-0006-0000-0000-000006000000}">
      <text>
        <r>
          <rPr>
            <b/>
            <sz val="9"/>
            <color indexed="81"/>
            <rFont val="Tahoma"/>
            <family val="2"/>
          </rPr>
          <t>royer wang:</t>
        </r>
        <r>
          <rPr>
            <sz val="9"/>
            <color indexed="81"/>
            <rFont val="Tahoma"/>
            <family val="2"/>
          </rPr>
          <t xml:space="preserve">
The @TransType 
 row offset in Configs!TransType table</t>
        </r>
      </text>
    </comment>
    <comment ref="M1" authorId="0" shapeId="0" xr:uid="{00000000-0006-0000-0000-000007000000}">
      <text>
        <r>
          <rPr>
            <b/>
            <sz val="9"/>
            <color indexed="81"/>
            <rFont val="Tahoma"/>
            <family val="2"/>
          </rPr>
          <t>royer wang:</t>
        </r>
        <r>
          <rPr>
            <sz val="9"/>
            <color indexed="81"/>
            <rFont val="Tahoma"/>
            <family val="2"/>
          </rPr>
          <t xml:space="preserve">
Calculate from Amount
The Original currency does not convert to base currency of Account.</t>
        </r>
      </text>
    </comment>
    <comment ref="N1" authorId="0" shapeId="0" xr:uid="{00000000-0006-0000-0000-000008000000}">
      <text>
        <r>
          <rPr>
            <b/>
            <sz val="9"/>
            <color indexed="81"/>
            <rFont val="Tahoma"/>
            <family val="2"/>
          </rPr>
          <t>royer wang:</t>
        </r>
        <r>
          <rPr>
            <sz val="9"/>
            <color indexed="81"/>
            <rFont val="Tahoma"/>
            <family val="2"/>
          </rPr>
          <t xml:space="preserve">
This transaction impact base cash balance. Only [Currency] is same with account base cash.</t>
        </r>
      </text>
    </comment>
    <comment ref="O1" authorId="0" shapeId="0" xr:uid="{00000000-0006-0000-0000-000009000000}">
      <text>
        <r>
          <rPr>
            <b/>
            <sz val="9"/>
            <color indexed="81"/>
            <rFont val="Tahoma"/>
            <family val="2"/>
          </rPr>
          <t>royer wang:</t>
        </r>
        <r>
          <rPr>
            <sz val="9"/>
            <color indexed="81"/>
            <rFont val="Tahoma"/>
            <family val="2"/>
          </rPr>
          <t xml:space="preserve">
This field will have Account cash balance calculated AFTER including current transaction impact. 
If there are multiple transactions in the same account on the same Date, then it is assumed that transactions are calculated based on TransID order.
This value is used just for reference in this table and it is not used in PowerPivot model.
This calculation is shown in the  base currency of the account of this transaction.</t>
        </r>
      </text>
    </comment>
    <comment ref="S1" authorId="0" shapeId="0" xr:uid="{00000000-0006-0000-0000-00000A000000}">
      <text>
        <r>
          <rPr>
            <b/>
            <sz val="9"/>
            <color indexed="81"/>
            <rFont val="Tahoma"/>
            <family val="2"/>
          </rPr>
          <t>royer wang:</t>
        </r>
        <r>
          <rPr>
            <sz val="9"/>
            <color indexed="81"/>
            <rFont val="Tahoma"/>
            <family val="2"/>
          </rPr>
          <t xml:space="preserve">
Current trasaction impact cost basis</t>
        </r>
      </text>
    </comment>
    <comment ref="U1" authorId="0" shapeId="0" xr:uid="{00000000-0006-0000-0000-00000B000000}">
      <text>
        <r>
          <rPr>
            <b/>
            <sz val="9"/>
            <color indexed="81"/>
            <rFont val="Tahoma"/>
            <family val="2"/>
          </rPr>
          <t>royer wang:</t>
        </r>
        <r>
          <rPr>
            <sz val="9"/>
            <color indexed="81"/>
            <rFont val="Tahoma"/>
            <family val="2"/>
          </rPr>
          <t xml:space="preserve">
Qty Held Before Close
for Open position trade, the cost basis is total sum(qtyChange)
for close position trade ,the shares of cost basis is shares before this close position transaction.</t>
        </r>
      </text>
    </comment>
    <comment ref="V1" authorId="0" shapeId="0" xr:uid="{00000000-0006-0000-0000-00000C000000}">
      <text>
        <r>
          <rPr>
            <b/>
            <sz val="9"/>
            <color indexed="81"/>
            <rFont val="Tahoma"/>
            <family val="2"/>
          </rPr>
          <t>royer wang:</t>
        </r>
        <r>
          <rPr>
            <sz val="9"/>
            <color indexed="81"/>
            <rFont val="Tahoma"/>
            <family val="2"/>
          </rPr>
          <t xml:space="preserve">
Realized captial gain/loss
only appear a close position transaction</t>
        </r>
      </text>
    </comment>
    <comment ref="W1" authorId="0" shapeId="0" xr:uid="{00000000-0006-0000-0000-00000D000000}">
      <text>
        <r>
          <rPr>
            <b/>
            <sz val="9"/>
            <color indexed="81"/>
            <rFont val="Tahoma"/>
            <family val="2"/>
          </rPr>
          <t>royer wang:</t>
        </r>
        <r>
          <rPr>
            <sz val="9"/>
            <color indexed="81"/>
            <rFont val="Tahoma"/>
            <family val="2"/>
          </rPr>
          <t xml:space="preserve">
Temp for calculate cashimpact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royer wang</author>
    <author>WangRuoyu</author>
  </authors>
  <commentList>
    <comment ref="E1" authorId="0" shapeId="0" xr:uid="{00000000-0006-0000-0100-000001000000}">
      <text>
        <r>
          <rPr>
            <b/>
            <sz val="9"/>
            <color indexed="81"/>
            <rFont val="Tahoma"/>
            <family val="2"/>
          </rPr>
          <t>royer wang:</t>
        </r>
        <r>
          <rPr>
            <sz val="9"/>
            <color indexed="81"/>
            <rFont val="Tahoma"/>
            <family val="2"/>
          </rPr>
          <t xml:space="preserve">
The Price date Provider
For Example: YAHOO, GOOGLE
GOOGLEWEB
….</t>
        </r>
      </text>
    </comment>
    <comment ref="F1" authorId="0" shapeId="0" xr:uid="{00000000-0006-0000-0100-000002000000}">
      <text>
        <r>
          <rPr>
            <b/>
            <sz val="9"/>
            <color indexed="81"/>
            <rFont val="Tahoma"/>
            <family val="2"/>
          </rPr>
          <t>royer wang:</t>
        </r>
        <r>
          <rPr>
            <sz val="9"/>
            <color indexed="81"/>
            <rFont val="Tahoma"/>
            <family val="2"/>
          </rPr>
          <t xml:space="preserve">
This security symbol in this Price Provider</t>
        </r>
      </text>
    </comment>
    <comment ref="O1" authorId="1" shapeId="0" xr:uid="{00000000-0006-0000-0100-000003000000}">
      <text>
        <r>
          <rPr>
            <b/>
            <sz val="10"/>
            <color rgb="FF000000"/>
            <rFont val="Tahoma"/>
            <family val="2"/>
          </rPr>
          <t>WangRuoyu:</t>
        </r>
        <r>
          <rPr>
            <sz val="10"/>
            <color rgb="FF000000"/>
            <rFont val="Tahoma"/>
            <family val="2"/>
          </rPr>
          <t xml:space="preserve">
</t>
        </r>
        <r>
          <rPr>
            <sz val="10"/>
            <color rgb="FF000000"/>
            <rFont val="Tahoma"/>
            <family val="2"/>
          </rPr>
          <t xml:space="preserve">The Maturity for Bond. short, long or </t>
        </r>
        <r>
          <rPr>
            <sz val="10"/>
            <color rgb="FF000000"/>
            <rFont val="Calibri"/>
            <family val="2"/>
          </rPr>
          <t>Intermediate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WangRuoyu</author>
  </authors>
  <commentList>
    <comment ref="B3" authorId="0" shapeId="0" xr:uid="{00000000-0006-0000-0200-000001000000}">
      <text>
        <r>
          <rPr>
            <b/>
            <sz val="10"/>
            <color rgb="FF000000"/>
            <rFont val="Tahoma"/>
            <family val="2"/>
          </rPr>
          <t>WangRuoyu:</t>
        </r>
        <r>
          <rPr>
            <sz val="10"/>
            <color rgb="FF000000"/>
            <rFont val="Tahoma"/>
            <family val="2"/>
          </rPr>
          <t xml:space="preserve">
</t>
        </r>
        <r>
          <rPr>
            <sz val="10"/>
            <color rgb="FF000000"/>
            <rFont val="Tahoma"/>
            <family val="2"/>
          </rPr>
          <t>The base Currency of this Account</t>
        </r>
      </text>
    </comment>
    <comment ref="G3" authorId="0" shapeId="0" xr:uid="{00000000-0006-0000-0200-000002000000}">
      <text>
        <r>
          <rPr>
            <b/>
            <sz val="10"/>
            <color rgb="FF000000"/>
            <rFont val="Tahoma"/>
            <family val="2"/>
          </rPr>
          <t>WangRuoyu:</t>
        </r>
        <r>
          <rPr>
            <sz val="10"/>
            <color rgb="FF000000"/>
            <rFont val="Tahoma"/>
            <family val="2"/>
          </rPr>
          <t xml:space="preserve">
</t>
        </r>
        <r>
          <rPr>
            <sz val="10"/>
            <color rgb="FF000000"/>
            <rFont val="Tahoma"/>
            <family val="2"/>
          </rPr>
          <t>The Account id in Bank or Broker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royer wang</author>
  </authors>
  <commentList>
    <comment ref="C3" authorId="0" shapeId="0" xr:uid="{00000000-0006-0000-0500-000001000000}">
      <text>
        <r>
          <rPr>
            <b/>
            <sz val="9"/>
            <color indexed="81"/>
            <rFont val="Tahoma"/>
            <family val="2"/>
          </rPr>
          <t>royer wang:</t>
        </r>
        <r>
          <rPr>
            <sz val="9"/>
            <color indexed="81"/>
            <rFont val="Tahoma"/>
            <family val="2"/>
          </rPr>
          <t xml:space="preserve">
Indicate this transaction is operate long position or short position.
'L' is operate long position.
'S' is operator short position.
'N' is not impact position.</t>
        </r>
      </text>
    </comment>
    <comment ref="D3" authorId="0" shapeId="0" xr:uid="{00000000-0006-0000-0500-000002000000}">
      <text>
        <r>
          <rPr>
            <b/>
            <sz val="9"/>
            <color indexed="81"/>
            <rFont val="Tahoma"/>
            <family val="2"/>
          </rPr>
          <t>royer wang:</t>
        </r>
        <r>
          <rPr>
            <sz val="9"/>
            <color indexed="81"/>
            <rFont val="Tahoma"/>
            <family val="2"/>
          </rPr>
          <t xml:space="preserve">
How to imapct a Security Book Value.
Any open position trading will increase book value( long position book value is positive and short position book value is negative)
Any close position trading will decrease book value.</t>
        </r>
      </text>
    </comment>
    <comment ref="F3" authorId="0" shapeId="0" xr:uid="{00000000-0006-0000-0500-000003000000}">
      <text>
        <r>
          <rPr>
            <b/>
            <sz val="9"/>
            <color indexed="81"/>
            <rFont val="Tahoma"/>
            <family val="2"/>
          </rPr>
          <t>royer wang:</t>
        </r>
        <r>
          <rPr>
            <sz val="9"/>
            <color indexed="81"/>
            <rFont val="Tahoma"/>
            <family val="2"/>
          </rPr>
          <t xml:space="preserve">
the sign attach the Fee field when conditional formatting Amount field in Transactions table</t>
        </r>
      </text>
    </comment>
    <comment ref="G3" authorId="0" shapeId="0" xr:uid="{00000000-0006-0000-0500-000004000000}">
      <text>
        <r>
          <rPr>
            <b/>
            <sz val="9"/>
            <color indexed="81"/>
            <rFont val="Tahoma"/>
            <family val="2"/>
          </rPr>
          <t>royer wang:</t>
        </r>
        <r>
          <rPr>
            <sz val="9"/>
            <color indexed="81"/>
            <rFont val="Tahoma"/>
            <family val="2"/>
          </rPr>
          <t xml:space="preserve">
When Automatic Caculate CashImpact Field the sign to attach Amount Field.
</t>
        </r>
      </text>
    </comment>
    <comment ref="I3" authorId="0" shapeId="0" xr:uid="{00000000-0006-0000-0500-000005000000}">
      <text>
        <r>
          <rPr>
            <b/>
            <sz val="9"/>
            <color indexed="81"/>
            <rFont val="Tahoma"/>
            <family val="2"/>
          </rPr>
          <t>royer wang:</t>
        </r>
        <r>
          <rPr>
            <sz val="9"/>
            <color indexed="81"/>
            <rFont val="Tahoma"/>
            <family val="2"/>
          </rPr>
          <t xml:space="preserve">
Whether ignore Fxrate field.
Fxrate only used Buy or Sell currency trade. Because only trading currency will impact base currency cash.
Other trading security which currency is different with base currency is not impact base cash balance.
</t>
        </r>
      </text>
    </comment>
    <comment ref="J3" authorId="0" shapeId="0" xr:uid="{00000000-0006-0000-0500-000006000000}">
      <text>
        <r>
          <rPr>
            <b/>
            <sz val="9"/>
            <color indexed="81"/>
            <rFont val="Tahoma"/>
            <family val="2"/>
          </rPr>
          <t>royer wang:</t>
        </r>
        <r>
          <rPr>
            <sz val="9"/>
            <color indexed="81"/>
            <rFont val="Tahoma"/>
            <family val="2"/>
          </rPr>
          <t xml:space="preserve">
This sign attach to OrigCashImpact for caculate BaseCashImpact field.
This sign only attach trading currency</t>
        </r>
      </text>
    </comment>
    <comment ref="K3" authorId="0" shapeId="0" xr:uid="{00000000-0006-0000-0500-000007000000}">
      <text>
        <r>
          <rPr>
            <b/>
            <sz val="9"/>
            <color indexed="81"/>
            <rFont val="Tahoma"/>
            <family val="2"/>
          </rPr>
          <t>royer wang:</t>
        </r>
        <r>
          <rPr>
            <sz val="9"/>
            <color indexed="81"/>
            <rFont val="Tahoma"/>
            <family val="2"/>
          </rPr>
          <t xml:space="preserve">
is open position or close position trade.
'O' is open position trade.
'C' is close position trade.
'N' is neither open or close trade.</t>
        </r>
      </text>
    </comment>
    <comment ref="R3" authorId="0" shapeId="0" xr:uid="{00000000-0006-0000-0500-000008000000}">
      <text>
        <r>
          <rPr>
            <b/>
            <sz val="9"/>
            <color indexed="81"/>
            <rFont val="Tahoma"/>
            <charset val="1"/>
          </rPr>
          <t>royer wang:</t>
        </r>
        <r>
          <rPr>
            <sz val="9"/>
            <color indexed="81"/>
            <rFont val="Tahoma"/>
            <charset val="1"/>
          </rPr>
          <t xml:space="preserve">
[Amount] * this sign is cash flow 
it used for calculating captial gain
</t>
        </r>
      </text>
    </comment>
    <comment ref="V3" authorId="0" shapeId="0" xr:uid="{526B2D9F-9F40-4C8F-974F-27C5150E2BA0}">
      <text>
        <r>
          <rPr>
            <b/>
            <sz val="9"/>
            <color indexed="81"/>
            <rFont val="Tahoma"/>
            <family val="2"/>
          </rPr>
          <t>royer wang:</t>
        </r>
        <r>
          <rPr>
            <sz val="9"/>
            <color indexed="81"/>
            <rFont val="Tahoma"/>
            <family val="2"/>
          </rPr>
          <t xml:space="preserve">
Only used for conditionaly format transaction[price]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royer wang</author>
  </authors>
  <commentList>
    <comment ref="A1" authorId="0" shapeId="0" xr:uid="{00000000-0006-0000-0600-000001000000}">
      <text>
        <r>
          <rPr>
            <b/>
            <sz val="9"/>
            <color indexed="81"/>
            <rFont val="Tahoma"/>
            <charset val="1"/>
          </rPr>
          <t>royer wang:</t>
        </r>
        <r>
          <rPr>
            <sz val="9"/>
            <color indexed="81"/>
            <rFont val="Tahoma"/>
            <charset val="1"/>
          </rPr>
          <t xml:space="preserve">
Witch Currency used in Report.
The ORIGINAL mean use the original currency in the report. In the multiple currency scenes it will not calculate total report.
The "Account" mean report use account base currency. It will genarate total report for each account but not genarate total report for all account.
DO NOT modify "ORIGINAL" and "ACCOUNT" rows and never set them to default.</t>
        </r>
      </text>
    </comment>
    <comment ref="B1" authorId="0" shapeId="0" xr:uid="{00000000-0006-0000-0600-000002000000}">
      <text>
        <r>
          <rPr>
            <b/>
            <sz val="9"/>
            <color indexed="81"/>
            <rFont val="Tahoma"/>
            <charset val="1"/>
          </rPr>
          <t>royer wang:</t>
        </r>
        <r>
          <rPr>
            <sz val="9"/>
            <color indexed="81"/>
            <rFont val="Tahoma"/>
            <charset val="1"/>
          </rPr>
          <t xml:space="preserve">
Which currency as default report currency when not select report currency.
Only one row can be set as default.</t>
        </r>
      </text>
    </comment>
  </commentList>
</comments>
</file>

<file path=xl/sharedStrings.xml><?xml version="1.0" encoding="utf-8"?>
<sst xmlns="http://schemas.openxmlformats.org/spreadsheetml/2006/main" count="9197" uniqueCount="1005">
  <si>
    <t>Symbol</t>
  </si>
  <si>
    <t>Description</t>
  </si>
  <si>
    <t>SecuType</t>
  </si>
  <si>
    <t>Sector</t>
  </si>
  <si>
    <t>Industry</t>
  </si>
  <si>
    <t>Exchange</t>
  </si>
  <si>
    <t>Region</t>
  </si>
  <si>
    <t>GOOGL</t>
  </si>
  <si>
    <t>Alphabet Inc.</t>
  </si>
  <si>
    <t>Stock</t>
  </si>
  <si>
    <t>Technology</t>
  </si>
  <si>
    <t>Search Engines</t>
  </si>
  <si>
    <t>NASDAQ</t>
  </si>
  <si>
    <t>Country</t>
  </si>
  <si>
    <t>SymbolAlians</t>
  </si>
  <si>
    <t>USA</t>
  </si>
  <si>
    <t>SPY</t>
  </si>
  <si>
    <t>SP 500 ETF</t>
  </si>
  <si>
    <t>ETF</t>
  </si>
  <si>
    <t>ARCA</t>
  </si>
  <si>
    <t>TLT</t>
  </si>
  <si>
    <t>20+ Yr Treas.Bond(ETF)</t>
  </si>
  <si>
    <t>Fixed Income</t>
  </si>
  <si>
    <t>Bond</t>
  </si>
  <si>
    <t>Govement Bond</t>
  </si>
  <si>
    <t xml:space="preserve">Maturity </t>
  </si>
  <si>
    <t>Long</t>
  </si>
  <si>
    <t>GLD</t>
  </si>
  <si>
    <t>Gold Trust (ETF)</t>
  </si>
  <si>
    <t>Precious Metal</t>
  </si>
  <si>
    <t>Equities</t>
  </si>
  <si>
    <t>Multipier</t>
  </si>
  <si>
    <t>VNQ</t>
  </si>
  <si>
    <t>Vanguard REIT ETF</t>
  </si>
  <si>
    <t>REIT</t>
  </si>
  <si>
    <t>Financials</t>
  </si>
  <si>
    <t>腾讯控股</t>
  </si>
  <si>
    <t>Currency</t>
  </si>
  <si>
    <t>USD</t>
  </si>
  <si>
    <t>HKD</t>
  </si>
  <si>
    <t>Internet Information Providers</t>
  </si>
  <si>
    <t>HKSE</t>
  </si>
  <si>
    <t>Asia</t>
  </si>
  <si>
    <t>China</t>
  </si>
  <si>
    <t>Options</t>
  </si>
  <si>
    <t>Expiry</t>
  </si>
  <si>
    <t>OptType</t>
  </si>
  <si>
    <t>Strike</t>
  </si>
  <si>
    <t>Call</t>
  </si>
  <si>
    <t>NQZ7</t>
  </si>
  <si>
    <t>NQ 15DEC17</t>
  </si>
  <si>
    <t>Futures</t>
  </si>
  <si>
    <t>CBOE</t>
  </si>
  <si>
    <t>DeliveryMonth</t>
  </si>
  <si>
    <t>Mutual Fund</t>
  </si>
  <si>
    <t>Cash</t>
  </si>
  <si>
    <t>CAD</t>
  </si>
  <si>
    <t>CNY</t>
  </si>
  <si>
    <t>JPY</t>
  </si>
  <si>
    <t>EUR</t>
  </si>
  <si>
    <t>Accounts Table</t>
  </si>
  <si>
    <t>Active</t>
  </si>
  <si>
    <t>Note: Minimum information required: "Name", "Currency" and "Active"(Yes/No)</t>
  </si>
  <si>
    <t>BenchMark</t>
  </si>
  <si>
    <t>OpenDate</t>
  </si>
  <si>
    <t>IB</t>
  </si>
  <si>
    <t>Yes</t>
  </si>
  <si>
    <t>U2208848</t>
  </si>
  <si>
    <t>Owner</t>
  </si>
  <si>
    <t>Royer</t>
  </si>
  <si>
    <t xml:space="preserve">Main Investment account in InteractiveBrokers </t>
  </si>
  <si>
    <t>All Weath Portfolio</t>
  </si>
  <si>
    <t>40HY98F</t>
  </si>
  <si>
    <t>Broker</t>
  </si>
  <si>
    <t>TD</t>
  </si>
  <si>
    <t>Candian Market Investment</t>
  </si>
  <si>
    <t>40HY98E</t>
  </si>
  <si>
    <t>TDUSD</t>
  </si>
  <si>
    <t>TDCAD</t>
  </si>
  <si>
    <t>CIBC</t>
  </si>
  <si>
    <t>CIBC_MI</t>
  </si>
  <si>
    <t>Monthly Income in CIBC</t>
  </si>
  <si>
    <t>中信证券</t>
  </si>
  <si>
    <t>China Market &amp; HongKong</t>
  </si>
  <si>
    <t>ZCIC</t>
  </si>
  <si>
    <t>TFSA_Royer</t>
  </si>
  <si>
    <t>Royer TFSA Account</t>
  </si>
  <si>
    <t>TFSA_Coco</t>
  </si>
  <si>
    <t>Coco TFSA Account</t>
  </si>
  <si>
    <t>Code</t>
  </si>
  <si>
    <t>Sign</t>
  </si>
  <si>
    <t>US Dollar</t>
  </si>
  <si>
    <t>$</t>
  </si>
  <si>
    <t>AUD</t>
  </si>
  <si>
    <t>Australian dollar</t>
  </si>
  <si>
    <t>BRL</t>
  </si>
  <si>
    <t>Brazilian real</t>
  </si>
  <si>
    <t>R$</t>
  </si>
  <si>
    <t>Canadian dollar</t>
  </si>
  <si>
    <t>Chinese Yuan Renminbi</t>
  </si>
  <si>
    <t>European euro</t>
  </si>
  <si>
    <t>GBP</t>
  </si>
  <si>
    <t>United Kingdom Pound</t>
  </si>
  <si>
    <t>Hong Kong dollar</t>
  </si>
  <si>
    <t>SGD</t>
  </si>
  <si>
    <t>Singapore dollar</t>
  </si>
  <si>
    <t>TWD</t>
  </si>
  <si>
    <t>Taiwan New Dollar</t>
  </si>
  <si>
    <t>NT$</t>
  </si>
  <si>
    <t>¥</t>
  </si>
  <si>
    <t>TransType</t>
  </si>
  <si>
    <t>BookValueSign</t>
  </si>
  <si>
    <t>Deposit</t>
  </si>
  <si>
    <t>Buy</t>
  </si>
  <si>
    <t>Buying security</t>
  </si>
  <si>
    <t>Sell</t>
  </si>
  <si>
    <t>Selling security</t>
  </si>
  <si>
    <t>Deposit Cash into portfolio</t>
  </si>
  <si>
    <t>Dividend</t>
  </si>
  <si>
    <t>Withdraw</t>
  </si>
  <si>
    <t>Withdrawal cash from portfolio</t>
  </si>
  <si>
    <t>OtherFee</t>
  </si>
  <si>
    <t>Bank/Broker charged fee. Account adminstration/transfer, data subscript etc fees</t>
  </si>
  <si>
    <t>WithHoldTax</t>
  </si>
  <si>
    <t>Withholding tqx on dividends received</t>
  </si>
  <si>
    <t>interest received. Amount is added to portfolio cash value</t>
  </si>
  <si>
    <t>interest paid. Paid interest to broker for borrow. Money or security.</t>
  </si>
  <si>
    <t>Split</t>
  </si>
  <si>
    <t>splitting shares. Need to enter actual share quantity. Positive Qty from Split-up and negative for Split-down</t>
  </si>
  <si>
    <t>ReturnOfCap</t>
  </si>
  <si>
    <t>Dividends - Return of Capital - Decreases book value</t>
  </si>
  <si>
    <t>NotionalDistrib</t>
  </si>
  <si>
    <t>Dividends - Notional Distribution - Capital Gains increases Book Value!</t>
  </si>
  <si>
    <t>Account</t>
  </si>
  <si>
    <t>Date</t>
  </si>
  <si>
    <t>Qty</t>
  </si>
  <si>
    <t>Price</t>
  </si>
  <si>
    <t>Fee</t>
  </si>
  <si>
    <t>Amount</t>
  </si>
  <si>
    <t>BaseCashImpact</t>
  </si>
  <si>
    <t>BaseCashBalance</t>
  </si>
  <si>
    <t>QtyChange</t>
  </si>
  <si>
    <t>QtyHeld</t>
  </si>
  <si>
    <t>TransID</t>
  </si>
  <si>
    <t>Comment</t>
  </si>
  <si>
    <t>IgonreQty</t>
  </si>
  <si>
    <t>FeeSign</t>
  </si>
  <si>
    <t>AmntSign</t>
  </si>
  <si>
    <t>OrigCashImpact</t>
  </si>
  <si>
    <t>TTR</t>
  </si>
  <si>
    <t>QtySign</t>
  </si>
  <si>
    <t>AccruedInterest</t>
  </si>
  <si>
    <t>BuyCurrency</t>
  </si>
  <si>
    <t xml:space="preserve">Buying currency </t>
  </si>
  <si>
    <t>Selling currency</t>
  </si>
  <si>
    <t>IgonreFXrate</t>
  </si>
  <si>
    <t>SellCurrency</t>
  </si>
  <si>
    <t>OCItoBCISign</t>
  </si>
  <si>
    <t>SelltoOpen</t>
  </si>
  <si>
    <t>Short Sell to open position</t>
  </si>
  <si>
    <t>BuytoClose</t>
  </si>
  <si>
    <t>Buy shares to close short sell position</t>
  </si>
  <si>
    <t>RY.TO</t>
  </si>
  <si>
    <t>Royal Bank(Toronto Market)</t>
  </si>
  <si>
    <t>Bank</t>
  </si>
  <si>
    <t>TSX</t>
  </si>
  <si>
    <t>Canada</t>
  </si>
  <si>
    <t>CostImpact</t>
  </si>
  <si>
    <t>CostBasis</t>
  </si>
  <si>
    <t>LongOrShort</t>
  </si>
  <si>
    <t>N</t>
  </si>
  <si>
    <t>L</t>
  </si>
  <si>
    <t>C</t>
  </si>
  <si>
    <t>O</t>
  </si>
  <si>
    <t>S</t>
  </si>
  <si>
    <t>PL</t>
  </si>
  <si>
    <t>CloseOrOpen</t>
  </si>
  <si>
    <t>transfer long position shares into portfolio from another portfolio</t>
  </si>
  <si>
    <t>transfer long position shares out portfolio to another portfolio</t>
  </si>
  <si>
    <t>Transfer short position shares into portfolio from another portfolio</t>
  </si>
  <si>
    <t>Transfer short position shares out portfolio to another portfolio</t>
  </si>
  <si>
    <t>TransferOutLongPos</t>
  </si>
  <si>
    <t>TransferInLongPos</t>
  </si>
  <si>
    <t>TransferInShortPos</t>
  </si>
  <si>
    <t>TransferOutShortPos</t>
  </si>
  <si>
    <t>GLFlag</t>
  </si>
  <si>
    <t>CalCashImpact</t>
  </si>
  <si>
    <t>QHBC</t>
  </si>
  <si>
    <t>MarginCashImpact</t>
  </si>
  <si>
    <t>ForexTradeFlag</t>
  </si>
  <si>
    <t>Report</t>
  </si>
  <si>
    <t>ReportCurrency</t>
  </si>
  <si>
    <t>招商银行</t>
  </si>
  <si>
    <t>stock</t>
  </si>
  <si>
    <t>Shanghai</t>
  </si>
  <si>
    <t>AccountName</t>
  </si>
  <si>
    <t>€</t>
  </si>
  <si>
    <t>£</t>
  </si>
  <si>
    <t>HK$</t>
  </si>
  <si>
    <t>0700.HK</t>
  </si>
  <si>
    <t>YAHOO</t>
  </si>
  <si>
    <t>PriceProvider</t>
  </si>
  <si>
    <t>PPSymbol</t>
  </si>
  <si>
    <t>SubTransType</t>
  </si>
  <si>
    <t>system</t>
  </si>
  <si>
    <t>DO NOT DELET.  Adjust Date of Portfolio</t>
  </si>
  <si>
    <t>Japanese Yen</t>
  </si>
  <si>
    <t>ID_in_Broker</t>
  </si>
  <si>
    <t>*USD</t>
  </si>
  <si>
    <t>*CAD</t>
  </si>
  <si>
    <t>*HKD</t>
  </si>
  <si>
    <t>*CNY</t>
  </si>
  <si>
    <t>Buying curency the base currency impact</t>
  </si>
  <si>
    <t>selling currency to base currency impact</t>
  </si>
  <si>
    <t>IsDefault</t>
  </si>
  <si>
    <t>AssestClass</t>
  </si>
  <si>
    <t>Mixed</t>
  </si>
  <si>
    <t>Commodity</t>
  </si>
  <si>
    <t>Utilities</t>
  </si>
  <si>
    <t>Consumer Discretionary</t>
  </si>
  <si>
    <t>Consumer Staples</t>
  </si>
  <si>
    <t>Energy</t>
  </si>
  <si>
    <t>Healthcare</t>
  </si>
  <si>
    <t>Industrials</t>
  </si>
  <si>
    <t>Telecom</t>
  </si>
  <si>
    <t>Materials</t>
  </si>
  <si>
    <t>Real Estate</t>
  </si>
  <si>
    <t>Preferred Stock</t>
  </si>
  <si>
    <t>MixedEquities</t>
  </si>
  <si>
    <r>
      <rPr>
        <b/>
        <sz val="12"/>
        <color theme="1"/>
        <rFont val="Calibri"/>
        <family val="2"/>
        <scheme val="minor"/>
      </rPr>
      <t>TransType Define Table</t>
    </r>
    <r>
      <rPr>
        <sz val="12"/>
        <color theme="1"/>
        <rFont val="Calibri"/>
        <family val="2"/>
        <scheme val="minor"/>
      </rPr>
      <t xml:space="preserve"> </t>
    </r>
    <r>
      <rPr>
        <b/>
        <sz val="12"/>
        <color rgb="FFFF0000"/>
        <rFont val="Calibri (Body)_x0000_"/>
      </rPr>
      <t>DO NOT EDIT</t>
    </r>
  </si>
  <si>
    <t>ReturnOfCapFlag</t>
  </si>
  <si>
    <t>ShareTransferFlag</t>
  </si>
  <si>
    <t>DepositTransSign</t>
  </si>
  <si>
    <t>DividendFlag</t>
  </si>
  <si>
    <t>SymbolTrdeCashFlowSign</t>
  </si>
  <si>
    <t>*original*</t>
  </si>
  <si>
    <t>*account*</t>
  </si>
  <si>
    <t>InterestFlag</t>
  </si>
  <si>
    <t>BuyCurrency_Pair</t>
  </si>
  <si>
    <t>SellCurrency_Pair</t>
  </si>
  <si>
    <t>Interest</t>
  </si>
  <si>
    <t>IntPaid</t>
  </si>
  <si>
    <t>^GSPC</t>
  </si>
  <si>
    <t>SP 500 Index</t>
  </si>
  <si>
    <t>index</t>
  </si>
  <si>
    <t>^GSPTSE</t>
  </si>
  <si>
    <t>Toronto Composite index</t>
  </si>
  <si>
    <t>NYSE</t>
  </si>
  <si>
    <t>^IXIC</t>
  </si>
  <si>
    <t>Nasdaq Composite Index</t>
  </si>
  <si>
    <t>BenchMark1</t>
  </si>
  <si>
    <t>Benchmark2</t>
  </si>
  <si>
    <t>BenchMark3</t>
  </si>
  <si>
    <t>PortfolioCashFlowSign</t>
  </si>
  <si>
    <t>SymbolXIRRCashflowSign</t>
  </si>
  <si>
    <t>贵州茅台</t>
  </si>
  <si>
    <t>Beverages</t>
  </si>
  <si>
    <t>工商银行</t>
  </si>
  <si>
    <t>1918.HK</t>
  </si>
  <si>
    <t>融创中国</t>
  </si>
  <si>
    <t>Real Estate Development</t>
  </si>
  <si>
    <t>2202.HK</t>
  </si>
  <si>
    <t>万科(港股)</t>
  </si>
  <si>
    <t>2318.HK</t>
  </si>
  <si>
    <t>中国平安(港股)</t>
  </si>
  <si>
    <t>Insurance</t>
  </si>
  <si>
    <t>2601.HK</t>
  </si>
  <si>
    <t>中国太保(港股)</t>
  </si>
  <si>
    <t>3900.HK</t>
  </si>
  <si>
    <t>绿城中国</t>
  </si>
  <si>
    <t>0656.HK</t>
  </si>
  <si>
    <t>复星国际</t>
  </si>
  <si>
    <t>Conglomerates</t>
  </si>
  <si>
    <t>0966.HK</t>
  </si>
  <si>
    <t>中国太平</t>
  </si>
  <si>
    <t>ADBE</t>
  </si>
  <si>
    <t>Adobe</t>
  </si>
  <si>
    <t>App Software</t>
  </si>
  <si>
    <t>AMZN</t>
  </si>
  <si>
    <t>Amazon</t>
  </si>
  <si>
    <t>Internet Services</t>
  </si>
  <si>
    <t>BABA</t>
  </si>
  <si>
    <t>Alibaba</t>
  </si>
  <si>
    <t>BRK-B</t>
  </si>
  <si>
    <t>Berkshire Hathaway Inc</t>
  </si>
  <si>
    <t>EMB</t>
  </si>
  <si>
    <t>JP Morgan USD Em Mkts Bd</t>
  </si>
  <si>
    <t>FB</t>
  </si>
  <si>
    <t>Facebook</t>
  </si>
  <si>
    <t>HD</t>
  </si>
  <si>
    <t>Home Depot</t>
  </si>
  <si>
    <t>Home Improvement Products &amp; Services Retailers</t>
  </si>
  <si>
    <t>HYG</t>
  </si>
  <si>
    <t>High Yid Corp Bond</t>
  </si>
  <si>
    <t>Corp Bond</t>
  </si>
  <si>
    <t>ISRG</t>
  </si>
  <si>
    <t>Intuitive Surgical, Inc</t>
  </si>
  <si>
    <t>Advanced Medical Equipment &amp; Technology</t>
  </si>
  <si>
    <t>JD</t>
  </si>
  <si>
    <t>京东</t>
  </si>
  <si>
    <t>JKS</t>
  </si>
  <si>
    <t>晶科能源</t>
  </si>
  <si>
    <t>Solar Systems &amp; Equipment</t>
  </si>
  <si>
    <t>JMEI</t>
  </si>
  <si>
    <t>聚美优品</t>
  </si>
  <si>
    <t>JNJ</t>
  </si>
  <si>
    <t>Johnson &amp; Johnson</t>
  </si>
  <si>
    <t>Drug Manufacturers</t>
  </si>
  <si>
    <t>LC</t>
  </si>
  <si>
    <t>LendingClub</t>
  </si>
  <si>
    <t>Consumer Lending</t>
  </si>
  <si>
    <t>MOMO</t>
  </si>
  <si>
    <t>陌陌</t>
  </si>
  <si>
    <t>PKO</t>
  </si>
  <si>
    <t>PIMCO Income Opportunity Fund</t>
  </si>
  <si>
    <t>Mixed Bond Fund</t>
  </si>
  <si>
    <t>TSLA</t>
  </si>
  <si>
    <t>Tesla Inc</t>
  </si>
  <si>
    <t>Electrical Vehicles</t>
  </si>
  <si>
    <t>V</t>
  </si>
  <si>
    <t>Visa Inc</t>
  </si>
  <si>
    <t>Credit Services</t>
  </si>
  <si>
    <t>XIV</t>
  </si>
  <si>
    <t>VIX Shrt Volatil Hdg ETN</t>
  </si>
  <si>
    <t>Index</t>
  </si>
  <si>
    <t>YY</t>
  </si>
  <si>
    <t>欢聚时代</t>
  </si>
  <si>
    <t>FB 08DEC17 172.5 P</t>
  </si>
  <si>
    <t>GOOGL 08DEC17 1035.0 P</t>
  </si>
  <si>
    <t>HD 22DEC17 185.0 C</t>
  </si>
  <si>
    <t>Put</t>
  </si>
  <si>
    <t>HD 05JAN18 182.5 C</t>
  </si>
  <si>
    <t>HD 05JAN18 180.0 P</t>
  </si>
  <si>
    <t>TLT 19JAN18 129.0 C</t>
  </si>
  <si>
    <t>HSIZ7</t>
  </si>
  <si>
    <t>HSI 28DEC17</t>
  </si>
  <si>
    <t>HongKong</t>
  </si>
  <si>
    <t>Electronic Fund Transfer</t>
  </si>
  <si>
    <t xml:space="preserve"> Use to BuyCurrency HKD Ammount: 363661.1456</t>
  </si>
  <si>
    <t xml:space="preserve"> Use to BuyCurrency HKD Ammount: 324394.1316</t>
  </si>
  <si>
    <t xml:space="preserve"> Use to BuyCurrency HKD Ammount: 392938.4008</t>
  </si>
  <si>
    <t xml:space="preserve"> Use to BuyCurrency HKD Ammount: 129758.8546</t>
  </si>
  <si>
    <t xml:space="preserve"> Use to BuyCurrency HKD Ammount: 814498.6487</t>
  </si>
  <si>
    <t>USD Credit Interest for Aug-2017</t>
  </si>
  <si>
    <t>PKO (US72202B1008) Cash Dividend USD 0.19000000 (Ordinary Dividend)</t>
  </si>
  <si>
    <t>PKO (US72202B1008) Cash Dividend USD 0.19000000 - US Tax</t>
  </si>
  <si>
    <t>US Equity and Options Add-On Streaming Bundle Non-Professional for Sep 2017</t>
  </si>
  <si>
    <t>Hong Kong Securities Exchange (Stocks and Warrants) for Sep 2017</t>
  </si>
  <si>
    <t>Hong Kong (HKFE) Derivatives Level I Non-Professional for Sep 2017</t>
  </si>
  <si>
    <t>US Securities Snapshot and Futures Value Bundle Non-Professional for Sep 2017</t>
  </si>
  <si>
    <t>HKD Debit Interest for Sep-2017</t>
  </si>
  <si>
    <t>USD Credit Interest for Sep-2017</t>
  </si>
  <si>
    <t>USD Net Short Stock Interest for Sep-2017</t>
  </si>
  <si>
    <t>HYG(US4642885135) Cash Dividend 0.36501000 USD per Share (Ordinary Dividend)</t>
  </si>
  <si>
    <t>TLT(US4642874329) Cash Dividend 0.25238800 USD per Share (Ordinary Dividend)</t>
  </si>
  <si>
    <t>HYG(US4642885135) Cash Dividend 0.36501000 USD per Share - US Tax</t>
  </si>
  <si>
    <t>TLT(US4642874329) Cash Dividend 0.25238800 USD per Share - US Tax</t>
  </si>
  <si>
    <t>US Equity and Options Add-On Streaming Bundle Non-Professional for Oct 2017</t>
  </si>
  <si>
    <t>Hong Kong Securities Exchange (Stocks and Warrants) for Oct 2017</t>
  </si>
  <si>
    <t>Hong Kong (HKFE) Derivatives Level I Non-Professional for Oct 2017</t>
  </si>
  <si>
    <t>US Securities Snapshot and Futures Value Bundle Non-Professional for Oct 2017</t>
  </si>
  <si>
    <t>HKD Debit Interest for Oct-2017</t>
  </si>
  <si>
    <t>USD Credit Interest for Oct-2017</t>
  </si>
  <si>
    <t>USD Net Short Stock Interest for Oct-2017</t>
  </si>
  <si>
    <t xml:space="preserve"> Use to SellCurrency HKD Ammount: 83040.0581</t>
  </si>
  <si>
    <t>HYG(US4642885135) Payment in Lieu of Dividend (Ordinary Dividend)</t>
  </si>
  <si>
    <t>TLT(US4642874329) Payment in Lieu of Dividend (Ordinary Dividend)</t>
  </si>
  <si>
    <t>TLT(US4642874329) Cash Dividend 0.26307300 USD per Share (Ordinary Dividend)</t>
  </si>
  <si>
    <t>HYG(US4642885135) Payment in Lieu of Dividend - US Tax</t>
  </si>
  <si>
    <t>TLT(US4642874329) Payment in Lieu of Dividend - US Tax</t>
  </si>
  <si>
    <t>TLT(US4642874329) Cash Dividend 0.26307300 USD per Share - US Tax</t>
  </si>
  <si>
    <t>YY(US98426T1060) ADR Fee 0.02000000 USD per Share</t>
  </si>
  <si>
    <t xml:space="preserve"> Use to BuyCurrency HKD Ammount: 265012.5918</t>
  </si>
  <si>
    <t xml:space="preserve"> Use to BuyCurrency HKD Ammount: 90192.79467</t>
  </si>
  <si>
    <t xml:space="preserve"> Use to BuyCurrency HKD Ammount: 366530.4746</t>
  </si>
  <si>
    <t xml:space="preserve"> Use to BuyCurrency HKD Ammount: 3.776594325</t>
  </si>
  <si>
    <t xml:space="preserve"> Use to BuyCurrency HKD Ammount: 234595.542</t>
  </si>
  <si>
    <t xml:space="preserve"> Use to BuyCurrency HKD Ammount: 234743.2706</t>
  </si>
  <si>
    <t>Expired</t>
  </si>
  <si>
    <t xml:space="preserve"> Use to BuyCurrency HKD Ammount: 143996.6683</t>
  </si>
  <si>
    <t xml:space="preserve"> Use to BuyCurrency HKD Ammount: 37094.71945</t>
  </si>
  <si>
    <t>US Equity and Options Add-On Streaming Bundle Non-Professional for Nov 2017</t>
  </si>
  <si>
    <t>Hong Kong Securities Exchange (Stocks and Warrants) for Nov 2017</t>
  </si>
  <si>
    <t>Hong Kong (HKFE) Derivatives Level I Non-Professional for Nov 2017</t>
  </si>
  <si>
    <t>US Securities Snapshot and Futures Value Bundle Non-Professional for Nov 2017</t>
  </si>
  <si>
    <t>HKD Credit Interest for Nov-2017</t>
  </si>
  <si>
    <t>HKD Debit Interest for Nov-2017</t>
  </si>
  <si>
    <t>USD Credit Interest for Nov-2017</t>
  </si>
  <si>
    <t>USD Debit Interest for Nov-2017</t>
  </si>
  <si>
    <t>USD Net Short Stock Interest for Nov-2017</t>
  </si>
  <si>
    <t>EMB(US4642882819) Cash Dividend 0.44895700 USD per Share (Ordinary Dividend)</t>
  </si>
  <si>
    <t>TLT(US4642874329) Cash Dividend 0.25470400 USD per Share (Ordinary Dividend)</t>
  </si>
  <si>
    <t>EMB(US4642882819) Cash Dividend 0.44895700 USD per Share - US Tax</t>
  </si>
  <si>
    <t>TLT(US4642874329) Cash Dividend 0.25470400 USD per Share - US Tax</t>
  </si>
  <si>
    <t xml:space="preserve"> Use to BuyCurrency CNH Ammount: 5855.7486</t>
  </si>
  <si>
    <t>JNJ(US4781601046) Cash Dividend 0.84000000 USD per Share (Ordinary Dividend)</t>
  </si>
  <si>
    <t>JNJ(US4781601046) Cash Dividend 0.84000000 USD per Share - US Tax</t>
  </si>
  <si>
    <t>HD(US4370761029) Cash Dividend 0.89000000 USD per Share (Ordinary Dividend)</t>
  </si>
  <si>
    <t>HD(US4370761029) Cash Dividend 0.89000000 USD per Share - US Tax</t>
  </si>
  <si>
    <t>EMB(US4642882819) Cash Dividend 0.37117500 USD per Share (Ordinary Dividend)</t>
  </si>
  <si>
    <t>TLT(US4642874329) Cash Dividend 0.26155900 USD per Share (Ordinary Dividend)</t>
  </si>
  <si>
    <t>EMB(US4642882819) Cash Dividend 0.37117500 USD per Share - US Tax</t>
  </si>
  <si>
    <t>TLT(US4642874329) Cash Dividend 0.26155900 USD per Share - US Tax</t>
  </si>
  <si>
    <t>0939.HK</t>
  </si>
  <si>
    <t>建设银行</t>
  </si>
  <si>
    <t>MSFT</t>
  </si>
  <si>
    <t>Microsoft</t>
  </si>
  <si>
    <t>AMZN 16FEB18 1265.0 P</t>
  </si>
  <si>
    <t>AMZN 02MAR18 1422.5 P</t>
  </si>
  <si>
    <t>AMZN 02MAR18 1425.0 P</t>
  </si>
  <si>
    <t>FB 16FEB18 165.0 P</t>
  </si>
  <si>
    <t>HD 19JAN18 192.5 C</t>
  </si>
  <si>
    <t>HD 19JAN18 182.5 P</t>
  </si>
  <si>
    <t>HD 19JAN18 185.0 P</t>
  </si>
  <si>
    <t>TLT 26JAN18 122.5 P</t>
  </si>
  <si>
    <t>TSLA 16MAR18 310.0 P</t>
  </si>
  <si>
    <t>HSIG8</t>
  </si>
  <si>
    <t>HSI 27FEB18</t>
  </si>
  <si>
    <t>NQH8</t>
  </si>
  <si>
    <t>NQ 16MAR18</t>
  </si>
  <si>
    <t>US Equity and Options Add-On Streaming Bundle Non-Professional for Dec 2017</t>
  </si>
  <si>
    <t>Hong Kong Securities Exchange (Stocks and Warrants) for Dec 2017</t>
  </si>
  <si>
    <t>Hong Kong (HKFE) Derivatives Level I Non-Professional for Dec 2017</t>
  </si>
  <si>
    <t>US Securities Snapshot and Futures Value Bundle Non-Professional for Dec 2017</t>
  </si>
  <si>
    <t>CNH Debit Interest for Dec-2017</t>
  </si>
  <si>
    <t>USD Credit Interest for Dec-2017</t>
  </si>
  <si>
    <t>USD Debit Interest for Dec-2017</t>
  </si>
  <si>
    <t>USD Net Short Stock Interest for Dec-2017</t>
  </si>
  <si>
    <t>MOMO(US60879B1070) ADR Fee 0.02000000 USD per Share</t>
  </si>
  <si>
    <t xml:space="preserve"> Use to SellCurrency CNH Ammount: 5723.18217</t>
  </si>
  <si>
    <t xml:space="preserve"> Use to SellCurrency HKD Ammount: 511527.408</t>
  </si>
  <si>
    <t xml:space="preserve"> Use to BuyCurrency USD Ammount: 0.388439932</t>
  </si>
  <si>
    <t>US Equity and Options Add-On Streaming Bundle Non-Professional for Jan 2018</t>
  </si>
  <si>
    <t>Hong Kong Securities Exchange (Stocks and Warrants) for Jan 2018</t>
  </si>
  <si>
    <t>Hong Kong (HKFE) Derivatives Level I Non-Professional for Jan 2018</t>
  </si>
  <si>
    <t>US Securities Snapshot and Futures Value Bundle Non-Professional for Jan 2018</t>
  </si>
  <si>
    <t>USD Debit Interest for Jan-2018</t>
  </si>
  <si>
    <t>USD Net Short Stock Interest for Jan-2018</t>
  </si>
  <si>
    <t>EMB(US4642882819) Cash Dividend 0.30979400 USD per Share (Ordinary Dividend)</t>
  </si>
  <si>
    <t>TLT(US4642874329) Cash Dividend 0.25455100 USD per Share (Ordinary Dividend)</t>
  </si>
  <si>
    <t>EMB(US4642882819) Cash Dividend 0.30979400 USD per Share - US Tax</t>
  </si>
  <si>
    <t>TLT(US4642874329) Cash Dividend 0.25455100 USD per Share - US Tax</t>
  </si>
  <si>
    <t xml:space="preserve"> Use to SellCurrency HKD Ammount: 536037.26006</t>
  </si>
  <si>
    <t xml:space="preserve"> Use to SellCurrency HKD Ammount: 105457.8243</t>
  </si>
  <si>
    <t xml:space="preserve"> Use to SellCurrency HKD Ammount: 609206.44416</t>
  </si>
  <si>
    <t xml:space="preserve"> Use to BuyCurrency HKD Ammount: 4.07064686</t>
  </si>
  <si>
    <t>PKO (US72202B1008) Cash Dividend USD 0.19000000 PAYMENT IN LIEU OF DIVIDEND (Ordinary Dividend)</t>
  </si>
  <si>
    <t>PKO (US72202B1008) Cash Dividend USD 0.19000000 PAYMENT IN LIEU OF DIVIDEND - US Tax</t>
  </si>
  <si>
    <t>HKD Debit Interest for Feb-2018</t>
  </si>
  <si>
    <t>USD Credit Interest for Feb-2018</t>
  </si>
  <si>
    <t>USD Debit Interest for Feb-2018</t>
  </si>
  <si>
    <t>USD Net Short Stock Interest for Feb-2018</t>
  </si>
  <si>
    <t xml:space="preserve"> Use to BuyCurrency HKD Ammount: 0.940026</t>
  </si>
  <si>
    <t>US Equity and Options Add-On Streaming Bundle Non-Professional for Feb 2018</t>
  </si>
  <si>
    <t>Hong Kong Securities Exchange (Stocks and Warrants) for Feb 2018</t>
  </si>
  <si>
    <t>Hong Kong (HKFE) Derivatives Level I Non-Professional for Feb 2018</t>
  </si>
  <si>
    <t>US Securities Snapshot and Futures Value Bundle Non-Professional for Feb 2018</t>
  </si>
  <si>
    <t>EMB(US4642882819) Cash Dividend 0.34033700 USD per Share (Ordinary Dividend)</t>
  </si>
  <si>
    <t>TLT(US4642874329) Cash Dividend 0.23898200 USD per Share (Ordinary Dividend)</t>
  </si>
  <si>
    <t>EMB(US4642882819) Cash Dividend 0.34033700 USD per Share - US Tax</t>
  </si>
  <si>
    <t>TLT(US4642874329) Cash Dividend 0.23898200 USD per Share - US Tax</t>
  </si>
  <si>
    <t>MSFT (US5949181045) Cash Dividend USD 0.42000000 (Ordinary Dividend)</t>
  </si>
  <si>
    <t>MSFT (US5949181045) Cash Dividend USD 0.42000000 - US Tax</t>
  </si>
  <si>
    <t>600036.CN</t>
  </si>
  <si>
    <t>600519.CN</t>
  </si>
  <si>
    <t>601398.CN</t>
  </si>
  <si>
    <t>东方财富</t>
  </si>
  <si>
    <t>300059.CN</t>
  </si>
  <si>
    <t>601318.CN</t>
  </si>
  <si>
    <t>中国平安</t>
  </si>
  <si>
    <t>Shengzhen</t>
  </si>
  <si>
    <t>002372.CN</t>
  </si>
  <si>
    <t>伟星新材</t>
  </si>
  <si>
    <t>Rubber &amp; Plastics</t>
  </si>
  <si>
    <t>300296.CN</t>
  </si>
  <si>
    <t>利亚德</t>
  </si>
  <si>
    <t>Electronic Components</t>
  </si>
  <si>
    <t>000786.CN</t>
  </si>
  <si>
    <t>北新建材</t>
  </si>
  <si>
    <t>Building Materials</t>
  </si>
  <si>
    <t>600276.CN</t>
  </si>
  <si>
    <t>恒瑞医药</t>
  </si>
  <si>
    <t>000651.CN</t>
  </si>
  <si>
    <t>格力电器</t>
  </si>
  <si>
    <t>Home Appliances</t>
  </si>
  <si>
    <t>600004.CN</t>
  </si>
  <si>
    <t>白云机场</t>
  </si>
  <si>
    <t>Airports &amp; Air Services</t>
  </si>
  <si>
    <t>600660.CN</t>
  </si>
  <si>
    <t>福耀玻璃</t>
  </si>
  <si>
    <t>Auto Parts</t>
  </si>
  <si>
    <t>510880.CN</t>
  </si>
  <si>
    <t>红利ETF</t>
  </si>
  <si>
    <t>002508.CN</t>
  </si>
  <si>
    <t>老板电器</t>
  </si>
  <si>
    <t>300244.CN</t>
  </si>
  <si>
    <t>迪安诊断</t>
  </si>
  <si>
    <t>Diagnostics &amp; Research</t>
  </si>
  <si>
    <t>511880.CN</t>
  </si>
  <si>
    <t>银华日利</t>
  </si>
  <si>
    <t>EASTMONEY</t>
  </si>
  <si>
    <t>SPY 29NOV17 260.0 C</t>
  </si>
  <si>
    <t>SPY 16FEB18 265.0 P</t>
  </si>
  <si>
    <t>ASHR</t>
  </si>
  <si>
    <t>沪深300 ETF 德银嘉实</t>
  </si>
  <si>
    <t>IEF</t>
  </si>
  <si>
    <t>7-10 Year Treasury Bond ETF</t>
  </si>
  <si>
    <t>Mid-term Treasury Bound</t>
  </si>
  <si>
    <t>QQQ</t>
  </si>
  <si>
    <t>纳指 ETF</t>
  </si>
  <si>
    <t>VWO</t>
  </si>
  <si>
    <t>先锋-新兴市场ETF</t>
  </si>
  <si>
    <t>Emerging Markets</t>
  </si>
  <si>
    <t>DBC</t>
  </si>
  <si>
    <t>Commodity Tracking ETF</t>
  </si>
  <si>
    <t>STARTING CASH IN</t>
  </si>
  <si>
    <t>4008  ISHARES 20+ YR TREAS BND  DIV</t>
  </si>
  <si>
    <t>200 Shares of GOOGL</t>
  </si>
  <si>
    <t>200 Shares of AMZN</t>
  </si>
  <si>
    <t>2000 Shares of FB</t>
  </si>
  <si>
    <t>3000 Shares JKS</t>
  </si>
  <si>
    <t>NTES</t>
  </si>
  <si>
    <t>200 Shares of NTES</t>
  </si>
  <si>
    <t>6882 Shares of PKO</t>
  </si>
  <si>
    <t>PM</t>
  </si>
  <si>
    <t>5 Shares of PM</t>
  </si>
  <si>
    <t>600 Shares of TSLA</t>
  </si>
  <si>
    <t>SOLD -5 PM @102.906</t>
  </si>
  <si>
    <t>DIV - TLT</t>
  </si>
  <si>
    <t>WHTX02 - TLT</t>
  </si>
  <si>
    <t>SEC FEE</t>
  </si>
  <si>
    <t>DRIP</t>
  </si>
  <si>
    <t>DRIP TLT</t>
  </si>
  <si>
    <t>HI251 TTO 40HY98E @1.2682 CONV</t>
  </si>
  <si>
    <t>SOLD -100 JKS @27.1201</t>
  </si>
  <si>
    <t>SOLD -6,182 PKO @26.461</t>
  </si>
  <si>
    <t>SOLD -200 AMZN @1128.175</t>
  </si>
  <si>
    <t>SOLD -21 TSLA @302.50 EDGX</t>
  </si>
  <si>
    <t>SOLD -100 FB @179.9533</t>
  </si>
  <si>
    <t>SOLD -200 GOOGL @1055.37</t>
  </si>
  <si>
    <t>SOLD -200 NTES @316.79</t>
  </si>
  <si>
    <t>SOLD -100 TLT @126.355</t>
  </si>
  <si>
    <t>BOT +405 SPY @258.8178</t>
  </si>
  <si>
    <t>BOT +1,322 PKO @26.4681</t>
  </si>
  <si>
    <t>BOT +557 VWO @44.8793</t>
  </si>
  <si>
    <t>BOT +245 GLD @121.99469</t>
  </si>
  <si>
    <t>BOT +1,822 DBC @16.4346</t>
  </si>
  <si>
    <t>BOT +100 IEF @106.465</t>
  </si>
  <si>
    <t>SOLD -4 SPY 100 (Weeklys) 29 NOV 17 260 CALL @1.20 CBOE</t>
  </si>
  <si>
    <t>BOT +161 QQQ @154.44</t>
  </si>
  <si>
    <t>TF TO 9664 - 7130231</t>
  </si>
  <si>
    <t>JH475 TTO 40HY98E @1.2592 CONV</t>
  </si>
  <si>
    <t>SOLD -195 TLT @126.12359</t>
  </si>
  <si>
    <t>BOT +162 QQQ @154.75</t>
  </si>
  <si>
    <t>tAndroid BOT +4 SPY 100 (Weeklys) 29 NOV 17 260 CALL @.76</t>
  </si>
  <si>
    <t>SOLD -100 DBC @16.411</t>
  </si>
  <si>
    <t>SOLD -40 GLD @122.32</t>
  </si>
  <si>
    <t>SOLD -395 TLT @126.83539</t>
  </si>
  <si>
    <t>BOT +38 SPY @260.44</t>
  </si>
  <si>
    <t>BOT +158 QQQ @156.25462</t>
  </si>
  <si>
    <t>BOT +172 QQQ @156.23459</t>
  </si>
  <si>
    <t>DIV - PKO</t>
  </si>
  <si>
    <t>WHTX02 - PKO</t>
  </si>
  <si>
    <t>DRIP - PKO</t>
  </si>
  <si>
    <t>DRIP - TLT</t>
  </si>
  <si>
    <t>DIV - IEF</t>
  </si>
  <si>
    <t>WHTX02 - IEF</t>
  </si>
  <si>
    <t>SOLD -11 SPY @267.55455</t>
  </si>
  <si>
    <t>SOLD -334 QQQ @157.39569</t>
  </si>
  <si>
    <t>BOT +1,649 ASHR @30.5053</t>
  </si>
  <si>
    <t>SEC FEE - DEC 19</t>
  </si>
  <si>
    <t>DIV - VWO</t>
  </si>
  <si>
    <t>WHTX02 - VWO</t>
  </si>
  <si>
    <t>DRIP VWO</t>
  </si>
  <si>
    <t>DRIP - QQQ</t>
  </si>
  <si>
    <t>DIV - QQQ</t>
  </si>
  <si>
    <t>WHTX02 - QQQ</t>
  </si>
  <si>
    <t>DIV - SPY</t>
  </si>
  <si>
    <t>DRIP - SPY</t>
  </si>
  <si>
    <t>WHTX02 - SPY</t>
  </si>
  <si>
    <t>DRIP PKO</t>
  </si>
  <si>
    <t>SOLD -33 SPY @273.84212</t>
  </si>
  <si>
    <t>SOLD -20 QQQ @163.836</t>
  </si>
  <si>
    <t>BOT +50 TLT @119.0142</t>
  </si>
  <si>
    <t>SOLD -200 QQQ @158.13</t>
  </si>
  <si>
    <t>SOLD -300 ASHR @31.11</t>
  </si>
  <si>
    <t>BOT +200 TLT @118.125</t>
  </si>
  <si>
    <t>BOT +100 GLD @124.695</t>
  </si>
  <si>
    <t>BOT +500 DBC @16.5268</t>
  </si>
  <si>
    <t>BOT +2 SPY 100 16 FEB 18 265 PUT @3.49 BOX</t>
  </si>
  <si>
    <t>tAndroid SOLD -4 SPY 100 16 FEB 18 265 PUT @1.20 NASDAQ</t>
  </si>
  <si>
    <t>WITHDRAWAL</t>
  </si>
  <si>
    <t>NetEase, Inc.</t>
  </si>
  <si>
    <t>网易</t>
  </si>
  <si>
    <t>hilip Morris International Inc.</t>
  </si>
  <si>
    <t>Cigarettes</t>
  </si>
  <si>
    <t>AMZN 01DEC17 1220.0 C</t>
  </si>
  <si>
    <t>HD(US4370761029) Cash Dividend 1.03000000 USD per Share (Ordinary Dividend)</t>
  </si>
  <si>
    <t>HD(US4370761029) Cash Dividend 1.03000000 USD per Share - US Tax</t>
  </si>
  <si>
    <t>港股通组合费 20180319 - 20180329</t>
  </si>
  <si>
    <t>EastMoney</t>
  </si>
  <si>
    <t>天天基金</t>
  </si>
  <si>
    <t>000311.CN</t>
  </si>
  <si>
    <t>景顺沪深300增强</t>
  </si>
  <si>
    <t>000311</t>
  </si>
  <si>
    <t>000968.CN</t>
  </si>
  <si>
    <t>广发中证养老</t>
  </si>
  <si>
    <t>000968</t>
  </si>
  <si>
    <t>001064.CN</t>
  </si>
  <si>
    <t>广发中证环保</t>
  </si>
  <si>
    <t>001064</t>
  </si>
  <si>
    <t>001511.CN</t>
  </si>
  <si>
    <t>兴全新视野</t>
  </si>
  <si>
    <t>001511</t>
  </si>
  <si>
    <t>100056.CN</t>
  </si>
  <si>
    <t>富国低碳环保混合</t>
  </si>
  <si>
    <t>100056</t>
  </si>
  <si>
    <t>110027.CN</t>
  </si>
  <si>
    <t>易方达安心债A</t>
  </si>
  <si>
    <t>110027</t>
  </si>
  <si>
    <t>166005.CN</t>
  </si>
  <si>
    <t>中欧价值发现混合A</t>
  </si>
  <si>
    <t>166005</t>
  </si>
  <si>
    <t>202301.CN</t>
  </si>
  <si>
    <t>南方现金增利货币A</t>
  </si>
  <si>
    <t>202301</t>
  </si>
  <si>
    <t>270049.CN</t>
  </si>
  <si>
    <t>广发纯债C</t>
  </si>
  <si>
    <t>270049</t>
  </si>
  <si>
    <t>482002.CN</t>
  </si>
  <si>
    <t>工银货币</t>
  </si>
  <si>
    <t>482002</t>
  </si>
  <si>
    <t>519983.CN</t>
  </si>
  <si>
    <t>长信量化先锋A</t>
  </si>
  <si>
    <t>519983</t>
  </si>
  <si>
    <t>590008.CN</t>
  </si>
  <si>
    <t>中邮战略新兴产业</t>
  </si>
  <si>
    <t>590008</t>
  </si>
  <si>
    <t>Dividend Cash transfer out account.</t>
  </si>
  <si>
    <t>Adj</t>
  </si>
  <si>
    <t>MONEYFUND</t>
  </si>
  <si>
    <t xml:space="preserve">  </t>
  </si>
  <si>
    <t>002294.CN</t>
  </si>
  <si>
    <t>002115.CN</t>
  </si>
  <si>
    <t>300017.CN</t>
  </si>
  <si>
    <t>0656.hk</t>
  </si>
  <si>
    <t>0700.hk</t>
  </si>
  <si>
    <t>300072.CN</t>
  </si>
  <si>
    <t>601006.CN</t>
  </si>
  <si>
    <t>000423.CN</t>
  </si>
  <si>
    <t>300251.CN</t>
  </si>
  <si>
    <t xml:space="preserve"> 复星国际配股缴款 </t>
  </si>
  <si>
    <t xml:space="preserve"> 复星国际供股缴款 </t>
  </si>
  <si>
    <t xml:space="preserve">Cap. Gains Short  164820 高铁分级基金申购套利 </t>
  </si>
  <si>
    <t>161010.CN</t>
  </si>
  <si>
    <t>600837.CN</t>
  </si>
  <si>
    <t>150051.CN</t>
  </si>
  <si>
    <t>FJJJ.CN</t>
  </si>
  <si>
    <t>600196.CN</t>
  </si>
  <si>
    <t>603338.CN</t>
  </si>
  <si>
    <t>300267.CN</t>
  </si>
  <si>
    <t>150235.CN</t>
  </si>
  <si>
    <t xml:space="preserve"> adjust balance </t>
  </si>
  <si>
    <t xml:space="preserve"> Adjuest Balance </t>
  </si>
  <si>
    <t>150303.CN</t>
  </si>
  <si>
    <t>510900.CN</t>
  </si>
  <si>
    <t>511010.CN</t>
  </si>
  <si>
    <t xml:space="preserve"> buy 复星国际 </t>
  </si>
  <si>
    <t>150244.CN</t>
  </si>
  <si>
    <t>000898.CN</t>
  </si>
  <si>
    <t>300233.CN</t>
  </si>
  <si>
    <t>502011.CN</t>
  </si>
  <si>
    <t>150243.CN</t>
  </si>
  <si>
    <t>502003.CN</t>
  </si>
  <si>
    <t>000538.CN</t>
  </si>
  <si>
    <t>159920.CN</t>
  </si>
  <si>
    <t>150181.CN</t>
  </si>
  <si>
    <t>600674.CN</t>
  </si>
  <si>
    <t xml:space="preserve"> rebalance </t>
  </si>
  <si>
    <t xml:space="preserve"> transfer with HK Stock </t>
  </si>
  <si>
    <t xml:space="preserve"> To buy 00700 </t>
  </si>
  <si>
    <t>600887.CN</t>
  </si>
  <si>
    <t>600900.CN</t>
  </si>
  <si>
    <t>000625.CN</t>
  </si>
  <si>
    <t>600104.CN</t>
  </si>
  <si>
    <t>600422.CN</t>
  </si>
  <si>
    <t xml:space="preserve">to HK  </t>
  </si>
  <si>
    <t>0410.HK</t>
  </si>
  <si>
    <t>002292.CN</t>
  </si>
  <si>
    <t>300032.CN</t>
  </si>
  <si>
    <t>150331.CN</t>
  </si>
  <si>
    <t>150221.CN</t>
  </si>
  <si>
    <t>150022.CN</t>
  </si>
  <si>
    <t>300146.CN</t>
  </si>
  <si>
    <t xml:space="preserve">This is dividend by shares. </t>
  </si>
  <si>
    <t xml:space="preserve"> sold soho中国 </t>
  </si>
  <si>
    <t xml:space="preserve"> Back to China Stock Account </t>
  </si>
  <si>
    <t xml:space="preserve">Cap. Gains Long   </t>
  </si>
  <si>
    <t>002192.CN</t>
  </si>
  <si>
    <t>518880.CN</t>
  </si>
  <si>
    <t>300182.CN</t>
  </si>
  <si>
    <t xml:space="preserve"> Transfer from ChinaStock </t>
  </si>
  <si>
    <t xml:space="preserve"> Transfer to HK Stock </t>
  </si>
  <si>
    <t>300274.CN</t>
  </si>
  <si>
    <t>000895.CN</t>
  </si>
  <si>
    <t>601877.CN</t>
  </si>
  <si>
    <t xml:space="preserve"> Transfer to ChinaStock Account </t>
  </si>
  <si>
    <t xml:space="preserve">1115.17 腾讯分红 </t>
  </si>
  <si>
    <t>600172.CN</t>
  </si>
  <si>
    <t xml:space="preserve"> to HK Stock </t>
  </si>
  <si>
    <t>002271.CN</t>
  </si>
  <si>
    <t>002573.CN</t>
  </si>
  <si>
    <t>150176.CN</t>
  </si>
  <si>
    <t>601166.CN</t>
  </si>
  <si>
    <t xml:space="preserve">Cap. Gains Short   </t>
  </si>
  <si>
    <t>150023.CN</t>
  </si>
  <si>
    <t xml:space="preserve"> goto buy tencent </t>
  </si>
  <si>
    <t>600340.CN</t>
  </si>
  <si>
    <t>601211.CN</t>
  </si>
  <si>
    <t xml:space="preserve"> to bu 融创中国 </t>
  </si>
  <si>
    <t>600500.CN</t>
  </si>
  <si>
    <t>600028.CN</t>
  </si>
  <si>
    <t xml:space="preserve"> to buy 00700 </t>
  </si>
  <si>
    <t xml:space="preserve"> to  buy 0700.HK </t>
  </si>
  <si>
    <t>603615.CN</t>
  </si>
  <si>
    <t>601212.CN</t>
  </si>
  <si>
    <t>300619.CN</t>
  </si>
  <si>
    <t>300616.CN</t>
  </si>
  <si>
    <t xml:space="preserve">双汇发展  </t>
  </si>
  <si>
    <t xml:space="preserve">福耀玻璃  </t>
  </si>
  <si>
    <t>300033.CN</t>
  </si>
  <si>
    <t xml:space="preserve"> to buy 绿城中国 </t>
  </si>
  <si>
    <t>600309.CN</t>
  </si>
  <si>
    <t xml:space="preserve"> back to china stock account </t>
  </si>
  <si>
    <t xml:space="preserve"> 减仓融创和绿城资金回笼 </t>
  </si>
  <si>
    <t>601228.CN</t>
  </si>
  <si>
    <t>600487.CN</t>
  </si>
  <si>
    <t xml:space="preserve"> 购买40000股绿城 </t>
  </si>
  <si>
    <t>000002.CN</t>
  </si>
  <si>
    <t xml:space="preserve"> back to chinaStock accoungt </t>
  </si>
  <si>
    <t xml:space="preserve"> sold 5000 融创中国资金回归 </t>
  </si>
  <si>
    <t>002236.CN</t>
  </si>
  <si>
    <t xml:space="preserve"> 卖融创资金回A 股账户 </t>
  </si>
  <si>
    <t xml:space="preserve"> 卖10000股融创资金回 A 股 </t>
  </si>
  <si>
    <t xml:space="preserve"> A股资金进入购买碧桂园及融创 </t>
  </si>
  <si>
    <t xml:space="preserve"> 资金去港股买碧桂园及融创 </t>
  </si>
  <si>
    <t>2007.HK</t>
  </si>
  <si>
    <t xml:space="preserve"> buy 融创 &amp; 碧桂园</t>
  </si>
  <si>
    <t xml:space="preserve"> to hk buy 融创和碧桂园 </t>
  </si>
  <si>
    <t xml:space="preserve"> buy tencent 4000 </t>
  </si>
  <si>
    <t xml:space="preserve"> buy tgencent </t>
  </si>
  <si>
    <t xml:space="preserve"> Buy tencent </t>
  </si>
  <si>
    <t xml:space="preserve"> to buy tencent 2000 </t>
  </si>
  <si>
    <t xml:space="preserve"> 买融创资金回笼 </t>
  </si>
  <si>
    <t xml:space="preserve"> 融创分红 </t>
  </si>
  <si>
    <t>600516.CN</t>
  </si>
  <si>
    <t>601601.CN</t>
  </si>
  <si>
    <t xml:space="preserve">Goverment For MTGE dividend </t>
  </si>
  <si>
    <t>510500.CN</t>
  </si>
  <si>
    <t xml:space="preserve">goverment For MTGE dividend </t>
  </si>
  <si>
    <t>信立泰</t>
  </si>
  <si>
    <t>三维通信</t>
  </si>
  <si>
    <t xml:space="preserve"> Communication Equipment</t>
  </si>
  <si>
    <t>网宿科技</t>
  </si>
  <si>
    <t>三聚环保</t>
  </si>
  <si>
    <t>Chemicals</t>
  </si>
  <si>
    <t>大秦铁路</t>
  </si>
  <si>
    <t>Transportation</t>
  </si>
  <si>
    <t>东阿阿胶</t>
  </si>
  <si>
    <t>Biotech &amp; Pharma</t>
  </si>
  <si>
    <t>光线传媒</t>
  </si>
  <si>
    <t>Media</t>
  </si>
  <si>
    <t>Pharm</t>
  </si>
  <si>
    <t>富国天丰</t>
  </si>
  <si>
    <t>海通证券</t>
  </si>
  <si>
    <t>Institutional Financial Svcs</t>
  </si>
  <si>
    <t>沪深300分级A</t>
  </si>
  <si>
    <t>分级基金统配</t>
  </si>
  <si>
    <t>复星医药</t>
  </si>
  <si>
    <t>浙江鼎力</t>
  </si>
  <si>
    <t>Machinery</t>
  </si>
  <si>
    <t>尔康制药</t>
  </si>
  <si>
    <t>券商分级A</t>
  </si>
  <si>
    <t>创业股A</t>
  </si>
  <si>
    <t>H股ETF</t>
  </si>
  <si>
    <t>国债ETF</t>
  </si>
  <si>
    <t>创业分级B</t>
  </si>
  <si>
    <t>鞍钢股份</t>
  </si>
  <si>
    <t>Iron &amp; Steel</t>
  </si>
  <si>
    <t>金城医药</t>
  </si>
  <si>
    <t>证券A</t>
  </si>
  <si>
    <t>创业A</t>
  </si>
  <si>
    <t>军工分级</t>
  </si>
  <si>
    <t>云南白药</t>
  </si>
  <si>
    <t>恒生ETF</t>
  </si>
  <si>
    <t>军工A</t>
  </si>
  <si>
    <t>川投能源</t>
  </si>
  <si>
    <t>伊利股份</t>
  </si>
  <si>
    <t>Drink</t>
  </si>
  <si>
    <t>长江电力</t>
  </si>
  <si>
    <t>长安汽车</t>
  </si>
  <si>
    <t>Automotive</t>
  </si>
  <si>
    <t>上汽集团</t>
  </si>
  <si>
    <t>昆药集团</t>
  </si>
  <si>
    <t>SOHO中国</t>
  </si>
  <si>
    <t>奥飞娱乐</t>
  </si>
  <si>
    <t>Leisure Products</t>
  </si>
  <si>
    <t>金龙机电</t>
  </si>
  <si>
    <t>网金融A</t>
  </si>
  <si>
    <t>中航军A</t>
  </si>
  <si>
    <t>深成指A</t>
  </si>
  <si>
    <t>汤臣倍健</t>
  </si>
  <si>
    <t>融捷股份</t>
  </si>
  <si>
    <t>Renewable Energy</t>
  </si>
  <si>
    <t>黄金ETF</t>
  </si>
  <si>
    <t>Gold</t>
  </si>
  <si>
    <t>捷成股份</t>
  </si>
  <si>
    <t>Software</t>
  </si>
  <si>
    <t>阳光电源</t>
  </si>
  <si>
    <t>双汇发展</t>
  </si>
  <si>
    <t>Food</t>
  </si>
  <si>
    <t>正泰电器</t>
  </si>
  <si>
    <t>Electrical Equipment</t>
  </si>
  <si>
    <t>黄河旋风</t>
  </si>
  <si>
    <t>东方雨虹</t>
  </si>
  <si>
    <t>Construction Materials</t>
  </si>
  <si>
    <t>清新环境</t>
  </si>
  <si>
    <t>Waste &amp; Environ Svcs &amp; Equip</t>
  </si>
  <si>
    <t>H股B</t>
  </si>
  <si>
    <t>150176</t>
  </si>
  <si>
    <t>兴业银行</t>
  </si>
  <si>
    <t>深成指B</t>
  </si>
  <si>
    <t>华夏幸福</t>
  </si>
  <si>
    <t>国泰君安</t>
  </si>
  <si>
    <t>中化国际</t>
  </si>
  <si>
    <t>中国石化</t>
  </si>
  <si>
    <t>Oil &amp; Gas</t>
  </si>
  <si>
    <t>茶花股份</t>
  </si>
  <si>
    <t>603615.SS</t>
  </si>
  <si>
    <t>Home &amp; Office Procducts</t>
  </si>
  <si>
    <t>白银有色</t>
  </si>
  <si>
    <t>601212.SS</t>
  </si>
  <si>
    <t>金银河</t>
  </si>
  <si>
    <t>300619.SZ</t>
  </si>
  <si>
    <t>300616.SZ</t>
  </si>
  <si>
    <t>尚品宅配</t>
  </si>
  <si>
    <t>同花顺</t>
  </si>
  <si>
    <t>Technology Services</t>
  </si>
  <si>
    <t>万华化学</t>
  </si>
  <si>
    <t>广州港</t>
  </si>
  <si>
    <t>601228.SS</t>
  </si>
  <si>
    <t>Transportation &amp; Logistics</t>
  </si>
  <si>
    <t>亨通光电</t>
  </si>
  <si>
    <t>600487.SS</t>
  </si>
  <si>
    <t>万科A</t>
  </si>
  <si>
    <t>000002.SZ</t>
  </si>
  <si>
    <t>大华股份</t>
  </si>
  <si>
    <t>002236.SZ</t>
  </si>
  <si>
    <t>碧桂园</t>
  </si>
  <si>
    <t>方大炭素</t>
  </si>
  <si>
    <t>中国太保</t>
  </si>
  <si>
    <t>601601.SS</t>
  </si>
  <si>
    <t>500ETF</t>
  </si>
  <si>
    <t>510500.SS</t>
  </si>
  <si>
    <t>Activited</t>
  </si>
  <si>
    <t>Close</t>
  </si>
  <si>
    <t>CIBC_MthInc</t>
  </si>
  <si>
    <t>CIBC Monthly Income</t>
  </si>
  <si>
    <t xml:space="preserve">Quotes of securities which price can not download from any public source. Such as many mutual fund, wealth managerd pool. </t>
  </si>
  <si>
    <t>CIBC_mthInc</t>
  </si>
  <si>
    <t>NQM8</t>
  </si>
  <si>
    <t>NQ 15JUN18</t>
  </si>
  <si>
    <t>US Equity and Options Add-On Streaming Bundle Non-Professional for Mar 2018</t>
  </si>
  <si>
    <t>Hong Kong Securities Exchange (Stocks and Warrants) for Mar 2018</t>
  </si>
  <si>
    <t>Hong Kong (HKFE) Derivatives Level I Non-Professional for Mar 2018</t>
  </si>
  <si>
    <t>US Securities Snapshot and Futures Value Bundle Non-Professional for Mar 2018</t>
  </si>
  <si>
    <t>USD Credit Interest for Mar-2018</t>
  </si>
  <si>
    <t>USD Debit Interest for Mar-2018</t>
  </si>
  <si>
    <t>USD Net Short Stock Interest for Mar-2018</t>
  </si>
  <si>
    <t>BOT +400 PKO @26.2849</t>
  </si>
  <si>
    <t>SOLD -105 GLD @127.0401</t>
  </si>
  <si>
    <t>SOLD -527 DBC @16.81</t>
  </si>
  <si>
    <t>BOT +50 SPY @256.9096</t>
  </si>
  <si>
    <t>SEC FEE - APR 02</t>
  </si>
  <si>
    <t>^HS300</t>
  </si>
  <si>
    <t>沪深300</t>
  </si>
  <si>
    <t>EMB(US4642882819) Cash Dividend 0.37375100 USD per Share (Ordinary Dividend)</t>
  </si>
  <si>
    <t>TLT(US4642874329) Cash Dividend 0.26043400 USD per Share (Ordinary Dividend)</t>
  </si>
  <si>
    <t>EMB(US4642882819) Cash Dividend 0.37375100 USD per Share - US Tax</t>
  </si>
  <si>
    <t>TLT(US4642874329) Cash Dividend 0.26043400 USD per Share - US Tax</t>
  </si>
  <si>
    <t>tAndroid BOT +36 SPY @265.16</t>
  </si>
  <si>
    <t>港股通组合费 20180403 - 20180411</t>
  </si>
  <si>
    <t>GOOGL.US</t>
  </si>
  <si>
    <t>SPY.US</t>
  </si>
  <si>
    <t>TLT.US</t>
  </si>
  <si>
    <t>GLD.US</t>
  </si>
  <si>
    <t>VNQ.US</t>
  </si>
  <si>
    <t>ADBE.US</t>
  </si>
  <si>
    <t>AMZN.US</t>
  </si>
  <si>
    <t>BABA.US</t>
  </si>
  <si>
    <t>BRK-B.US</t>
  </si>
  <si>
    <t>EMB.US</t>
  </si>
  <si>
    <t>FB.US</t>
  </si>
  <si>
    <t>HD.US</t>
  </si>
  <si>
    <t>HYG.US</t>
  </si>
  <si>
    <t>ISRG.US</t>
  </si>
  <si>
    <t>JD.US</t>
  </si>
  <si>
    <t>JKS.US</t>
  </si>
  <si>
    <t>JMEI.US</t>
  </si>
  <si>
    <t>JNJ.US</t>
  </si>
  <si>
    <t>LC.US</t>
  </si>
  <si>
    <t>MOMO.US</t>
  </si>
  <si>
    <t>PKO.US</t>
  </si>
  <si>
    <t>TSLA.US</t>
  </si>
  <si>
    <t>V.US</t>
  </si>
  <si>
    <t>YY.US</t>
  </si>
  <si>
    <t>MSFT.US</t>
  </si>
  <si>
    <t>ASHR.US</t>
  </si>
  <si>
    <t>IEF.US</t>
  </si>
  <si>
    <t>QQQ.US</t>
  </si>
  <si>
    <t>VWO.US</t>
  </si>
  <si>
    <t>DBC.US</t>
  </si>
  <si>
    <t>NTES.US</t>
  </si>
  <si>
    <t>PM.US</t>
  </si>
  <si>
    <t>EODHIS</t>
  </si>
  <si>
    <t>600036.SHG</t>
  </si>
  <si>
    <t>600519.SHG</t>
  </si>
  <si>
    <t>601398.SHG</t>
  </si>
  <si>
    <t>300059.SHE</t>
  </si>
  <si>
    <t>601318.SHG</t>
  </si>
  <si>
    <t>002372.SHE</t>
  </si>
  <si>
    <t>300296.SHE</t>
  </si>
  <si>
    <t>000786.SHE</t>
  </si>
  <si>
    <t>600276.SHG</t>
  </si>
  <si>
    <t>000651.SHE</t>
  </si>
  <si>
    <t>600004.SHG</t>
  </si>
  <si>
    <t>600660.SHG</t>
  </si>
  <si>
    <t>510880.SHG</t>
  </si>
  <si>
    <t>002508.SHE</t>
  </si>
  <si>
    <t>300244.SHE</t>
  </si>
  <si>
    <t>002294.SHE</t>
  </si>
  <si>
    <t>002115.SHE</t>
  </si>
  <si>
    <t>300017.SHE</t>
  </si>
  <si>
    <t>300072.SHE</t>
  </si>
  <si>
    <t>601006.SHG</t>
  </si>
  <si>
    <t>000423.SHE</t>
  </si>
  <si>
    <t>300251.SHE</t>
  </si>
  <si>
    <t>600837.SHG</t>
  </si>
  <si>
    <t>600196.SHG</t>
  </si>
  <si>
    <t>603338.SHG</t>
  </si>
  <si>
    <t>300267.SHE</t>
  </si>
  <si>
    <t>510900.SHG</t>
  </si>
  <si>
    <t>511010.SHG</t>
  </si>
  <si>
    <t>000898.SHE</t>
  </si>
  <si>
    <t>300233.SHE</t>
  </si>
  <si>
    <t>000538.SHE</t>
  </si>
  <si>
    <t>159920.SHE</t>
  </si>
  <si>
    <t>600674.SHG</t>
  </si>
  <si>
    <t>600887.SHG</t>
  </si>
  <si>
    <t>600900.SHG</t>
  </si>
  <si>
    <t>000625.SHE</t>
  </si>
  <si>
    <t>600104.SHG</t>
  </si>
  <si>
    <t>600422.SHG</t>
  </si>
  <si>
    <t>002292.SHE</t>
  </si>
  <si>
    <t>300032.SHE</t>
  </si>
  <si>
    <t>300146.SHE</t>
  </si>
  <si>
    <t>002192.SHE</t>
  </si>
  <si>
    <t>518880.SHG</t>
  </si>
  <si>
    <t>300182.SHE</t>
  </si>
  <si>
    <t>300274.SHE</t>
  </si>
  <si>
    <t>000895.SHE</t>
  </si>
  <si>
    <t>601877.SHG</t>
  </si>
  <si>
    <t>600172.SHG</t>
  </si>
  <si>
    <t>002271.SHE</t>
  </si>
  <si>
    <t>002573.SHE</t>
  </si>
  <si>
    <t>601166.SHG</t>
  </si>
  <si>
    <t>600340.SHG</t>
  </si>
  <si>
    <t>601211.SHG</t>
  </si>
  <si>
    <t>600309.SHG</t>
  </si>
  <si>
    <t>600516.SHG</t>
  </si>
  <si>
    <t>GSPC.INDX</t>
  </si>
  <si>
    <t>GSPTSE.INDX</t>
  </si>
  <si>
    <t>IXIC.INDX</t>
  </si>
  <si>
    <t>600500.SHG</t>
  </si>
  <si>
    <t>600028.SHG</t>
  </si>
  <si>
    <t>300033.SZ</t>
  </si>
  <si>
    <t>NFLX</t>
  </si>
  <si>
    <t>Netflix, Inc.</t>
  </si>
  <si>
    <t>NFLX.US</t>
  </si>
  <si>
    <t>CATV Systems</t>
  </si>
  <si>
    <t>TWTR</t>
  </si>
  <si>
    <t>Twitter</t>
  </si>
  <si>
    <t>TWTR.US</t>
  </si>
  <si>
    <t>SOLD -469 IEF @102.4851</t>
  </si>
  <si>
    <t>OXLC</t>
  </si>
  <si>
    <t>BOT +100 OXLC @10.799</t>
  </si>
  <si>
    <t>Oxford Lane Capital Corp.</t>
  </si>
  <si>
    <t>OXLC.US</t>
  </si>
  <si>
    <t>CEF</t>
  </si>
  <si>
    <t>Levelrage Bond</t>
  </si>
  <si>
    <t>NETEASE</t>
  </si>
  <si>
    <t>`0000300</t>
  </si>
  <si>
    <t>North America</t>
  </si>
  <si>
    <t>MinDate</t>
  </si>
  <si>
    <t>IgnorePrice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</si>
</sst>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164" formatCode="#,##0.00###;[Red]\-#,##0.00###;#"/>
    <numFmt numFmtId="165" formatCode="#,##0.0###;[Red]\-#,##0.0###;#"/>
    <numFmt numFmtId="166" formatCode="[Color50]\+#,##0.00;[Red]\-#,##0.00;#"/>
    <numFmt numFmtId="167" formatCode="[Color10]\+#,##0.00;[Red]\-#,##0.00;#"/>
    <numFmt numFmtId="168" formatCode="[Color10]#,###.####;[Red]\-#,###.####;#"/>
    <numFmt numFmtId="169" formatCode="[Color50]\+#,##0.00;[Red]\(#,##0.00\);0"/>
    <numFmt numFmtId="170" formatCode="[Color50]#,##0.00;[Red]\(#,##0.00\);#"/>
    <numFmt numFmtId="171" formatCode="[Color10]#,###.####;[Red]\(#,###.####\);#"/>
    <numFmt numFmtId="172" formatCode="&quot;$&quot;#,##0.00"/>
    <numFmt numFmtId="173" formatCode="[Color50]&quot;$&quot;\ \+#,##0.00;[Red]&quot;$&quot;\ \-#,##0.00;#"/>
    <numFmt numFmtId="174" formatCode="yyyy/mm/dd;@"/>
    <numFmt numFmtId="175" formatCode="[Color10]\+#,###.####;[Red]\-#,###.####;#"/>
    <numFmt numFmtId="176" formatCode="[Color50]\+#,##0.00;[Red]\(#,##0.00\);#"/>
    <numFmt numFmtId="177" formatCode="mmm\-yy"/>
  </numFmts>
  <fonts count="5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b/>
      <sz val="12"/>
      <color theme="1"/>
      <name val="Calibri"/>
      <family val="2"/>
      <scheme val="minor"/>
    </font>
    <font>
      <sz val="10"/>
      <color rgb="FF000000"/>
      <name val="Calibri"/>
      <family val="2"/>
    </font>
    <font>
      <b/>
      <sz val="12"/>
      <color rgb="FFFF0000"/>
      <name val="Calibri (Body)_x0000_"/>
    </font>
    <font>
      <sz val="8"/>
      <color theme="1"/>
      <name val="Calibri"/>
      <family val="2"/>
      <scheme val="minor"/>
    </font>
    <font>
      <sz val="9"/>
      <color indexed="81"/>
      <name val="Tahoma"/>
      <family val="2"/>
    </font>
    <font>
      <b/>
      <sz val="9"/>
      <color indexed="81"/>
      <name val="Tahoma"/>
      <family val="2"/>
    </font>
    <font>
      <i/>
      <sz val="8"/>
      <color theme="0" tint="-0.499984740745262"/>
      <name val="Calibri"/>
      <family val="2"/>
      <scheme val="minor"/>
    </font>
    <font>
      <sz val="11"/>
      <color theme="7" tint="-0.249977111117893"/>
      <name val="Calibri"/>
      <family val="2"/>
      <scheme val="minor"/>
    </font>
    <font>
      <sz val="11"/>
      <color theme="0" tint="-0.24994659260841701"/>
      <name val="Calibri"/>
      <family val="2"/>
      <scheme val="minor"/>
    </font>
    <font>
      <sz val="11"/>
      <color theme="1"/>
      <name val="Calibri"/>
      <family val="2"/>
    </font>
    <font>
      <sz val="11"/>
      <color theme="0" tint="-0.499984740745262"/>
      <name val="Calibri"/>
      <family val="2"/>
      <scheme val="minor"/>
    </font>
    <font>
      <b/>
      <sz val="12"/>
      <color theme="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8"/>
        <bgColor indexed="64"/>
      </patternFill>
    </fill>
    <fill>
      <patternFill patternType="solid">
        <fgColor theme="1"/>
        <bgColor theme="1"/>
      </patternFill>
    </fill>
  </fills>
  <borders count="3">
    <border>
      <left/>
      <right/>
      <top/>
      <bottom/>
      <diagonal/>
    </border>
    <border>
      <left/>
      <right style="thin">
        <color theme="1"/>
      </right>
      <top style="thin">
        <color theme="1"/>
      </top>
      <bottom/>
      <diagonal/>
    </border>
    <border>
      <left/>
      <right style="thin">
        <color theme="1"/>
      </right>
      <top style="thin">
        <color theme="1"/>
      </top>
      <bottom style="thin">
        <color theme="1"/>
      </bottom>
      <diagonal/>
    </border>
  </borders>
  <cellStyleXfs count="1">
    <xf numFmtId="0" fontId="0" fillId="0" borderId="0"/>
  </cellStyleXfs>
  <cellXfs count="285">
    <xf numFmtId="0" fontId="0" fillId="0" borderId="0" xfId="0"/>
    <xf numFmtId="14" fontId="0" fillId="0" borderId="0" xfId="0" applyNumberFormat="1"/>
    <xf numFmtId="0" fontId="45" fillId="0" borderId="0" xfId="0" applyFont="1"/>
    <xf numFmtId="0" fontId="0" fillId="0" borderId="0" xfId="0" applyAlignment="1">
      <alignment vertical="center"/>
    </xf>
    <xf numFmtId="0" fontId="0" fillId="0" borderId="0" xfId="0" applyAlignment="1"/>
    <xf numFmtId="0" fontId="48" fillId="0" borderId="0" xfId="0" applyFont="1"/>
    <xf numFmtId="0" fontId="51" fillId="0" borderId="0" xfId="0" applyFont="1"/>
    <xf numFmtId="0" fontId="42" fillId="0" borderId="0" xfId="0" applyFont="1"/>
    <xf numFmtId="49" fontId="42" fillId="0" borderId="0" xfId="0" applyNumberFormat="1" applyFont="1"/>
    <xf numFmtId="17" fontId="42" fillId="0" borderId="0" xfId="0" applyNumberFormat="1" applyFont="1"/>
    <xf numFmtId="0" fontId="41" fillId="0" borderId="0" xfId="0" applyFont="1" applyAlignment="1">
      <alignment horizontal="center" vertical="center"/>
    </xf>
    <xf numFmtId="169" fontId="41" fillId="0" borderId="0" xfId="0" applyNumberFormat="1" applyFont="1" applyAlignment="1">
      <alignment horizontal="center" vertical="center"/>
    </xf>
    <xf numFmtId="0" fontId="40" fillId="0" borderId="0" xfId="0" applyFont="1" applyAlignment="1">
      <alignment horizontal="center" vertical="center"/>
    </xf>
    <xf numFmtId="0" fontId="39" fillId="0" borderId="0" xfId="0" applyFont="1" applyAlignment="1">
      <alignment horizontal="center" vertical="center"/>
    </xf>
    <xf numFmtId="0" fontId="53" fillId="0" borderId="0" xfId="0" applyFont="1" applyFill="1"/>
    <xf numFmtId="0" fontId="0" fillId="2" borderId="0" xfId="0" applyFill="1"/>
    <xf numFmtId="0" fontId="38" fillId="0" borderId="0" xfId="0" applyFont="1"/>
    <xf numFmtId="0" fontId="54" fillId="0" borderId="0" xfId="0" applyFont="1"/>
    <xf numFmtId="0" fontId="37" fillId="0" borderId="0" xfId="0" applyFont="1"/>
    <xf numFmtId="0" fontId="36" fillId="0" borderId="0" xfId="0" applyFont="1"/>
    <xf numFmtId="0" fontId="55" fillId="0" borderId="0" xfId="0" applyNumberFormat="1" applyFont="1" applyFill="1"/>
    <xf numFmtId="0" fontId="0" fillId="0" borderId="0" xfId="0" applyNumberFormat="1"/>
    <xf numFmtId="0" fontId="35" fillId="0" borderId="0" xfId="0" applyFont="1"/>
    <xf numFmtId="0" fontId="35" fillId="0" borderId="0" xfId="0" applyFont="1" applyAlignment="1">
      <alignment horizontal="center" vertical="center"/>
    </xf>
    <xf numFmtId="173" fontId="42" fillId="0" borderId="0" xfId="0" applyNumberFormat="1" applyFont="1" applyFill="1" applyAlignment="1">
      <alignment shrinkToFit="1"/>
    </xf>
    <xf numFmtId="166" fontId="42" fillId="0" borderId="0" xfId="0" applyNumberFormat="1" applyFont="1" applyAlignment="1">
      <alignment shrinkToFit="1"/>
    </xf>
    <xf numFmtId="4" fontId="42" fillId="0" borderId="0" xfId="0" applyNumberFormat="1" applyFont="1" applyAlignment="1">
      <alignment shrinkToFit="1"/>
    </xf>
    <xf numFmtId="168" fontId="42" fillId="0" borderId="0" xfId="0" applyNumberFormat="1" applyFont="1" applyAlignment="1">
      <alignment shrinkToFit="1"/>
    </xf>
    <xf numFmtId="171" fontId="42" fillId="0" borderId="0" xfId="0" applyNumberFormat="1" applyFont="1" applyAlignment="1">
      <alignment shrinkToFit="1"/>
    </xf>
    <xf numFmtId="166" fontId="52" fillId="0" borderId="0" xfId="0" applyNumberFormat="1" applyFont="1" applyAlignment="1">
      <alignment shrinkToFit="1"/>
    </xf>
    <xf numFmtId="170" fontId="52" fillId="0" borderId="0" xfId="0" applyNumberFormat="1" applyFont="1" applyAlignment="1">
      <alignment shrinkToFit="1"/>
    </xf>
    <xf numFmtId="167" fontId="42" fillId="0" borderId="0" xfId="0" applyNumberFormat="1" applyFont="1" applyAlignment="1">
      <alignment shrinkToFit="1"/>
    </xf>
    <xf numFmtId="0" fontId="40" fillId="0" borderId="0" xfId="0" applyFont="1" applyAlignment="1">
      <alignment shrinkToFit="1"/>
    </xf>
    <xf numFmtId="0" fontId="39" fillId="0" borderId="0" xfId="0" applyFont="1" applyAlignment="1">
      <alignment shrinkToFit="1"/>
    </xf>
    <xf numFmtId="176" fontId="52" fillId="0" borderId="0" xfId="0" applyNumberFormat="1" applyFont="1" applyAlignment="1">
      <alignment shrinkToFit="1"/>
    </xf>
    <xf numFmtId="0" fontId="35" fillId="0" borderId="0" xfId="0" applyFont="1" applyAlignment="1">
      <alignment shrinkToFit="1"/>
    </xf>
    <xf numFmtId="164" fontId="42" fillId="0" borderId="0" xfId="0" applyNumberFormat="1" applyFont="1" applyAlignment="1">
      <alignment shrinkToFit="1"/>
    </xf>
    <xf numFmtId="165" fontId="42" fillId="0" borderId="0" xfId="0" applyNumberFormat="1" applyFont="1" applyAlignment="1">
      <alignment shrinkToFit="1"/>
    </xf>
    <xf numFmtId="0" fontId="42" fillId="0" borderId="0" xfId="0" applyFont="1" applyAlignment="1">
      <alignment shrinkToFit="1"/>
    </xf>
    <xf numFmtId="174" fontId="42" fillId="0" borderId="0" xfId="0" applyNumberFormat="1" applyFont="1" applyAlignment="1">
      <alignment shrinkToFit="1"/>
    </xf>
    <xf numFmtId="172" fontId="42" fillId="0" borderId="0" xfId="0" applyNumberFormat="1" applyFont="1" applyAlignment="1">
      <alignment shrinkToFit="1"/>
    </xf>
    <xf numFmtId="0" fontId="52" fillId="0" borderId="0" xfId="0" applyFont="1" applyAlignment="1">
      <alignment shrinkToFit="1"/>
    </xf>
    <xf numFmtId="0" fontId="34" fillId="0" borderId="0" xfId="0" applyFont="1"/>
    <xf numFmtId="49" fontId="33" fillId="0" borderId="0" xfId="0" applyNumberFormat="1" applyFont="1"/>
    <xf numFmtId="0" fontId="32" fillId="0" borderId="0" xfId="0" applyFont="1"/>
    <xf numFmtId="0" fontId="32" fillId="0" borderId="0" xfId="0" applyFont="1" applyAlignment="1">
      <alignment horizontal="center" vertical="center"/>
    </xf>
    <xf numFmtId="0" fontId="31" fillId="0" borderId="0" xfId="0" applyFont="1"/>
    <xf numFmtId="0" fontId="56" fillId="3" borderId="1" xfId="0" applyFont="1" applyFill="1" applyBorder="1"/>
    <xf numFmtId="0" fontId="0" fillId="0" borderId="2" xfId="0" applyFont="1" applyBorder="1"/>
    <xf numFmtId="0" fontId="0" fillId="0" borderId="1" xfId="0" applyFont="1" applyBorder="1"/>
    <xf numFmtId="0" fontId="0" fillId="0" borderId="0" xfId="0" applyBorder="1"/>
    <xf numFmtId="0" fontId="30" fillId="0" borderId="0" xfId="0" applyFont="1"/>
    <xf numFmtId="0" fontId="29" fillId="0" borderId="0" xfId="0" applyFont="1"/>
    <xf numFmtId="0" fontId="28" fillId="0" borderId="0" xfId="0" applyFont="1"/>
    <xf numFmtId="0" fontId="0" fillId="0" borderId="0" xfId="0" applyFill="1"/>
    <xf numFmtId="0" fontId="27" fillId="0" borderId="0" xfId="0" applyFont="1" applyAlignment="1">
      <alignment shrinkToFit="1"/>
    </xf>
    <xf numFmtId="174" fontId="27" fillId="0" borderId="0" xfId="0" applyNumberFormat="1" applyFont="1" applyAlignment="1">
      <alignment shrinkToFit="1"/>
    </xf>
    <xf numFmtId="165" fontId="27" fillId="0" borderId="0" xfId="0" applyNumberFormat="1" applyFont="1" applyAlignment="1">
      <alignment shrinkToFit="1"/>
    </xf>
    <xf numFmtId="164" fontId="27" fillId="0" borderId="0" xfId="0" applyNumberFormat="1" applyFont="1" applyAlignment="1">
      <alignment shrinkToFit="1"/>
    </xf>
    <xf numFmtId="4" fontId="27" fillId="0" borderId="0" xfId="0" applyNumberFormat="1" applyFont="1" applyAlignment="1">
      <alignment shrinkToFit="1"/>
    </xf>
    <xf numFmtId="166" fontId="27" fillId="0" borderId="0" xfId="0" applyNumberFormat="1" applyFont="1" applyFill="1" applyAlignment="1">
      <alignment shrinkToFit="1"/>
    </xf>
    <xf numFmtId="166" fontId="27" fillId="0" borderId="0" xfId="0" applyNumberFormat="1" applyFont="1" applyAlignment="1">
      <alignment shrinkToFit="1"/>
    </xf>
    <xf numFmtId="168" fontId="27" fillId="0" borderId="0" xfId="0" applyNumberFormat="1" applyFont="1" applyAlignment="1">
      <alignment shrinkToFit="1"/>
    </xf>
    <xf numFmtId="171" fontId="27" fillId="0" borderId="0" xfId="0" applyNumberFormat="1" applyFont="1" applyAlignment="1">
      <alignment shrinkToFit="1"/>
    </xf>
    <xf numFmtId="175" fontId="27" fillId="0" borderId="0" xfId="0" applyNumberFormat="1" applyFont="1" applyAlignment="1">
      <alignment shrinkToFit="1"/>
    </xf>
    <xf numFmtId="167" fontId="27" fillId="0" borderId="0" xfId="0" applyNumberFormat="1" applyFont="1" applyAlignment="1">
      <alignment shrinkToFit="1"/>
    </xf>
    <xf numFmtId="0" fontId="27" fillId="0" borderId="0" xfId="0" applyNumberFormat="1" applyFont="1" applyAlignment="1">
      <alignment shrinkToFit="1"/>
    </xf>
    <xf numFmtId="0" fontId="27" fillId="0" borderId="0" xfId="0" applyNumberFormat="1" applyFont="1"/>
    <xf numFmtId="172" fontId="27" fillId="0" borderId="0" xfId="0" applyNumberFormat="1" applyFont="1" applyAlignment="1">
      <alignment shrinkToFit="1"/>
    </xf>
    <xf numFmtId="49" fontId="26" fillId="0" borderId="0" xfId="0" applyNumberFormat="1" applyFont="1"/>
    <xf numFmtId="0" fontId="26" fillId="0" borderId="0" xfId="0" applyFont="1"/>
    <xf numFmtId="177" fontId="26" fillId="0" borderId="0" xfId="0" applyNumberFormat="1" applyFont="1"/>
    <xf numFmtId="17" fontId="35" fillId="0" borderId="0" xfId="0" applyNumberFormat="1" applyFont="1"/>
    <xf numFmtId="174" fontId="35" fillId="0" borderId="0" xfId="0" applyNumberFormat="1" applyFont="1"/>
    <xf numFmtId="174" fontId="26" fillId="0" borderId="0" xfId="0" applyNumberFormat="1" applyFont="1"/>
    <xf numFmtId="0" fontId="26" fillId="0" borderId="0" xfId="0" applyFont="1" applyAlignment="1">
      <alignment shrinkToFit="1"/>
    </xf>
    <xf numFmtId="174" fontId="26" fillId="0" borderId="0" xfId="0" applyNumberFormat="1" applyFont="1" applyAlignment="1">
      <alignment shrinkToFit="1"/>
    </xf>
    <xf numFmtId="165" fontId="26" fillId="0" borderId="0" xfId="0" applyNumberFormat="1" applyFont="1" applyAlignment="1">
      <alignment shrinkToFit="1"/>
    </xf>
    <xf numFmtId="164" fontId="26" fillId="0" borderId="0" xfId="0" applyNumberFormat="1" applyFont="1" applyAlignment="1">
      <alignment shrinkToFit="1"/>
    </xf>
    <xf numFmtId="172" fontId="26" fillId="0" borderId="0" xfId="0" applyNumberFormat="1" applyFont="1" applyAlignment="1">
      <alignment shrinkToFit="1"/>
    </xf>
    <xf numFmtId="166" fontId="26" fillId="0" borderId="0" xfId="0" applyNumberFormat="1" applyFont="1" applyFill="1" applyAlignment="1">
      <alignment shrinkToFit="1"/>
    </xf>
    <xf numFmtId="166" fontId="26" fillId="0" borderId="0" xfId="0" applyNumberFormat="1" applyFont="1" applyAlignment="1">
      <alignment shrinkToFit="1"/>
    </xf>
    <xf numFmtId="4" fontId="26" fillId="0" borderId="0" xfId="0" applyNumberFormat="1" applyFont="1" applyAlignment="1">
      <alignment shrinkToFit="1"/>
    </xf>
    <xf numFmtId="168" fontId="26" fillId="0" borderId="0" xfId="0" applyNumberFormat="1" applyFont="1" applyAlignment="1">
      <alignment shrinkToFit="1"/>
    </xf>
    <xf numFmtId="171" fontId="26" fillId="0" borderId="0" xfId="0" applyNumberFormat="1" applyFont="1" applyAlignment="1">
      <alignment shrinkToFit="1"/>
    </xf>
    <xf numFmtId="175" fontId="26" fillId="0" borderId="0" xfId="0" applyNumberFormat="1" applyFont="1" applyAlignment="1">
      <alignment shrinkToFit="1"/>
    </xf>
    <xf numFmtId="167" fontId="26" fillId="0" borderId="0" xfId="0" applyNumberFormat="1" applyFont="1" applyAlignment="1">
      <alignment shrinkToFit="1"/>
    </xf>
    <xf numFmtId="0" fontId="26" fillId="0" borderId="0" xfId="0" applyNumberFormat="1" applyFont="1" applyAlignment="1">
      <alignment shrinkToFit="1"/>
    </xf>
    <xf numFmtId="0" fontId="26" fillId="0" borderId="0" xfId="0" applyNumberFormat="1" applyFont="1"/>
    <xf numFmtId="49" fontId="25" fillId="0" borderId="0" xfId="0" applyNumberFormat="1" applyFont="1"/>
    <xf numFmtId="0" fontId="25" fillId="0" borderId="0" xfId="0" applyFont="1" applyAlignment="1">
      <alignment shrinkToFit="1"/>
    </xf>
    <xf numFmtId="49" fontId="24" fillId="0" borderId="0" xfId="0" applyNumberFormat="1" applyFont="1"/>
    <xf numFmtId="0" fontId="24" fillId="0" borderId="0" xfId="0" applyFont="1"/>
    <xf numFmtId="174" fontId="24" fillId="0" borderId="0" xfId="0" applyNumberFormat="1" applyFont="1"/>
    <xf numFmtId="177" fontId="24" fillId="0" borderId="0" xfId="0" applyNumberFormat="1" applyFont="1"/>
    <xf numFmtId="0" fontId="23" fillId="0" borderId="0" xfId="0" applyFont="1"/>
    <xf numFmtId="0" fontId="22" fillId="0" borderId="0" xfId="0" applyFont="1"/>
    <xf numFmtId="49" fontId="22" fillId="0" borderId="0" xfId="0" applyNumberFormat="1" applyFont="1"/>
    <xf numFmtId="174" fontId="22" fillId="0" borderId="0" xfId="0" applyNumberFormat="1" applyFont="1"/>
    <xf numFmtId="177" fontId="22" fillId="0" borderId="0" xfId="0" applyNumberFormat="1" applyFont="1"/>
    <xf numFmtId="0" fontId="22" fillId="0" borderId="0" xfId="0" applyFont="1" applyAlignment="1">
      <alignment shrinkToFit="1"/>
    </xf>
    <xf numFmtId="174" fontId="22" fillId="0" borderId="0" xfId="0" applyNumberFormat="1" applyFont="1" applyAlignment="1">
      <alignment shrinkToFit="1"/>
    </xf>
    <xf numFmtId="165" fontId="22" fillId="0" borderId="0" xfId="0" applyNumberFormat="1" applyFont="1" applyAlignment="1">
      <alignment shrinkToFit="1"/>
    </xf>
    <xf numFmtId="164" fontId="22" fillId="0" borderId="0" xfId="0" applyNumberFormat="1" applyFont="1" applyAlignment="1">
      <alignment shrinkToFit="1"/>
    </xf>
    <xf numFmtId="172" fontId="22" fillId="0" borderId="0" xfId="0" applyNumberFormat="1" applyFont="1" applyAlignment="1">
      <alignment shrinkToFit="1"/>
    </xf>
    <xf numFmtId="166" fontId="22" fillId="0" borderId="0" xfId="0" applyNumberFormat="1" applyFont="1" applyFill="1" applyAlignment="1">
      <alignment shrinkToFit="1"/>
    </xf>
    <xf numFmtId="166" fontId="22" fillId="0" borderId="0" xfId="0" applyNumberFormat="1" applyFont="1" applyAlignment="1">
      <alignment shrinkToFit="1"/>
    </xf>
    <xf numFmtId="4" fontId="22" fillId="0" borderId="0" xfId="0" applyNumberFormat="1" applyFont="1" applyAlignment="1">
      <alignment shrinkToFit="1"/>
    </xf>
    <xf numFmtId="168" fontId="22" fillId="0" borderId="0" xfId="0" applyNumberFormat="1" applyFont="1" applyAlignment="1">
      <alignment shrinkToFit="1"/>
    </xf>
    <xf numFmtId="171" fontId="22" fillId="0" borderId="0" xfId="0" applyNumberFormat="1" applyFont="1" applyAlignment="1">
      <alignment shrinkToFit="1"/>
    </xf>
    <xf numFmtId="175" fontId="22" fillId="0" borderId="0" xfId="0" applyNumberFormat="1" applyFont="1" applyAlignment="1">
      <alignment shrinkToFit="1"/>
    </xf>
    <xf numFmtId="167" fontId="22" fillId="0" borderId="0" xfId="0" applyNumberFormat="1" applyFont="1" applyAlignment="1">
      <alignment shrinkToFit="1"/>
    </xf>
    <xf numFmtId="0" fontId="22" fillId="0" borderId="0" xfId="0" applyNumberFormat="1" applyFont="1" applyAlignment="1">
      <alignment shrinkToFit="1"/>
    </xf>
    <xf numFmtId="0" fontId="22" fillId="0" borderId="0" xfId="0" applyNumberFormat="1" applyFont="1"/>
    <xf numFmtId="0" fontId="21" fillId="0" borderId="0" xfId="0" applyFont="1" applyAlignment="1">
      <alignment shrinkToFit="1"/>
    </xf>
    <xf numFmtId="49" fontId="21" fillId="0" borderId="0" xfId="0" applyNumberFormat="1" applyFont="1"/>
    <xf numFmtId="0" fontId="21" fillId="0" borderId="0" xfId="0" applyFont="1"/>
    <xf numFmtId="174" fontId="21" fillId="0" borderId="0" xfId="0" applyNumberFormat="1" applyFont="1"/>
    <xf numFmtId="177" fontId="21" fillId="0" borderId="0" xfId="0" applyNumberFormat="1" applyFont="1"/>
    <xf numFmtId="0" fontId="20" fillId="0" borderId="0" xfId="0" applyFont="1" applyAlignment="1">
      <alignment shrinkToFit="1"/>
    </xf>
    <xf numFmtId="174" fontId="20" fillId="0" borderId="0" xfId="0" applyNumberFormat="1" applyFont="1" applyAlignment="1">
      <alignment shrinkToFit="1"/>
    </xf>
    <xf numFmtId="165" fontId="20" fillId="0" borderId="0" xfId="0" applyNumberFormat="1" applyFont="1" applyAlignment="1">
      <alignment shrinkToFit="1"/>
    </xf>
    <xf numFmtId="164" fontId="20" fillId="0" borderId="0" xfId="0" applyNumberFormat="1" applyFont="1" applyAlignment="1">
      <alignment shrinkToFit="1"/>
    </xf>
    <xf numFmtId="172" fontId="20" fillId="0" borderId="0" xfId="0" applyNumberFormat="1" applyFont="1" applyAlignment="1">
      <alignment shrinkToFit="1"/>
    </xf>
    <xf numFmtId="166" fontId="20" fillId="0" borderId="0" xfId="0" applyNumberFormat="1" applyFont="1" applyFill="1" applyAlignment="1">
      <alignment shrinkToFit="1"/>
    </xf>
    <xf numFmtId="166" fontId="20" fillId="0" borderId="0" xfId="0" applyNumberFormat="1" applyFont="1" applyAlignment="1">
      <alignment shrinkToFit="1"/>
    </xf>
    <xf numFmtId="4" fontId="20" fillId="0" borderId="0" xfId="0" applyNumberFormat="1" applyFont="1" applyAlignment="1">
      <alignment shrinkToFit="1"/>
    </xf>
    <xf numFmtId="168" fontId="20" fillId="0" borderId="0" xfId="0" applyNumberFormat="1" applyFont="1" applyAlignment="1">
      <alignment shrinkToFit="1"/>
    </xf>
    <xf numFmtId="171" fontId="20" fillId="0" borderId="0" xfId="0" applyNumberFormat="1" applyFont="1" applyAlignment="1">
      <alignment shrinkToFit="1"/>
    </xf>
    <xf numFmtId="175" fontId="20" fillId="0" borderId="0" xfId="0" applyNumberFormat="1" applyFont="1" applyAlignment="1">
      <alignment shrinkToFit="1"/>
    </xf>
    <xf numFmtId="167" fontId="20" fillId="0" borderId="0" xfId="0" applyNumberFormat="1" applyFont="1" applyAlignment="1">
      <alignment shrinkToFit="1"/>
    </xf>
    <xf numFmtId="0" fontId="20" fillId="0" borderId="0" xfId="0" applyNumberFormat="1" applyFont="1" applyAlignment="1">
      <alignment shrinkToFit="1"/>
    </xf>
    <xf numFmtId="0" fontId="20" fillId="0" borderId="0" xfId="0" applyNumberFormat="1" applyFont="1"/>
    <xf numFmtId="49" fontId="19" fillId="0" borderId="0" xfId="0" applyNumberFormat="1" applyFont="1"/>
    <xf numFmtId="0" fontId="19" fillId="0" borderId="0" xfId="0" applyFont="1"/>
    <xf numFmtId="174" fontId="19" fillId="0" borderId="0" xfId="0" applyNumberFormat="1" applyFont="1"/>
    <xf numFmtId="177" fontId="19" fillId="0" borderId="0" xfId="0" applyNumberFormat="1" applyFont="1"/>
    <xf numFmtId="49" fontId="35" fillId="0" borderId="0" xfId="0" applyNumberFormat="1" applyFont="1"/>
    <xf numFmtId="0" fontId="19" fillId="0" borderId="0" xfId="0" applyFont="1" applyAlignment="1">
      <alignment shrinkToFit="1"/>
    </xf>
    <xf numFmtId="174" fontId="19" fillId="0" borderId="0" xfId="0" applyNumberFormat="1" applyFont="1" applyAlignment="1">
      <alignment shrinkToFit="1"/>
    </xf>
    <xf numFmtId="49" fontId="19" fillId="0" borderId="0" xfId="0" applyNumberFormat="1" applyFont="1" applyAlignment="1">
      <alignment shrinkToFit="1"/>
    </xf>
    <xf numFmtId="165" fontId="19" fillId="0" borderId="0" xfId="0" applyNumberFormat="1" applyFont="1" applyAlignment="1">
      <alignment shrinkToFit="1"/>
    </xf>
    <xf numFmtId="164" fontId="19" fillId="0" borderId="0" xfId="0" applyNumberFormat="1" applyFont="1" applyAlignment="1">
      <alignment shrinkToFit="1"/>
    </xf>
    <xf numFmtId="172" fontId="19" fillId="0" borderId="0" xfId="0" applyNumberFormat="1" applyFont="1" applyAlignment="1">
      <alignment shrinkToFit="1"/>
    </xf>
    <xf numFmtId="166" fontId="19" fillId="0" borderId="0" xfId="0" applyNumberFormat="1" applyFont="1" applyFill="1" applyAlignment="1">
      <alignment shrinkToFit="1"/>
    </xf>
    <xf numFmtId="166" fontId="19" fillId="0" borderId="0" xfId="0" applyNumberFormat="1" applyFont="1" applyAlignment="1">
      <alignment shrinkToFit="1"/>
    </xf>
    <xf numFmtId="4" fontId="19" fillId="0" borderId="0" xfId="0" applyNumberFormat="1" applyFont="1" applyAlignment="1">
      <alignment shrinkToFit="1"/>
    </xf>
    <xf numFmtId="168" fontId="19" fillId="0" borderId="0" xfId="0" applyNumberFormat="1" applyFont="1" applyAlignment="1">
      <alignment shrinkToFit="1"/>
    </xf>
    <xf numFmtId="171" fontId="19" fillId="0" borderId="0" xfId="0" applyNumberFormat="1" applyFont="1" applyAlignment="1">
      <alignment shrinkToFit="1"/>
    </xf>
    <xf numFmtId="175" fontId="19" fillId="0" borderId="0" xfId="0" applyNumberFormat="1" applyFont="1" applyAlignment="1">
      <alignment shrinkToFit="1"/>
    </xf>
    <xf numFmtId="167" fontId="19" fillId="0" borderId="0" xfId="0" applyNumberFormat="1" applyFont="1" applyAlignment="1">
      <alignment shrinkToFit="1"/>
    </xf>
    <xf numFmtId="0" fontId="19" fillId="0" borderId="0" xfId="0" applyNumberFormat="1" applyFont="1" applyAlignment="1">
      <alignment shrinkToFit="1"/>
    </xf>
    <xf numFmtId="0" fontId="19" fillId="0" borderId="0" xfId="0" applyNumberFormat="1" applyFont="1"/>
    <xf numFmtId="0" fontId="18" fillId="0" borderId="0" xfId="0" applyFont="1"/>
    <xf numFmtId="0" fontId="17" fillId="0" borderId="0" xfId="0" applyFont="1"/>
    <xf numFmtId="0" fontId="17" fillId="0" borderId="0" xfId="0" applyFont="1" applyAlignment="1">
      <alignment shrinkToFit="1"/>
    </xf>
    <xf numFmtId="174" fontId="17" fillId="0" borderId="0" xfId="0" applyNumberFormat="1" applyFont="1" applyAlignment="1">
      <alignment shrinkToFit="1"/>
    </xf>
    <xf numFmtId="165" fontId="17" fillId="0" borderId="0" xfId="0" applyNumberFormat="1" applyFont="1" applyAlignment="1">
      <alignment shrinkToFit="1"/>
    </xf>
    <xf numFmtId="164" fontId="17" fillId="0" borderId="0" xfId="0" applyNumberFormat="1" applyFont="1" applyAlignment="1">
      <alignment shrinkToFit="1"/>
    </xf>
    <xf numFmtId="172" fontId="17" fillId="0" borderId="0" xfId="0" applyNumberFormat="1" applyFont="1" applyAlignment="1">
      <alignment shrinkToFit="1"/>
    </xf>
    <xf numFmtId="166" fontId="17" fillId="0" borderId="0" xfId="0" applyNumberFormat="1" applyFont="1" applyFill="1" applyAlignment="1">
      <alignment shrinkToFit="1"/>
    </xf>
    <xf numFmtId="166" fontId="17" fillId="0" borderId="0" xfId="0" applyNumberFormat="1" applyFont="1" applyAlignment="1">
      <alignment shrinkToFit="1"/>
    </xf>
    <xf numFmtId="4" fontId="17" fillId="0" borderId="0" xfId="0" applyNumberFormat="1" applyFont="1" applyAlignment="1">
      <alignment shrinkToFit="1"/>
    </xf>
    <xf numFmtId="168" fontId="17" fillId="0" borderId="0" xfId="0" applyNumberFormat="1" applyFont="1" applyAlignment="1">
      <alignment shrinkToFit="1"/>
    </xf>
    <xf numFmtId="171" fontId="17" fillId="0" borderId="0" xfId="0" applyNumberFormat="1" applyFont="1" applyAlignment="1">
      <alignment shrinkToFit="1"/>
    </xf>
    <xf numFmtId="175" fontId="17" fillId="0" borderId="0" xfId="0" applyNumberFormat="1" applyFont="1" applyAlignment="1">
      <alignment shrinkToFit="1"/>
    </xf>
    <xf numFmtId="167" fontId="17" fillId="0" borderId="0" xfId="0" applyNumberFormat="1" applyFont="1" applyAlignment="1">
      <alignment shrinkToFit="1"/>
    </xf>
    <xf numFmtId="0" fontId="17" fillId="0" borderId="0" xfId="0" applyNumberFormat="1" applyFont="1" applyAlignment="1">
      <alignment shrinkToFit="1"/>
    </xf>
    <xf numFmtId="0" fontId="17" fillId="0" borderId="0" xfId="0" applyNumberFormat="1" applyFont="1"/>
    <xf numFmtId="49" fontId="17" fillId="0" borderId="0" xfId="0" applyNumberFormat="1" applyFont="1"/>
    <xf numFmtId="174" fontId="17" fillId="0" borderId="0" xfId="0" applyNumberFormat="1" applyFont="1"/>
    <xf numFmtId="177" fontId="17" fillId="0" borderId="0" xfId="0" applyNumberFormat="1" applyFont="1"/>
    <xf numFmtId="0" fontId="16" fillId="0" borderId="0" xfId="0" applyFont="1" applyAlignment="1">
      <alignment shrinkToFit="1"/>
    </xf>
    <xf numFmtId="174" fontId="16" fillId="0" borderId="0" xfId="0" applyNumberFormat="1" applyFont="1" applyAlignment="1">
      <alignment shrinkToFit="1"/>
    </xf>
    <xf numFmtId="165" fontId="16" fillId="0" borderId="0" xfId="0" applyNumberFormat="1" applyFont="1" applyAlignment="1">
      <alignment shrinkToFit="1"/>
    </xf>
    <xf numFmtId="164" fontId="16" fillId="0" borderId="0" xfId="0" applyNumberFormat="1" applyFont="1" applyAlignment="1">
      <alignment shrinkToFit="1"/>
    </xf>
    <xf numFmtId="172" fontId="16" fillId="0" borderId="0" xfId="0" applyNumberFormat="1" applyFont="1" applyAlignment="1">
      <alignment shrinkToFit="1"/>
    </xf>
    <xf numFmtId="166" fontId="16" fillId="0" borderId="0" xfId="0" applyNumberFormat="1" applyFont="1" applyFill="1" applyAlignment="1">
      <alignment shrinkToFit="1"/>
    </xf>
    <xf numFmtId="166" fontId="16" fillId="0" borderId="0" xfId="0" applyNumberFormat="1" applyFont="1" applyAlignment="1">
      <alignment shrinkToFit="1"/>
    </xf>
    <xf numFmtId="4" fontId="16" fillId="0" borderId="0" xfId="0" applyNumberFormat="1" applyFont="1" applyAlignment="1">
      <alignment shrinkToFit="1"/>
    </xf>
    <xf numFmtId="168" fontId="16" fillId="0" borderId="0" xfId="0" applyNumberFormat="1" applyFont="1" applyAlignment="1">
      <alignment shrinkToFit="1"/>
    </xf>
    <xf numFmtId="171" fontId="16" fillId="0" borderId="0" xfId="0" applyNumberFormat="1" applyFont="1" applyAlignment="1">
      <alignment shrinkToFit="1"/>
    </xf>
    <xf numFmtId="175" fontId="16" fillId="0" borderId="0" xfId="0" applyNumberFormat="1" applyFont="1" applyAlignment="1">
      <alignment shrinkToFit="1"/>
    </xf>
    <xf numFmtId="167" fontId="16" fillId="0" borderId="0" xfId="0" applyNumberFormat="1" applyFont="1" applyAlignment="1">
      <alignment shrinkToFit="1"/>
    </xf>
    <xf numFmtId="0" fontId="16" fillId="0" borderId="0" xfId="0" applyNumberFormat="1" applyFont="1" applyAlignment="1">
      <alignment shrinkToFit="1"/>
    </xf>
    <xf numFmtId="0" fontId="16" fillId="0" borderId="0" xfId="0" applyNumberFormat="1" applyFont="1"/>
    <xf numFmtId="0" fontId="15" fillId="0" borderId="0" xfId="0" applyFont="1"/>
    <xf numFmtId="0" fontId="14" fillId="0" borderId="0" xfId="0" applyFont="1"/>
    <xf numFmtId="49" fontId="13" fillId="0" borderId="0" xfId="0" applyNumberFormat="1" applyFont="1"/>
    <xf numFmtId="0" fontId="13" fillId="0" borderId="0" xfId="0" applyFont="1"/>
    <xf numFmtId="174" fontId="13" fillId="0" borderId="0" xfId="0" applyNumberFormat="1" applyFont="1"/>
    <xf numFmtId="177" fontId="13" fillId="0" borderId="0" xfId="0" applyNumberFormat="1" applyFont="1"/>
    <xf numFmtId="174" fontId="0" fillId="0" borderId="0" xfId="0" applyNumberFormat="1"/>
    <xf numFmtId="0" fontId="12" fillId="0" borderId="0" xfId="0" applyFont="1" applyAlignment="1">
      <alignment shrinkToFit="1"/>
    </xf>
    <xf numFmtId="174" fontId="12" fillId="0" borderId="0" xfId="0" applyNumberFormat="1" applyFont="1" applyAlignment="1">
      <alignment shrinkToFit="1"/>
    </xf>
    <xf numFmtId="165" fontId="12" fillId="0" borderId="0" xfId="0" applyNumberFormat="1" applyFont="1" applyAlignment="1">
      <alignment shrinkToFit="1"/>
    </xf>
    <xf numFmtId="164" fontId="12" fillId="0" borderId="0" xfId="0" applyNumberFormat="1" applyFont="1" applyAlignment="1">
      <alignment shrinkToFit="1"/>
    </xf>
    <xf numFmtId="172" fontId="12" fillId="0" borderId="0" xfId="0" applyNumberFormat="1" applyFont="1" applyAlignment="1">
      <alignment shrinkToFit="1"/>
    </xf>
    <xf numFmtId="166" fontId="12" fillId="0" borderId="0" xfId="0" applyNumberFormat="1" applyFont="1" applyAlignment="1">
      <alignment shrinkToFit="1"/>
    </xf>
    <xf numFmtId="4" fontId="12" fillId="0" borderId="0" xfId="0" applyNumberFormat="1" applyFont="1" applyAlignment="1">
      <alignment shrinkToFit="1"/>
    </xf>
    <xf numFmtId="168" fontId="12" fillId="0" borderId="0" xfId="0" applyNumberFormat="1" applyFont="1" applyAlignment="1">
      <alignment shrinkToFit="1"/>
    </xf>
    <xf numFmtId="171" fontId="12" fillId="0" borderId="0" xfId="0" applyNumberFormat="1" applyFont="1" applyAlignment="1">
      <alignment shrinkToFit="1"/>
    </xf>
    <xf numFmtId="166" fontId="12" fillId="0" borderId="0" xfId="0" applyNumberFormat="1" applyFont="1" applyFill="1" applyAlignment="1">
      <alignment shrinkToFit="1"/>
    </xf>
    <xf numFmtId="175" fontId="12" fillId="0" borderId="0" xfId="0" applyNumberFormat="1" applyFont="1" applyAlignment="1">
      <alignment shrinkToFit="1"/>
    </xf>
    <xf numFmtId="167" fontId="12" fillId="0" borderId="0" xfId="0" applyNumberFormat="1" applyFont="1" applyAlignment="1">
      <alignment shrinkToFit="1"/>
    </xf>
    <xf numFmtId="0" fontId="12" fillId="0" borderId="0" xfId="0" applyNumberFormat="1" applyFont="1" applyAlignment="1">
      <alignment shrinkToFit="1"/>
    </xf>
    <xf numFmtId="0" fontId="12" fillId="0" borderId="0" xfId="0" applyNumberFormat="1" applyFont="1"/>
    <xf numFmtId="49" fontId="11" fillId="0" borderId="0" xfId="0" applyNumberFormat="1" applyFont="1"/>
    <xf numFmtId="0" fontId="11" fillId="0" borderId="0" xfId="0" applyFont="1"/>
    <xf numFmtId="0" fontId="11" fillId="0" borderId="0" xfId="0" applyFont="1" applyAlignment="1">
      <alignment shrinkToFit="1"/>
    </xf>
    <xf numFmtId="174" fontId="11" fillId="0" borderId="0" xfId="0" applyNumberFormat="1" applyFont="1" applyAlignment="1">
      <alignment shrinkToFit="1"/>
    </xf>
    <xf numFmtId="165" fontId="11" fillId="0" borderId="0" xfId="0" applyNumberFormat="1" applyFont="1" applyAlignment="1">
      <alignment shrinkToFit="1"/>
    </xf>
    <xf numFmtId="164" fontId="11" fillId="0" borderId="0" xfId="0" applyNumberFormat="1" applyFont="1" applyAlignment="1">
      <alignment shrinkToFit="1"/>
    </xf>
    <xf numFmtId="172" fontId="11" fillId="0" borderId="0" xfId="0" applyNumberFormat="1" applyFont="1" applyAlignment="1">
      <alignment shrinkToFit="1"/>
    </xf>
    <xf numFmtId="166" fontId="11" fillId="0" borderId="0" xfId="0" applyNumberFormat="1" applyFont="1" applyFill="1" applyAlignment="1">
      <alignment shrinkToFit="1"/>
    </xf>
    <xf numFmtId="166" fontId="11" fillId="0" borderId="0" xfId="0" applyNumberFormat="1" applyFont="1" applyAlignment="1">
      <alignment shrinkToFit="1"/>
    </xf>
    <xf numFmtId="4" fontId="11" fillId="0" borderId="0" xfId="0" applyNumberFormat="1" applyFont="1" applyAlignment="1">
      <alignment shrinkToFit="1"/>
    </xf>
    <xf numFmtId="168" fontId="11" fillId="0" borderId="0" xfId="0" applyNumberFormat="1" applyFont="1" applyAlignment="1">
      <alignment shrinkToFit="1"/>
    </xf>
    <xf numFmtId="171" fontId="11" fillId="0" borderId="0" xfId="0" applyNumberFormat="1" applyFont="1" applyAlignment="1">
      <alignment shrinkToFit="1"/>
    </xf>
    <xf numFmtId="175" fontId="11" fillId="0" borderId="0" xfId="0" applyNumberFormat="1" applyFont="1" applyAlignment="1">
      <alignment shrinkToFit="1"/>
    </xf>
    <xf numFmtId="167" fontId="11" fillId="0" borderId="0" xfId="0" applyNumberFormat="1" applyFont="1" applyAlignment="1">
      <alignment shrinkToFit="1"/>
    </xf>
    <xf numFmtId="0" fontId="11" fillId="0" borderId="0" xfId="0" applyNumberFormat="1" applyFont="1" applyAlignment="1">
      <alignment shrinkToFit="1"/>
    </xf>
    <xf numFmtId="0" fontId="11" fillId="0" borderId="0" xfId="0" applyNumberFormat="1" applyFont="1"/>
    <xf numFmtId="0" fontId="10" fillId="0" borderId="0" xfId="0" applyFont="1" applyAlignment="1">
      <alignment shrinkToFit="1"/>
    </xf>
    <xf numFmtId="174" fontId="10" fillId="0" borderId="0" xfId="0" applyNumberFormat="1" applyFont="1" applyAlignment="1">
      <alignment shrinkToFit="1"/>
    </xf>
    <xf numFmtId="165" fontId="10" fillId="0" borderId="0" xfId="0" applyNumberFormat="1" applyFont="1" applyAlignment="1">
      <alignment shrinkToFit="1"/>
    </xf>
    <xf numFmtId="164" fontId="10" fillId="0" borderId="0" xfId="0" applyNumberFormat="1" applyFont="1" applyAlignment="1">
      <alignment shrinkToFit="1"/>
    </xf>
    <xf numFmtId="172" fontId="10" fillId="0" borderId="0" xfId="0" applyNumberFormat="1" applyFont="1" applyAlignment="1">
      <alignment shrinkToFit="1"/>
    </xf>
    <xf numFmtId="166" fontId="10" fillId="0" borderId="0" xfId="0" applyNumberFormat="1" applyFont="1" applyFill="1" applyAlignment="1">
      <alignment shrinkToFit="1"/>
    </xf>
    <xf numFmtId="166" fontId="10" fillId="0" borderId="0" xfId="0" applyNumberFormat="1" applyFont="1" applyAlignment="1">
      <alignment shrinkToFit="1"/>
    </xf>
    <xf numFmtId="4" fontId="10" fillId="0" borderId="0" xfId="0" applyNumberFormat="1" applyFont="1" applyAlignment="1">
      <alignment shrinkToFit="1"/>
    </xf>
    <xf numFmtId="168" fontId="10" fillId="0" borderId="0" xfId="0" applyNumberFormat="1" applyFont="1" applyAlignment="1">
      <alignment shrinkToFit="1"/>
    </xf>
    <xf numFmtId="171" fontId="10" fillId="0" borderId="0" xfId="0" applyNumberFormat="1" applyFont="1" applyAlignment="1">
      <alignment shrinkToFit="1"/>
    </xf>
    <xf numFmtId="175" fontId="10" fillId="0" borderId="0" xfId="0" applyNumberFormat="1" applyFont="1" applyAlignment="1">
      <alignment shrinkToFit="1"/>
    </xf>
    <xf numFmtId="167" fontId="10" fillId="0" borderId="0" xfId="0" applyNumberFormat="1" applyFont="1" applyAlignment="1">
      <alignment shrinkToFit="1"/>
    </xf>
    <xf numFmtId="0" fontId="10" fillId="0" borderId="0" xfId="0" applyNumberFormat="1" applyFont="1" applyAlignment="1">
      <alignment shrinkToFit="1"/>
    </xf>
    <xf numFmtId="0" fontId="10" fillId="0" borderId="0" xfId="0" applyNumberFormat="1" applyFont="1"/>
    <xf numFmtId="49" fontId="9" fillId="0" borderId="0" xfId="0" applyNumberFormat="1" applyFont="1"/>
    <xf numFmtId="0" fontId="9" fillId="0" borderId="0" xfId="0" applyFont="1"/>
    <xf numFmtId="174" fontId="9" fillId="0" borderId="0" xfId="0" applyNumberFormat="1" applyFont="1"/>
    <xf numFmtId="177" fontId="9" fillId="0" borderId="0" xfId="0" applyNumberFormat="1" applyFont="1"/>
    <xf numFmtId="0" fontId="8" fillId="0" borderId="0" xfId="0" applyFont="1" applyAlignment="1">
      <alignment shrinkToFit="1"/>
    </xf>
    <xf numFmtId="174" fontId="8" fillId="0" borderId="0" xfId="0" applyNumberFormat="1" applyFont="1" applyAlignment="1">
      <alignment shrinkToFit="1"/>
    </xf>
    <xf numFmtId="165" fontId="8" fillId="0" borderId="0" xfId="0" applyNumberFormat="1" applyFont="1" applyAlignment="1">
      <alignment shrinkToFit="1"/>
    </xf>
    <xf numFmtId="164" fontId="8" fillId="0" borderId="0" xfId="0" applyNumberFormat="1" applyFont="1" applyAlignment="1">
      <alignment shrinkToFit="1"/>
    </xf>
    <xf numFmtId="172" fontId="8" fillId="0" borderId="0" xfId="0" applyNumberFormat="1" applyFont="1" applyAlignment="1">
      <alignment shrinkToFit="1"/>
    </xf>
    <xf numFmtId="166" fontId="8" fillId="0" borderId="0" xfId="0" applyNumberFormat="1" applyFont="1" applyFill="1" applyAlignment="1">
      <alignment shrinkToFit="1"/>
    </xf>
    <xf numFmtId="166" fontId="8" fillId="0" borderId="0" xfId="0" applyNumberFormat="1" applyFont="1" applyAlignment="1">
      <alignment shrinkToFit="1"/>
    </xf>
    <xf numFmtId="4" fontId="8" fillId="0" borderId="0" xfId="0" applyNumberFormat="1" applyFont="1" applyAlignment="1">
      <alignment shrinkToFit="1"/>
    </xf>
    <xf numFmtId="168" fontId="8" fillId="0" borderId="0" xfId="0" applyNumberFormat="1" applyFont="1" applyAlignment="1">
      <alignment shrinkToFit="1"/>
    </xf>
    <xf numFmtId="171" fontId="8" fillId="0" borderId="0" xfId="0" applyNumberFormat="1" applyFont="1" applyAlignment="1">
      <alignment shrinkToFit="1"/>
    </xf>
    <xf numFmtId="175" fontId="8" fillId="0" borderId="0" xfId="0" applyNumberFormat="1" applyFont="1" applyAlignment="1">
      <alignment shrinkToFit="1"/>
    </xf>
    <xf numFmtId="167" fontId="8" fillId="0" borderId="0" xfId="0" applyNumberFormat="1" applyFont="1" applyAlignment="1">
      <alignment shrinkToFit="1"/>
    </xf>
    <xf numFmtId="0" fontId="8" fillId="0" borderId="0" xfId="0" applyNumberFormat="1" applyFont="1" applyAlignment="1">
      <alignment shrinkToFit="1"/>
    </xf>
    <xf numFmtId="0" fontId="8" fillId="0" borderId="0" xfId="0" applyNumberFormat="1" applyFont="1"/>
    <xf numFmtId="0" fontId="7" fillId="0" borderId="0" xfId="0" applyFont="1"/>
    <xf numFmtId="0" fontId="6" fillId="0" borderId="0" xfId="0" applyFont="1"/>
    <xf numFmtId="49" fontId="6" fillId="0" borderId="0" xfId="0" applyNumberFormat="1" applyFont="1"/>
    <xf numFmtId="0" fontId="5" fillId="0" borderId="0" xfId="0" applyFont="1"/>
    <xf numFmtId="0" fontId="4" fillId="0" borderId="0" xfId="0" applyFont="1"/>
    <xf numFmtId="0" fontId="3" fillId="0" borderId="0" xfId="0" applyFont="1"/>
    <xf numFmtId="49" fontId="2" fillId="0" borderId="0" xfId="0" applyNumberFormat="1" applyFont="1"/>
    <xf numFmtId="0" fontId="2" fillId="0" borderId="0" xfId="0" applyFont="1"/>
    <xf numFmtId="17" fontId="2" fillId="0" borderId="0" xfId="0" applyNumberFormat="1" applyFont="1"/>
    <xf numFmtId="174" fontId="2" fillId="0" borderId="0" xfId="0" applyNumberFormat="1" applyFont="1"/>
    <xf numFmtId="177" fontId="2" fillId="0" borderId="0" xfId="0" applyNumberFormat="1" applyFont="1"/>
    <xf numFmtId="0" fontId="2" fillId="0" borderId="0" xfId="0" applyFont="1" applyAlignment="1">
      <alignment shrinkToFit="1"/>
    </xf>
    <xf numFmtId="174" fontId="2" fillId="0" borderId="0" xfId="0" applyNumberFormat="1" applyFont="1" applyAlignment="1">
      <alignment shrinkToFit="1"/>
    </xf>
    <xf numFmtId="165" fontId="2" fillId="0" borderId="0" xfId="0" applyNumberFormat="1" applyFont="1" applyAlignment="1">
      <alignment shrinkToFit="1"/>
    </xf>
    <xf numFmtId="164" fontId="2" fillId="0" borderId="0" xfId="0" applyNumberFormat="1" applyFont="1" applyAlignment="1">
      <alignment shrinkToFit="1"/>
    </xf>
    <xf numFmtId="172" fontId="2" fillId="0" borderId="0" xfId="0" applyNumberFormat="1" applyFont="1" applyAlignment="1">
      <alignment shrinkToFit="1"/>
    </xf>
    <xf numFmtId="166" fontId="2" fillId="0" borderId="0" xfId="0" applyNumberFormat="1" applyFont="1" applyFill="1" applyAlignment="1">
      <alignment shrinkToFit="1"/>
    </xf>
    <xf numFmtId="166" fontId="2" fillId="0" borderId="0" xfId="0" applyNumberFormat="1" applyFont="1" applyAlignment="1">
      <alignment shrinkToFit="1"/>
    </xf>
    <xf numFmtId="4" fontId="2" fillId="0" borderId="0" xfId="0" applyNumberFormat="1" applyFont="1" applyAlignment="1">
      <alignment shrinkToFit="1"/>
    </xf>
    <xf numFmtId="168" fontId="2" fillId="0" borderId="0" xfId="0" applyNumberFormat="1" applyFont="1" applyAlignment="1">
      <alignment shrinkToFit="1"/>
    </xf>
    <xf numFmtId="171" fontId="2" fillId="0" borderId="0" xfId="0" applyNumberFormat="1" applyFont="1" applyAlignment="1">
      <alignment shrinkToFit="1"/>
    </xf>
    <xf numFmtId="175" fontId="2" fillId="0" borderId="0" xfId="0" applyNumberFormat="1" applyFont="1" applyAlignment="1">
      <alignment shrinkToFit="1"/>
    </xf>
    <xf numFmtId="167" fontId="2" fillId="0" borderId="0" xfId="0" applyNumberFormat="1" applyFont="1" applyAlignment="1">
      <alignment shrinkToFit="1"/>
    </xf>
    <xf numFmtId="0" fontId="2" fillId="0" borderId="0" xfId="0" applyNumberFormat="1" applyFont="1" applyAlignment="1">
      <alignment shrinkToFit="1"/>
    </xf>
    <xf numFmtId="0" fontId="2" fillId="0" borderId="0" xfId="0" applyNumberFormat="1" applyFont="1"/>
    <xf numFmtId="0" fontId="1" fillId="0" borderId="0" xfId="0" applyFont="1"/>
    <xf numFmtId="0" fontId="1" fillId="0" borderId="0" xfId="0" quotePrefix="1" applyNumberFormat="1" applyFont="1"/>
    <xf numFmtId="0" fontId="1" fillId="0" borderId="0" xfId="0" applyFont="1" applyAlignment="1">
      <alignment shrinkToFit="1"/>
    </xf>
    <xf numFmtId="0" fontId="0" fillId="0" borderId="0" xfId="0" applyAlignment="1">
      <alignment horizontal="left"/>
    </xf>
    <xf numFmtId="0" fontId="0" fillId="0" borderId="0" xfId="0" applyAlignment="1"/>
  </cellXfs>
  <cellStyles count="1">
    <cellStyle name="Normal" xfId="0" builtinId="0"/>
  </cellStyles>
  <dxfs count="99">
    <dxf>
      <numFmt numFmtId="19" formatCode="yyyy/mm/dd"/>
    </dxf>
    <dxf>
      <font>
        <b val="0"/>
        <i val="0"/>
        <strike val="0"/>
        <outline val="0"/>
        <shadow val="0"/>
        <u val="none"/>
        <vertAlign val="baseline"/>
        <sz val="8"/>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right style="thin">
          <color theme="1"/>
        </right>
        <top style="thin">
          <color theme="1"/>
        </top>
        <bottom style="thin">
          <color theme="1"/>
        </bottom>
        <vertical/>
        <horizontal/>
      </border>
    </dxf>
    <dxf>
      <border outline="0">
        <left style="thin">
          <color theme="1"/>
        </left>
      </border>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numFmt numFmtId="178" formatCode="m/d/yyyy"/>
    </dxf>
    <dxf>
      <alignment horizontal="general" vertical="center" textRotation="0" wrapText="0" indent="0" justifyLastLine="0" shrinkToFit="0" readingOrder="0"/>
    </dxf>
    <dxf>
      <font>
        <color rgb="FF9C0006"/>
      </font>
      <fill>
        <patternFill>
          <bgColor theme="7" tint="0.79998168889431442"/>
        </patternFill>
      </fill>
    </dxf>
    <dxf>
      <font>
        <color rgb="FF9C0006"/>
      </font>
      <fill>
        <patternFill>
          <bgColor rgb="FFFFC7CE"/>
        </patternFill>
      </fill>
    </dxf>
    <dxf>
      <numFmt numFmtId="0" formatCode="General"/>
    </dxf>
    <dxf>
      <numFmt numFmtId="174" formatCode="yyyy/mm/dd;@"/>
    </dxf>
    <dxf>
      <font>
        <color theme="0"/>
      </font>
      <fill>
        <patternFill>
          <bgColor rgb="FFC00000"/>
        </patternFill>
      </fill>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numFmt numFmtId="177" formatCode="mmm\-yy"/>
    </dxf>
    <dxf>
      <font>
        <b val="0"/>
        <i val="0"/>
        <strike val="0"/>
        <outline val="0"/>
        <shadow val="0"/>
        <u val="none"/>
        <vertAlign val="baseline"/>
        <sz val="11"/>
        <color theme="1"/>
        <name val="Calibri"/>
        <family val="2"/>
        <scheme val="minor"/>
      </font>
      <numFmt numFmtId="174" formatCode="yyyy/mm/dd;@"/>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numFmt numFmtId="30" formatCode="@"/>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rgb="FF9C0006"/>
      </font>
      <fill>
        <patternFill>
          <bgColor rgb="FFFFC7CE"/>
        </patternFill>
      </fill>
    </dxf>
    <dxf>
      <font>
        <strike val="0"/>
        <outline val="0"/>
        <shadow val="0"/>
        <u val="none"/>
        <vertAlign val="baseline"/>
        <sz val="11"/>
        <name val="Calibri"/>
        <family val="2"/>
        <scheme val="minor"/>
      </font>
      <numFmt numFmtId="0" formatCode="General"/>
    </dxf>
    <dxf>
      <font>
        <strike val="0"/>
        <outline val="0"/>
        <shadow val="0"/>
        <u val="none"/>
        <vertAlign val="baseline"/>
        <sz val="11"/>
        <name val="Calibri"/>
        <family val="2"/>
        <scheme val="minor"/>
      </font>
      <numFmt numFmtId="0" formatCode="General"/>
      <alignment horizontal="general" vertical="bottom" textRotation="0" wrapText="0" indent="0" justifyLastLine="0" shrinkToFit="1" readingOrder="0"/>
    </dxf>
    <dxf>
      <font>
        <strike val="0"/>
        <outline val="0"/>
        <shadow val="0"/>
        <u val="none"/>
        <vertAlign val="baseline"/>
        <sz val="11"/>
        <name val="Calibri"/>
        <family val="2"/>
        <scheme val="minor"/>
      </font>
      <numFmt numFmtId="0" formatCode="General"/>
      <alignment horizontal="general" vertical="bottom" textRotation="0" wrapText="0" indent="0" justifyLastLine="0" shrinkToFit="1" readingOrder="0"/>
    </dxf>
    <dxf>
      <font>
        <strike val="0"/>
        <outline val="0"/>
        <shadow val="0"/>
        <u val="none"/>
        <vertAlign val="baseline"/>
        <sz val="11"/>
        <name val="Calibri"/>
        <family val="2"/>
        <scheme val="minor"/>
      </font>
      <numFmt numFmtId="167" formatCode="[Color10]\+#,##0.00;[Red]\-#,##0.00;#"/>
      <alignment horizontal="general" vertical="bottom" textRotation="0" wrapText="0" indent="0" justifyLastLine="0" shrinkToFit="1" readingOrder="0"/>
    </dxf>
    <dxf>
      <font>
        <strike val="0"/>
        <outline val="0"/>
        <shadow val="0"/>
        <u val="none"/>
        <vertAlign val="baseline"/>
        <sz val="11"/>
        <name val="Calibri"/>
        <family val="2"/>
        <scheme val="minor"/>
      </font>
      <numFmt numFmtId="175" formatCode="[Color10]\+#,###.####;[Red]\-#,###.####;#"/>
      <alignment horizontal="general" vertical="bottom" textRotation="0" wrapText="0" indent="0" justifyLastLine="0" shrinkToFit="1" readingOrder="0"/>
    </dxf>
    <dxf>
      <font>
        <b val="0"/>
        <i val="0"/>
        <strike val="0"/>
        <condense val="0"/>
        <extend val="0"/>
        <outline val="0"/>
        <shadow val="0"/>
        <u val="none"/>
        <vertAlign val="baseline"/>
        <sz val="11"/>
        <color theme="7" tint="-0.249977111117893"/>
        <name val="Calibri"/>
        <family val="2"/>
        <scheme val="minor"/>
      </font>
      <numFmt numFmtId="176" formatCode="[Color50]\+#,##0.00;[Red]\(#,##0.00\);#"/>
      <alignment horizontal="general" vertical="bottom" textRotation="0" wrapText="0" indent="0" justifyLastLine="0" shrinkToFit="1" readingOrder="0"/>
    </dxf>
    <dxf>
      <font>
        <b val="0"/>
        <i val="0"/>
        <strike val="0"/>
        <condense val="0"/>
        <extend val="0"/>
        <outline val="0"/>
        <shadow val="0"/>
        <u val="none"/>
        <vertAlign val="baseline"/>
        <sz val="11"/>
        <color theme="7" tint="-0.249977111117893"/>
        <name val="Calibri"/>
        <family val="2"/>
        <scheme val="minor"/>
      </font>
      <numFmt numFmtId="166" formatCode="[Color50]\+#,##0.00;[Red]\-#,##0.00;#"/>
      <alignment horizontal="general" vertical="bottom" textRotation="0" wrapText="0" indent="0" justifyLastLine="0" shrinkToFit="1" readingOrder="0"/>
    </dxf>
    <dxf>
      <font>
        <strike val="0"/>
        <outline val="0"/>
        <shadow val="0"/>
        <u val="none"/>
        <vertAlign val="baseline"/>
        <sz val="11"/>
        <color theme="7" tint="-0.249977111117893"/>
        <name val="Calibri"/>
        <family val="2"/>
        <scheme val="minor"/>
      </font>
      <alignment horizontal="general" vertical="bottom" textRotation="0" wrapText="0" indent="0" justifyLastLine="0" shrinkToFit="1" readingOrder="0"/>
    </dxf>
    <dxf>
      <font>
        <strike val="0"/>
        <outline val="0"/>
        <shadow val="0"/>
        <u val="none"/>
        <vertAlign val="baseline"/>
        <sz val="11"/>
        <name val="Calibri"/>
        <family val="2"/>
        <scheme val="minor"/>
      </font>
      <numFmt numFmtId="171" formatCode="[Color10]#,###.####;[Red]\(#,###.####\);#"/>
      <alignment horizontal="general" vertical="bottom" textRotation="0" wrapText="0" indent="0" justifyLastLine="0" shrinkToFit="1" readingOrder="0"/>
    </dxf>
    <dxf>
      <font>
        <strike val="0"/>
        <outline val="0"/>
        <shadow val="0"/>
        <u val="none"/>
        <vertAlign val="baseline"/>
        <sz val="11"/>
        <name val="Calibri"/>
        <family val="2"/>
        <scheme val="minor"/>
      </font>
      <numFmt numFmtId="168" formatCode="[Color10]#,###.####;[Red]\-#,###.####;#"/>
      <alignment horizontal="general" vertical="bottom" textRotation="0" wrapText="0" indent="0" justifyLastLine="0" shrinkToFit="1" readingOrder="0"/>
    </dxf>
    <dxf>
      <font>
        <strike val="0"/>
        <outline val="0"/>
        <shadow val="0"/>
        <u val="none"/>
        <vertAlign val="baseline"/>
        <sz val="11"/>
        <name val="Calibri"/>
        <family val="2"/>
        <scheme val="minor"/>
      </font>
      <numFmt numFmtId="4" formatCode="#,##0.00"/>
      <alignment horizontal="general" vertical="bottom" textRotation="0" wrapText="0" indent="0" justifyLastLine="0" shrinkToFit="1" readingOrder="0"/>
    </dxf>
    <dxf>
      <font>
        <strike val="0"/>
        <outline val="0"/>
        <shadow val="0"/>
        <u val="none"/>
        <vertAlign val="baseline"/>
        <sz val="11"/>
        <name val="Calibri"/>
        <family val="2"/>
        <scheme val="minor"/>
      </font>
      <numFmt numFmtId="166" formatCode="[Color50]\+#,##0.00;[Red]\-#,##0.00;#"/>
      <alignment horizontal="general" vertical="bottom" textRotation="0" wrapText="0" indent="0" justifyLastLine="0" shrinkToFit="1" readingOrder="0"/>
    </dxf>
    <dxf>
      <font>
        <strike val="0"/>
        <outline val="0"/>
        <shadow val="0"/>
        <u val="none"/>
        <vertAlign val="baseline"/>
        <sz val="11"/>
        <name val="Calibri"/>
        <family val="2"/>
        <scheme val="minor"/>
      </font>
      <numFmt numFmtId="166" formatCode="[Color50]\+#,##0.00;[Red]\-#,##0.00;#"/>
      <fill>
        <patternFill patternType="none">
          <fgColor indexed="64"/>
          <bgColor auto="1"/>
        </patternFill>
      </fill>
      <alignment horizontal="general" vertical="bottom" textRotation="0" wrapText="0" indent="0" justifyLastLine="0" shrinkToFit="1" readingOrder="0"/>
    </dxf>
    <dxf>
      <font>
        <b val="0"/>
        <i val="0"/>
        <strike val="0"/>
        <condense val="0"/>
        <extend val="0"/>
        <outline val="0"/>
        <shadow val="0"/>
        <u val="none"/>
        <vertAlign val="baseline"/>
        <sz val="11"/>
        <color theme="0" tint="-0.499984740745262"/>
        <name val="Calibri"/>
        <family val="2"/>
        <scheme val="minor"/>
      </font>
      <numFmt numFmtId="0" formatCode="General"/>
      <fill>
        <patternFill patternType="none">
          <fgColor indexed="64"/>
          <bgColor auto="1"/>
        </patternFill>
      </fill>
    </dxf>
    <dxf>
      <font>
        <b val="0"/>
        <i/>
        <strike val="0"/>
        <outline val="0"/>
        <shadow val="0"/>
        <u val="none"/>
        <vertAlign val="baseline"/>
        <sz val="8"/>
        <color theme="0" tint="-0.499984740745262"/>
        <name val="Calibri"/>
        <family val="2"/>
        <scheme val="minor"/>
      </font>
    </dxf>
    <dxf>
      <font>
        <strike val="0"/>
        <outline val="0"/>
        <shadow val="0"/>
        <u val="none"/>
        <vertAlign val="baseline"/>
        <sz val="11"/>
        <name val="Calibri"/>
        <family val="2"/>
        <scheme val="minor"/>
      </font>
      <numFmt numFmtId="172" formatCode="&quot;$&quot;#,##0.00"/>
      <alignment horizontal="general" vertical="bottom" textRotation="0" wrapText="0" indent="0" justifyLastLine="0" shrinkToFit="1" readingOrder="0"/>
    </dxf>
    <dxf>
      <font>
        <b val="0"/>
        <i val="0"/>
        <strike val="0"/>
        <condense val="0"/>
        <extend val="0"/>
        <outline val="0"/>
        <shadow val="0"/>
        <u val="none"/>
        <vertAlign val="baseline"/>
        <sz val="11"/>
        <color theme="1"/>
        <name val="Calibri"/>
        <family val="2"/>
        <scheme val="minor"/>
      </font>
      <numFmt numFmtId="165" formatCode="#,##0.0###;[Red]\-#,##0.0###;#"/>
      <alignment horizontal="general" vertical="bottom" textRotation="0" wrapText="0" indent="0" justifyLastLine="0" shrinkToFit="1" readingOrder="0"/>
    </dxf>
    <dxf>
      <font>
        <strike val="0"/>
        <outline val="0"/>
        <shadow val="0"/>
        <u val="none"/>
        <vertAlign val="baseline"/>
        <sz val="11"/>
        <name val="Calibri"/>
        <family val="2"/>
        <scheme val="minor"/>
      </font>
      <numFmt numFmtId="165" formatCode="#,##0.0###;[Red]\-#,##0.0###;#"/>
      <alignment horizontal="general" vertical="bottom" textRotation="0" wrapText="0" indent="0" justifyLastLine="0" shrinkToFit="1" readingOrder="0"/>
    </dxf>
    <dxf>
      <font>
        <strike val="0"/>
        <outline val="0"/>
        <shadow val="0"/>
        <u val="none"/>
        <vertAlign val="baseline"/>
        <sz val="11"/>
        <name val="Calibri"/>
        <family val="2"/>
        <scheme val="minor"/>
      </font>
      <numFmt numFmtId="164" formatCode="#,##0.00###;[Red]\-#,##0.00###;#"/>
      <alignment horizontal="general" vertical="bottom" textRotation="0" wrapText="0" indent="0" justifyLastLine="0" shrinkToFit="1" readingOrder="0"/>
    </dxf>
    <dxf>
      <font>
        <strike val="0"/>
        <outline val="0"/>
        <shadow val="0"/>
        <u val="none"/>
        <vertAlign val="baseline"/>
        <sz val="11"/>
        <name val="Calibri"/>
        <family val="2"/>
        <scheme val="minor"/>
      </font>
      <numFmt numFmtId="165" formatCode="#,##0.0###;[Red]\-#,##0.0###;#"/>
      <alignment horizontal="general" vertical="bottom" textRotation="0" wrapText="0" indent="0" justifyLastLine="0" shrinkToFit="1" readingOrder="0"/>
    </dxf>
    <dxf>
      <font>
        <strike val="0"/>
        <outline val="0"/>
        <shadow val="0"/>
        <u val="none"/>
        <vertAlign val="baseline"/>
        <sz val="11"/>
        <name val="Calibri"/>
        <family val="2"/>
        <scheme val="minor"/>
      </font>
      <alignment horizontal="general" vertical="bottom" textRotation="0" wrapText="0" indent="0" justifyLastLine="0" shrinkToFit="1"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1" readingOrder="0"/>
    </dxf>
    <dxf>
      <font>
        <strike val="0"/>
        <outline val="0"/>
        <shadow val="0"/>
        <u val="none"/>
        <vertAlign val="baseline"/>
        <sz val="11"/>
        <name val="Calibri"/>
        <family val="2"/>
        <scheme val="minor"/>
      </font>
      <alignment horizontal="general" vertical="bottom" textRotation="0" wrapText="0" indent="0" justifyLastLine="0" shrinkToFit="1" readingOrder="0"/>
    </dxf>
    <dxf>
      <font>
        <strike val="0"/>
        <outline val="0"/>
        <shadow val="0"/>
        <u val="none"/>
        <vertAlign val="baseline"/>
        <sz val="11"/>
        <name val="Calibri"/>
        <family val="2"/>
        <scheme val="minor"/>
      </font>
      <numFmt numFmtId="174" formatCode="yyyy/mm/dd;@"/>
      <alignment horizontal="general" vertical="bottom" textRotation="0" wrapText="0" indent="0" justifyLastLine="0" shrinkToFit="1" readingOrder="0"/>
    </dxf>
    <dxf>
      <font>
        <strike val="0"/>
        <outline val="0"/>
        <shadow val="0"/>
        <u val="none"/>
        <vertAlign val="baseline"/>
        <sz val="11"/>
        <name val="Calibri"/>
        <family val="2"/>
        <scheme val="minor"/>
      </font>
      <alignment horizontal="general" vertical="bottom" textRotation="0" wrapText="0" indent="0" justifyLastLine="0" shrinkToFit="1"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wrapText="0" indent="0" justifyLastLine="0" shrinkToFit="0" readingOrder="0"/>
    </dxf>
    <dxf>
      <font>
        <b val="0"/>
        <i/>
        <color theme="0" tint="-0.24994659260841701"/>
      </font>
    </dxf>
    <dxf>
      <font>
        <b val="0"/>
        <i/>
        <color theme="0" tint="-0.24994659260841701"/>
      </font>
    </dxf>
    <dxf>
      <font>
        <color theme="0"/>
      </font>
      <fill>
        <patternFill>
          <bgColor rgb="FFFF7E7E"/>
        </patternFill>
      </fill>
    </dxf>
    <dxf>
      <font>
        <color theme="0"/>
      </font>
      <fill>
        <patternFill>
          <bgColor rgb="FFFF7E7E"/>
        </patternFill>
      </fill>
    </dxf>
    <dxf>
      <font>
        <color theme="0"/>
      </font>
      <fill>
        <patternFill>
          <bgColor rgb="FFFF7E7E"/>
        </patternFill>
      </fill>
      <border>
        <left style="thin">
          <color auto="1"/>
        </left>
        <right style="thin">
          <color auto="1"/>
        </right>
        <top style="thin">
          <color auto="1"/>
        </top>
        <bottom style="thin">
          <color auto="1"/>
        </bottom>
        <vertical/>
        <horizontal/>
      </border>
    </dxf>
    <dxf>
      <font>
        <b val="0"/>
        <i val="0"/>
        <color theme="0" tint="-0.499984740745262"/>
      </font>
    </dxf>
    <dxf>
      <font>
        <b val="0"/>
        <i/>
        <color theme="0" tint="-0.24994659260841701"/>
      </font>
    </dxf>
    <dxf>
      <font>
        <b val="0"/>
        <i/>
        <color theme="5"/>
      </font>
      <fill>
        <patternFill>
          <bgColor theme="7" tint="0.79998168889431442"/>
        </patternFill>
      </fill>
    </dxf>
    <dxf>
      <font>
        <b val="0"/>
        <i/>
        <color theme="5" tint="-0.24994659260841701"/>
      </font>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4506668294322"/>
        </left>
        <right style="thin">
          <color theme="4" tint="0.39994506668294322"/>
        </right>
        <top style="thin">
          <color theme="4" tint="0.39994506668294322"/>
        </top>
        <bottom style="thin">
          <color theme="4" tint="0.39994506668294322"/>
        </bottom>
        <vertical style="thin">
          <color theme="4" tint="0.39994506668294322"/>
        </vertical>
        <horizontal style="thin">
          <color theme="4" tint="0.39994506668294322"/>
        </horizontal>
      </border>
    </dxf>
  </dxfs>
  <tableStyles count="1" defaultTableStyle="TableStyleMedium2" defaultPivotStyle="PivotStyleLight16">
    <tableStyle name="BuleMedGridLine" pivot="0" count="7" xr9:uid="{00000000-0011-0000-FFFF-FFFF00000000}">
      <tableStyleElement type="wholeTable" dxfId="98"/>
      <tableStyleElement type="headerRow" dxfId="97"/>
      <tableStyleElement type="totalRow" dxfId="96"/>
      <tableStyleElement type="firstColumn" dxfId="95"/>
      <tableStyleElement type="lastColumn" dxfId="94"/>
      <tableStyleElement type="firstRowStripe" dxfId="93"/>
      <tableStyleElement type="firstColumnStripe" dxfId="92"/>
    </tableStyle>
  </tableStyles>
  <colors>
    <mruColors>
      <color rgb="FFFF7E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openxmlformats.org/officeDocument/2006/relationships/customXml" Target="../customXml/item27.xml"/><Relationship Id="rId21" Type="http://schemas.openxmlformats.org/officeDocument/2006/relationships/customXml" Target="../customXml/item9.xml"/><Relationship Id="rId34" Type="http://schemas.openxmlformats.org/officeDocument/2006/relationships/customXml" Target="../customXml/item22.xml"/><Relationship Id="rId42" Type="http://schemas.openxmlformats.org/officeDocument/2006/relationships/customXml" Target="../customXml/item30.xml"/><Relationship Id="rId47" Type="http://schemas.openxmlformats.org/officeDocument/2006/relationships/customXml" Target="../customXml/item35.xml"/><Relationship Id="rId50" Type="http://schemas.openxmlformats.org/officeDocument/2006/relationships/customXml" Target="../customXml/item3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ustomXml" Target="../customXml/item4.xml"/><Relationship Id="rId29" Type="http://schemas.openxmlformats.org/officeDocument/2006/relationships/customXml" Target="../customXml/item17.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37" Type="http://schemas.openxmlformats.org/officeDocument/2006/relationships/customXml" Target="../customXml/item25.xml"/><Relationship Id="rId40" Type="http://schemas.openxmlformats.org/officeDocument/2006/relationships/customXml" Target="../customXml/item28.xml"/><Relationship Id="rId45" Type="http://schemas.openxmlformats.org/officeDocument/2006/relationships/customXml" Target="../customXml/item33.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49" Type="http://schemas.openxmlformats.org/officeDocument/2006/relationships/customXml" Target="../customXml/item37.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4"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43" Type="http://schemas.openxmlformats.org/officeDocument/2006/relationships/customXml" Target="../customXml/item31.xml"/><Relationship Id="rId48" Type="http://schemas.openxmlformats.org/officeDocument/2006/relationships/customXml" Target="../customXml/item36.xml"/><Relationship Id="rId8" Type="http://schemas.openxmlformats.org/officeDocument/2006/relationships/worksheet" Target="worksheets/sheet8.xml"/><Relationship Id="rId51" Type="http://schemas.openxmlformats.org/officeDocument/2006/relationships/customXml" Target="../customXml/item39.xml"/><Relationship Id="rId3" Type="http://schemas.openxmlformats.org/officeDocument/2006/relationships/worksheet" Target="worksheets/sheet3.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38" Type="http://schemas.openxmlformats.org/officeDocument/2006/relationships/customXml" Target="../customXml/item26.xml"/><Relationship Id="rId46" Type="http://schemas.openxmlformats.org/officeDocument/2006/relationships/customXml" Target="../customXml/item34.xml"/><Relationship Id="rId20" Type="http://schemas.openxmlformats.org/officeDocument/2006/relationships/customXml" Target="../customXml/item8.xml"/><Relationship Id="rId41"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ransactions" displayName="Transactions" ref="A1:Y1894" totalsRowShown="0" headerRowDxfId="78" dataDxfId="77">
  <autoFilter ref="A1:Y1894" xr:uid="{00000000-0009-0000-0100-000007000000}"/>
  <tableColumns count="25">
    <tableColumn id="1" xr3:uid="{00000000-0010-0000-0000-000001000000}" name="Account" dataDxfId="76"/>
    <tableColumn id="2" xr3:uid="{00000000-0010-0000-0000-000002000000}" name="Date" dataDxfId="75"/>
    <tableColumn id="3" xr3:uid="{00000000-0010-0000-0000-000003000000}" name="TransType" dataDxfId="74"/>
    <tableColumn id="10" xr3:uid="{00000000-0010-0000-0000-00000A000000}" name="SubTransType" dataDxfId="73"/>
    <tableColumn id="4" xr3:uid="{00000000-0010-0000-0000-000004000000}" name="Symbol" dataDxfId="72"/>
    <tableColumn id="6" xr3:uid="{00000000-0010-0000-0000-000006000000}" name="Qty" dataDxfId="71"/>
    <tableColumn id="7" xr3:uid="{00000000-0010-0000-0000-000007000000}" name="Price" dataDxfId="70"/>
    <tableColumn id="8" xr3:uid="{00000000-0010-0000-0000-000008000000}" name="Fee" dataDxfId="69"/>
    <tableColumn id="22" xr3:uid="{00000000-0010-0000-0000-000016000000}" name="AccruedInterest" dataDxfId="68"/>
    <tableColumn id="9" xr3:uid="{00000000-0010-0000-0000-000009000000}" name="Amount" dataDxfId="67"/>
    <tableColumn id="19" xr3:uid="{00000000-0010-0000-0000-000013000000}" name="Comment" dataDxfId="66"/>
    <tableColumn id="21" xr3:uid="{00000000-0010-0000-0000-000015000000}" name="TTR" dataDxfId="65">
      <calculatedColumnFormula>IF(ISNA(MATCH(Transactions[[#This Row],[TransType]],TransTypes[TransType],0)),1,MATCH(Transactions[[#This Row],[TransType]],TransTypes[TransType],0))</calculatedColumnFormula>
    </tableColumn>
    <tableColumn id="11" xr3:uid="{00000000-0010-0000-0000-00000B000000}" name="OrigCashImpact" dataDxfId="64">
      <calculatedColumnFormula>IF( AND( INDEX(TransTypes[],Transactions[[#This Row],[TTR]],TT_COL_GLFlag)=1, INDEX(TransTypes[],Transactions[[#This Row],[TTR]],TT_COL_LONGORSHORT)="S" ),
      Transactions[[#This Row],[PL]],
      IF(INDEX(TransTypes[],Transactions[[#This Row],[TTR]],TT_COL_LONGORSHORT)="S",0,Transactions[[#This Row],[CalCashImpact]])
)</calculatedColumnFormula>
    </tableColumn>
    <tableColumn id="12" xr3:uid="{00000000-0010-0000-0000-00000C000000}" name="BaseCashImpact" dataDxfId="63">
      <calculatedColumnFormula>IF(VLOOKUP(Transactions[[#This Row],[Symbol]],Symbols[],COLUMN(Symbols[Currency])-COLUMN(Symbols[])+1,FALSE)=
       VLOOKUP(Transactions[[#This Row],[Account]],Accounts[],COLUMN(Accounts[Currency])-COLUMN(Accounts[])+1,FALSE),
     Transactions[[#This Row],[OrigCashImpact]],
     0
)</calculatedColumnFormula>
    </tableColumn>
    <tableColumn id="13" xr3:uid="{00000000-0010-0000-0000-00000D000000}" name="BaseCashBalance" dataDxfId="62">
      <calculatedColumnFormula>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calculatedColumnFormula>
    </tableColumn>
    <tableColumn id="14" xr3:uid="{00000000-0010-0000-0000-00000E000000}" name="QtyChange" dataDxfId="61">
      <calculatedColumnFormula>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calculatedColumnFormula>
    </tableColumn>
    <tableColumn id="15" xr3:uid="{00000000-0010-0000-0000-00000F000000}" name="QtyHeld" dataDxfId="60">
      <calculatedColumnFormula>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calculatedColumnFormula>
    </tableColumn>
    <tableColumn id="16" xr3:uid="{00000000-0010-0000-0000-000010000000}" name="TransID" dataDxfId="59">
      <calculatedColumnFormula>ROW()</calculatedColumnFormula>
    </tableColumn>
    <tableColumn id="23" xr3:uid="{00000000-0010-0000-0000-000017000000}" name="CostImpact" dataDxfId="58">
      <calculatedColumnFormula>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calculatedColumnFormula>
    </tableColumn>
    <tableColumn id="24" xr3:uid="{00000000-0010-0000-0000-000018000000}" name="CostBasis" dataDxfId="57">
      <calculatedColumnFormula>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calculatedColumnFormula>
    </tableColumn>
    <tableColumn id="17" xr3:uid="{00000000-0010-0000-0000-000011000000}" name="QHBC" dataDxfId="56">
      <calculatedColumnFormula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calculatedColumnFormula>
    </tableColumn>
    <tableColumn id="18" xr3:uid="{00000000-0010-0000-0000-000012000000}" name="PL" dataDxfId="55">
      <calculatedColumnFormula>IF(INDEX(TransTypes[],Transactions[[#This Row],[TTR]],TT_COL_GLFlag)=1,Transactions[[#This Row],[CalCashImpact]]+Transactions[[#This Row],[CostImpact]],0)</calculatedColumnFormula>
    </tableColumn>
    <tableColumn id="26" xr3:uid="{00000000-0010-0000-0000-00001A000000}" name="CalCashImpact" dataDxfId="54">
      <calculatedColumnFormula>Transactions[[#This Row],[Amount]]*INDEX(TransTypes[],Transactions[[#This Row],[TTR]],TT_COL_AmntSign)</calculatedColumnFormula>
    </tableColumn>
    <tableColumn id="28" xr3:uid="{00000000-0010-0000-0000-00001C000000}" name="MarginCashImpact" dataDxfId="53">
      <calculatedColumnFormula>IF(INDEX(TransTypes[],Transactions[[#This Row],[TTR]],TT_COL_LONGORSHORT)="S",
      IF( OR(INDEX(TransTypes[],Transactions[[#This Row],[TTR]],TT_COL_GLFlag)=1, INDEX(TransTypes[], Transactions[[#This Row],[TTR]], TT_COL_ShareTransferFlag)=1),
            Transactions[[#This Row],[CostImpact]]*-1,
            Transactions[[#This Row],[CalCashImpact]]
      ),
     0
)</calculatedColumnFormula>
    </tableColumn>
    <tableColumn id="5" xr3:uid="{00000000-0010-0000-0000-000005000000}" name="Currency" dataDxfId="52">
      <calculatedColumnFormula>VLOOKUP(Transactions[[#This Row],[Symbol]],Symbols[], COLUMN(Symbols[Currency])-COLUMN(Symbols[])+1,FALSE)</calculatedColumnFormula>
    </tableColumn>
  </tableColumns>
  <tableStyleInfo name="BuleMedGridLi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Benchmarks" displayName="Benchmarks" ref="H1:J2" totalsRowShown="0">
  <autoFilter ref="H1:J2" xr:uid="{00000000-0009-0000-0100-00000B000000}">
    <filterColumn colId="0" hiddenButton="1"/>
    <filterColumn colId="1" hiddenButton="1"/>
    <filterColumn colId="2" hiddenButton="1"/>
  </autoFilter>
  <tableColumns count="3">
    <tableColumn id="1" xr3:uid="{00000000-0010-0000-0800-000001000000}" name="BenchMark1"/>
    <tableColumn id="2" xr3:uid="{00000000-0010-0000-0800-000002000000}" name="Benchmark2"/>
    <tableColumn id="3" xr3:uid="{00000000-0010-0000-0800-000003000000}" name="BenchMark3"/>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9000000}" name="TransTypes" displayName="TransTypes" ref="A3:V25" totalsRowShown="0">
  <autoFilter ref="A3:V25" xr:uid="{00000000-0009-0000-0100-000006000000}"/>
  <tableColumns count="22">
    <tableColumn id="1" xr3:uid="{00000000-0010-0000-0900-000001000000}" name="TransType"/>
    <tableColumn id="2" xr3:uid="{00000000-0010-0000-0900-000002000000}" name="Description" dataDxfId="1"/>
    <tableColumn id="3" xr3:uid="{00000000-0010-0000-0900-000003000000}" name="LongOrShort"/>
    <tableColumn id="4" xr3:uid="{00000000-0010-0000-0900-000004000000}" name="BookValueSign"/>
    <tableColumn id="5" xr3:uid="{00000000-0010-0000-0900-000005000000}" name="IgonreQty"/>
    <tableColumn id="6" xr3:uid="{00000000-0010-0000-0900-000006000000}" name="FeeSign"/>
    <tableColumn id="7" xr3:uid="{00000000-0010-0000-0900-000007000000}" name="AmntSign"/>
    <tableColumn id="8" xr3:uid="{00000000-0010-0000-0900-000008000000}" name="QtySign"/>
    <tableColumn id="9" xr3:uid="{00000000-0010-0000-0900-000009000000}" name="IgonreFXrate"/>
    <tableColumn id="11" xr3:uid="{00000000-0010-0000-0900-00000B000000}" name="OCItoBCISign"/>
    <tableColumn id="10" xr3:uid="{00000000-0010-0000-0900-00000A000000}" name="CloseOrOpen"/>
    <tableColumn id="12" xr3:uid="{00000000-0010-0000-0900-00000C000000}" name="GLFlag"/>
    <tableColumn id="13" xr3:uid="{00000000-0010-0000-0900-00000D000000}" name="ForexTradeFlag"/>
    <tableColumn id="14" xr3:uid="{00000000-0010-0000-0900-00000E000000}" name="ReturnOfCapFlag"/>
    <tableColumn id="15" xr3:uid="{00000000-0010-0000-0900-00000F000000}" name="ShareTransferFlag"/>
    <tableColumn id="16" xr3:uid="{00000000-0010-0000-0900-000010000000}" name="DepositTransSign"/>
    <tableColumn id="17" xr3:uid="{00000000-0010-0000-0900-000011000000}" name="DividendFlag"/>
    <tableColumn id="18" xr3:uid="{00000000-0010-0000-0900-000012000000}" name="SymbolTrdeCashFlowSign"/>
    <tableColumn id="21" xr3:uid="{00000000-0010-0000-0900-000015000000}" name="SymbolXIRRCashflowSign"/>
    <tableColumn id="20" xr3:uid="{00000000-0010-0000-0900-000014000000}" name="PortfolioCashFlowSign"/>
    <tableColumn id="19" xr3:uid="{00000000-0010-0000-0900-000013000000}" name="InterestFlag"/>
    <tableColumn id="22" xr3:uid="{E7DCFE4D-6D7D-40F8-A776-1E53C293ABB0}" name="IgnorePric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A000000}" name="Report" displayName="Report" ref="AB3:AB4" totalsRowShown="0">
  <autoFilter ref="AB3:AB4" xr:uid="{00000000-0009-0000-0100-000008000000}"/>
  <tableColumns count="1">
    <tableColumn id="1" xr3:uid="{00000000-0010-0000-0A00-000001000000}" name="Report"/>
  </tableColumns>
  <tableStyleInfo name="BuleMedGridLi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B000000}" name="ReportCurrency" displayName="ReportCurrency" ref="A1:B6" totalsRowShown="0">
  <autoFilter ref="A1:B6" xr:uid="{00000000-0009-0000-0100-000009000000}">
    <filterColumn colId="0" hiddenButton="1"/>
    <filterColumn colId="1" hiddenButton="1"/>
  </autoFilter>
  <tableColumns count="2">
    <tableColumn id="1" xr3:uid="{00000000-0010-0000-0B00-000001000000}" name="ReportCurrency"/>
    <tableColumn id="2" xr3:uid="{00000000-0010-0000-0B00-000002000000}" name="IsDefault"/>
  </tableColumns>
  <tableStyleInfo name="BuleMedGridLi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7F310B4-98A3-41F3-87EB-79CDF97BC8AA}" name="MiscSettings" displayName="MiscSettings" ref="E1:E2" totalsRowShown="0">
  <autoFilter ref="E1:E2" xr:uid="{EF80C712-CB93-4C62-9C74-0E9CFE4C9C9F}">
    <filterColumn colId="0" hiddenButton="1"/>
  </autoFilter>
  <tableColumns count="1">
    <tableColumn id="1" xr3:uid="{C22FC21E-213A-48FC-997F-FD862BF6C3A1}" name="MinDate" dataDxfId="0"/>
  </tableColumns>
  <tableStyleInfo name="BuleMedGridLi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Symbols" displayName="Symbols" ref="A1:S177" totalsRowShown="0" headerRowDxfId="47" dataDxfId="46">
  <autoFilter ref="A1:S177" xr:uid="{00000000-0009-0000-0100-000001000000}"/>
  <tableColumns count="19">
    <tableColumn id="1" xr3:uid="{00000000-0010-0000-0100-000001000000}" name="Symbol" dataDxfId="45"/>
    <tableColumn id="2" xr3:uid="{00000000-0010-0000-0100-000002000000}" name="Description" dataDxfId="44"/>
    <tableColumn id="3" xr3:uid="{00000000-0010-0000-0100-000003000000}" name="Currency" dataDxfId="43"/>
    <tableColumn id="5" xr3:uid="{00000000-0010-0000-0100-000005000000}" name="Multipier" dataDxfId="42"/>
    <tableColumn id="18" xr3:uid="{00000000-0010-0000-0100-000012000000}" name="PriceProvider" dataDxfId="41"/>
    <tableColumn id="19" xr3:uid="{00000000-0010-0000-0100-000013000000}" name="PPSymbol" dataDxfId="40"/>
    <tableColumn id="4" xr3:uid="{00000000-0010-0000-0100-000004000000}" name="SecuType" dataDxfId="39"/>
    <tableColumn id="6" xr3:uid="{00000000-0010-0000-0100-000006000000}" name="Sector" dataDxfId="38"/>
    <tableColumn id="7" xr3:uid="{00000000-0010-0000-0100-000007000000}" name="Industry" dataDxfId="37"/>
    <tableColumn id="8" xr3:uid="{00000000-0010-0000-0100-000008000000}" name="Exchange" dataDxfId="36"/>
    <tableColumn id="12" xr3:uid="{D3A13708-D06B-4555-ADF2-86C251E887AD}" name="Activited" dataDxfId="35"/>
    <tableColumn id="9" xr3:uid="{00000000-0010-0000-0100-000009000000}" name="Region" dataDxfId="34"/>
    <tableColumn id="10" xr3:uid="{00000000-0010-0000-0100-00000A000000}" name="Country" dataDxfId="33"/>
    <tableColumn id="11" xr3:uid="{00000000-0010-0000-0100-00000B000000}" name="SymbolAlians" dataDxfId="32"/>
    <tableColumn id="13" xr3:uid="{00000000-0010-0000-0100-00000D000000}" name="Maturity " dataDxfId="31"/>
    <tableColumn id="14" xr3:uid="{00000000-0010-0000-0100-00000E000000}" name="Expiry" dataDxfId="30"/>
    <tableColumn id="15" xr3:uid="{00000000-0010-0000-0100-00000F000000}" name="DeliveryMonth" dataDxfId="29"/>
    <tableColumn id="16" xr3:uid="{00000000-0010-0000-0100-000010000000}" name="OptType" dataDxfId="28"/>
    <tableColumn id="17" xr3:uid="{00000000-0010-0000-0100-000011000000}" name="Strike"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D9C979B-0D66-466D-A76D-E3A09C6A7335}" name="GenerateQuotes" displayName="GenerateQuotes" ref="A3:C6" totalsRowShown="0">
  <autoFilter ref="A3:C6" xr:uid="{6CC9E7C2-7F57-4DAB-AF53-3D9458DB180A}"/>
  <tableColumns count="3">
    <tableColumn id="1" xr3:uid="{52CB5C7D-F61F-43EB-9B3C-9E079F706324}" name="Date" dataDxfId="25"/>
    <tableColumn id="2" xr3:uid="{6BCEE768-1601-46B7-8C54-47FA3FBF0219}" name="Symbol"/>
    <tableColumn id="3" xr3:uid="{04C051F9-1830-4A45-851B-C700AC67B3FA}" name="Close"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Accounts" displayName="Accounts" ref="A3:I11" totalsRowShown="0" headerRowDxfId="21">
  <autoFilter ref="A3:I11" xr:uid="{00000000-0009-0000-0100-000004000000}"/>
  <tableColumns count="9">
    <tableColumn id="1" xr3:uid="{00000000-0010-0000-0200-000001000000}" name="AccountName"/>
    <tableColumn id="2" xr3:uid="{00000000-0010-0000-0200-000002000000}" name="Currency"/>
    <tableColumn id="3" xr3:uid="{00000000-0010-0000-0200-000003000000}" name="Active"/>
    <tableColumn id="4" xr3:uid="{00000000-0010-0000-0200-000004000000}" name="Description"/>
    <tableColumn id="5" xr3:uid="{00000000-0010-0000-0200-000005000000}" name="BenchMark"/>
    <tableColumn id="6" xr3:uid="{00000000-0010-0000-0200-000006000000}" name="OpenDate" dataDxfId="20"/>
    <tableColumn id="7" xr3:uid="{00000000-0010-0000-0200-000007000000}" name="ID_in_Broker"/>
    <tableColumn id="9" xr3:uid="{00000000-0010-0000-0200-000009000000}" name="Broker"/>
    <tableColumn id="8" xr3:uid="{00000000-0010-0000-0200-000008000000}" name="Owner"/>
  </tableColumns>
  <tableStyleInfo name="BuleMedGridLi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Currencys" displayName="Currencys" ref="A1:C5" totalsRowShown="0" headerRowDxfId="19" dataDxfId="18">
  <autoFilter ref="A1:C5" xr:uid="{00000000-0009-0000-0100-000005000000}">
    <filterColumn colId="0" hiddenButton="1"/>
    <filterColumn colId="1" hiddenButton="1"/>
    <filterColumn colId="2" hiddenButton="1"/>
  </autoFilter>
  <tableColumns count="3">
    <tableColumn id="1" xr3:uid="{00000000-0010-0000-0300-000001000000}" name="Code" dataDxfId="17"/>
    <tableColumn id="2" xr3:uid="{00000000-0010-0000-0300-000002000000}" name="Description" dataDxfId="16"/>
    <tableColumn id="3" xr3:uid="{00000000-0010-0000-0300-000003000000}" name="Sign" dataDxfId="15"/>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SecuTypes" displayName="SecuTypes" ref="A1:A11" totalsRowShown="0" headerRowDxfId="14" dataDxfId="13">
  <autoFilter ref="A1:A11" xr:uid="{00000000-0009-0000-0100-000002000000}">
    <filterColumn colId="0" hiddenButton="1"/>
  </autoFilter>
  <tableColumns count="1">
    <tableColumn id="1" xr3:uid="{00000000-0010-0000-0400-000001000000}" name="SecuType" dataDxfId="12"/>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AssestClasses" displayName="AssestClasses" ref="C1:C8" totalsRowShown="0" headerRowDxfId="11" dataDxfId="10">
  <autoFilter ref="C1:C8" xr:uid="{00000000-0009-0000-0100-000003000000}">
    <filterColumn colId="0" hiddenButton="1"/>
  </autoFilter>
  <tableColumns count="1">
    <tableColumn id="1" xr3:uid="{00000000-0010-0000-0500-000001000000}" name="AssestClass" dataDxfId="9"/>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CurrencysBackup" displayName="CurrencysBackup" ref="Q1:S12" totalsRowShown="0" headerRowDxfId="8" dataDxfId="7">
  <autoFilter ref="Q1:S12" xr:uid="{00000000-0009-0000-0100-00000A000000}"/>
  <tableColumns count="3">
    <tableColumn id="1" xr3:uid="{00000000-0010-0000-0600-000001000000}" name="Code" dataDxfId="6"/>
    <tableColumn id="2" xr3:uid="{00000000-0010-0000-0600-000002000000}" name="Description" dataDxfId="5"/>
    <tableColumn id="3" xr3:uid="{00000000-0010-0000-0600-000003000000}" name="Sign" dataDxfId="4"/>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Sectors" displayName="Sectors" ref="E1:F18" totalsRowShown="0" tableBorderDxfId="3">
  <autoFilter ref="E1:F18" xr:uid="{00000000-0009-0000-0100-00000C000000}">
    <filterColumn colId="0" hiddenButton="1"/>
    <filterColumn colId="1" hiddenButton="1"/>
  </autoFilter>
  <tableColumns count="2">
    <tableColumn id="1" xr3:uid="{00000000-0010-0000-0700-000001000000}" name="Sector" dataDxfId="2"/>
    <tableColumn id="2" xr3:uid="{00000000-0010-0000-0700-000002000000}" name="AssestClas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openxmlformats.org/officeDocument/2006/relationships/comments" Target="../comments4.xml"/><Relationship Id="rId4"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vmlDrawing" Target="../drawings/vmlDrawing5.v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94"/>
  <sheetViews>
    <sheetView tabSelected="1" topLeftCell="A277" workbookViewId="0">
      <selection activeCell="C277" sqref="C277"/>
    </sheetView>
  </sheetViews>
  <sheetFormatPr defaultColWidth="11" defaultRowHeight="14.25"/>
  <cols>
    <col min="1" max="1" width="11.0625" style="7" customWidth="1"/>
    <col min="2" max="2" width="10.375" style="7" customWidth="1"/>
    <col min="3" max="3" width="14.9375" style="7" customWidth="1"/>
    <col min="4" max="4" width="5.5" style="7" customWidth="1"/>
    <col min="5" max="5" width="12.25" style="7" customWidth="1"/>
    <col min="6" max="6" width="9.1875" style="7" customWidth="1"/>
    <col min="7" max="7" width="9.3125" style="7" customWidth="1"/>
    <col min="8" max="8" width="10.5" style="7" customWidth="1"/>
    <col min="9" max="9" width="6.5625" style="7" customWidth="1"/>
    <col min="10" max="10" width="13.5625" style="7" customWidth="1"/>
    <col min="11" max="11" width="12.5625" style="7" customWidth="1"/>
    <col min="12" max="12" width="6.0625" style="7" customWidth="1"/>
    <col min="13" max="13" width="13.375" style="7" customWidth="1"/>
    <col min="14" max="14" width="13.9375" style="7" customWidth="1"/>
    <col min="15" max="15" width="13.625" style="7" customWidth="1"/>
    <col min="16" max="16" width="8.1875" style="7" customWidth="1"/>
    <col min="17" max="17" width="11" style="7"/>
    <col min="18" max="18" width="8.875" style="7" customWidth="1"/>
    <col min="19" max="19" width="13.125" style="7" customWidth="1"/>
    <col min="20" max="20" width="11.4375" style="7" customWidth="1"/>
    <col min="21" max="22" width="11" style="7"/>
    <col min="23" max="23" width="15.8125" style="7" customWidth="1"/>
    <col min="24" max="24" width="14.4375" style="7" customWidth="1"/>
    <col min="25" max="25" width="7.875" style="7" customWidth="1"/>
    <col min="26" max="16384" width="11" style="7"/>
  </cols>
  <sheetData>
    <row r="1" spans="1:25" ht="49.15" customHeight="1">
      <c r="A1" s="10" t="s">
        <v>133</v>
      </c>
      <c r="B1" s="10" t="s">
        <v>134</v>
      </c>
      <c r="C1" s="10" t="s">
        <v>110</v>
      </c>
      <c r="D1" s="23" t="s">
        <v>203</v>
      </c>
      <c r="E1" s="10" t="s">
        <v>0</v>
      </c>
      <c r="F1" s="10" t="s">
        <v>135</v>
      </c>
      <c r="G1" s="10" t="s">
        <v>136</v>
      </c>
      <c r="H1" s="10" t="s">
        <v>137</v>
      </c>
      <c r="I1" s="10" t="s">
        <v>151</v>
      </c>
      <c r="J1" s="10" t="s">
        <v>138</v>
      </c>
      <c r="K1" s="10" t="s">
        <v>144</v>
      </c>
      <c r="L1" s="10" t="s">
        <v>149</v>
      </c>
      <c r="M1" s="10" t="s">
        <v>148</v>
      </c>
      <c r="N1" s="10" t="s">
        <v>139</v>
      </c>
      <c r="O1" s="10" t="s">
        <v>140</v>
      </c>
      <c r="P1" s="10" t="s">
        <v>141</v>
      </c>
      <c r="Q1" s="10" t="s">
        <v>142</v>
      </c>
      <c r="R1" s="10" t="s">
        <v>143</v>
      </c>
      <c r="S1" s="10" t="s">
        <v>167</v>
      </c>
      <c r="T1" s="11" t="s">
        <v>168</v>
      </c>
      <c r="U1" s="13" t="s">
        <v>187</v>
      </c>
      <c r="V1" s="10" t="s">
        <v>175</v>
      </c>
      <c r="W1" s="12" t="s">
        <v>186</v>
      </c>
      <c r="X1" s="13" t="s">
        <v>188</v>
      </c>
      <c r="Y1" s="45" t="s">
        <v>37</v>
      </c>
    </row>
    <row r="2" spans="1:25">
      <c r="A2" s="38" t="s">
        <v>65</v>
      </c>
      <c r="B2" s="39">
        <v>42005</v>
      </c>
      <c r="C2" s="38" t="s">
        <v>112</v>
      </c>
      <c r="D2" s="35" t="s">
        <v>204</v>
      </c>
      <c r="E2" s="282" t="s">
        <v>208</v>
      </c>
      <c r="F2" s="37"/>
      <c r="G2" s="36">
        <v>45</v>
      </c>
      <c r="H2" s="37">
        <v>5</v>
      </c>
      <c r="I2" s="37"/>
      <c r="J2" s="40">
        <v>0</v>
      </c>
      <c r="K2" s="6" t="s">
        <v>205</v>
      </c>
      <c r="L2" s="14">
        <f>IF(ISNA(MATCH(Transactions[[#This Row],[TransType]],TransTypes[TransType],0)),1,MATCH(Transactions[[#This Row],[TransType]],TransTypes[TransType],0))</f>
        <v>1</v>
      </c>
      <c r="M2" s="24">
        <f>IF( AND( INDEX(TransTypes[],Transactions[[#This Row],[TTR]],TT_COL_GLFlag)=1, INDEX(TransTypes[],Transactions[[#This Row],[TTR]],TT_COL_LONGORSHORT)="S" ),
      Transactions[[#This Row],[PL]],
      IF(INDEX(TransTypes[],Transactions[[#This Row],[TTR]],TT_COL_LONGORSHORT)="S",0,Transactions[[#This Row],[CalCashImpact]])
)</f>
        <v>0</v>
      </c>
      <c r="N2" s="25">
        <f>IF(VLOOKUP(Transactions[[#This Row],[Symbol]],Symbols[],COLUMN(Symbols[Currency])-COLUMN(Symbols[])+1,FALSE)=
       VLOOKUP(Transactions[[#This Row],[Account]],Accounts[],COLUMN(Accounts[Currency])-COLUMN(Accounts[])+1,FALSE),
     Transactions[[#This Row],[OrigCashImpact]],
     0
)</f>
        <v>0</v>
      </c>
      <c r="O2" s="2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2" s="2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 s="2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 s="41">
        <f>ROW()</f>
        <v>2</v>
      </c>
      <c r="S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 s="30">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 s="28">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 s="31">
        <f>IF(INDEX(TransTypes[],Transactions[[#This Row],[TTR]],TT_COL_GLFlag)=1,Transactions[[#This Row],[CalCashImpact]]+Transactions[[#This Row],[CostImpact]],0)</f>
        <v>0</v>
      </c>
      <c r="W2" s="32">
        <f>Transactions[[#This Row],[Amount]]*INDEX(TransTypes[],Transactions[[#This Row],[TTR]],TT_COL_AmntSign)</f>
        <v>0</v>
      </c>
      <c r="X2" s="33">
        <f>IF(INDEX(TransTypes[],Transactions[[#This Row],[TTR]],TT_COL_LONGORSHORT)="S",
      IF( OR(INDEX(TransTypes[],Transactions[[#This Row],[TTR]],TT_COL_GLFlag)=1, INDEX(TransTypes[], Transactions[[#This Row],[TTR]], TT_COL_ShareTransferFlag)=1),
            Transactions[[#This Row],[CostImpact]]*-1,
            Transactions[[#This Row],[CalCashImpact]]
      ),
     0
)</f>
        <v>0</v>
      </c>
      <c r="Y2" s="44" t="str">
        <f>VLOOKUP(Transactions[[#This Row],[Symbol]],Symbols[], COLUMN(Symbols[Currency])-COLUMN(Symbols[])+1,FALSE)</f>
        <v>USD</v>
      </c>
    </row>
    <row r="3" spans="1:25">
      <c r="A3" s="55" t="s">
        <v>65</v>
      </c>
      <c r="B3" s="56">
        <v>42977</v>
      </c>
      <c r="C3" s="55" t="s">
        <v>112</v>
      </c>
      <c r="D3" s="55"/>
      <c r="E3" s="55" t="s">
        <v>208</v>
      </c>
      <c r="F3" s="57"/>
      <c r="G3" s="58"/>
      <c r="H3" s="57"/>
      <c r="I3" s="57"/>
      <c r="J3" s="68">
        <v>499980</v>
      </c>
      <c r="K3" s="6" t="s">
        <v>337</v>
      </c>
      <c r="L3" s="20">
        <f>IF(ISNA(MATCH(Transactions[[#This Row],[TransType]],TransTypes[TransType],0)),1,MATCH(Transactions[[#This Row],[TransType]],TransTypes[TransType],0))</f>
        <v>1</v>
      </c>
      <c r="M3" s="60">
        <f>IF( AND( INDEX(TransTypes[],Transactions[[#This Row],[TTR]],TT_COL_GLFlag)=1, INDEX(TransTypes[],Transactions[[#This Row],[TTR]],TT_COL_LONGORSHORT)="S" ),
      Transactions[[#This Row],[PL]],
      IF(INDEX(TransTypes[],Transactions[[#This Row],[TTR]],TT_COL_LONGORSHORT)="S",0,Transactions[[#This Row],[CalCashImpact]])
)</f>
        <v>499980</v>
      </c>
      <c r="N3" s="61">
        <f>IF(VLOOKUP(Transactions[[#This Row],[Symbol]],Symbols[],COLUMN(Symbols[Currency])-COLUMN(Symbols[])+1,FALSE)=
       VLOOKUP(Transactions[[#This Row],[Account]],Accounts[],COLUMN(Accounts[Currency])-COLUMN(Accounts[])+1,FALSE),
     Transactions[[#This Row],[OrigCashImpact]],
     0
)</f>
        <v>499980</v>
      </c>
      <c r="O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499980</v>
      </c>
      <c r="P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 s="41">
        <f>ROW()</f>
        <v>3</v>
      </c>
      <c r="S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 s="65">
        <f>IF(INDEX(TransTypes[],Transactions[[#This Row],[TTR]],TT_COL_GLFlag)=1,Transactions[[#This Row],[CalCashImpact]]+Transactions[[#This Row],[CostImpact]],0)</f>
        <v>0</v>
      </c>
      <c r="W3" s="66">
        <f>Transactions[[#This Row],[Amount]]*INDEX(TransTypes[],Transactions[[#This Row],[TTR]],TT_COL_AmntSign)</f>
        <v>499980</v>
      </c>
      <c r="X3" s="66">
        <f>IF(INDEX(TransTypes[],Transactions[[#This Row],[TTR]],TT_COL_LONGORSHORT)="S",
      IF( OR(INDEX(TransTypes[],Transactions[[#This Row],[TTR]],TT_COL_GLFlag)=1, INDEX(TransTypes[], Transactions[[#This Row],[TTR]], TT_COL_ShareTransferFlag)=1),
            Transactions[[#This Row],[CostImpact]]*-1,
            Transactions[[#This Row],[CalCashImpact]]
      ),
     0
)</f>
        <v>0</v>
      </c>
      <c r="Y3" s="67" t="str">
        <f>VLOOKUP(Transactions[[#This Row],[Symbol]],Symbols[], COLUMN(Symbols[Currency])-COLUMN(Symbols[])+1,FALSE)</f>
        <v>USD</v>
      </c>
    </row>
    <row r="4" spans="1:25">
      <c r="A4" s="55" t="s">
        <v>65</v>
      </c>
      <c r="B4" s="56">
        <v>42978</v>
      </c>
      <c r="C4" s="55" t="s">
        <v>113</v>
      </c>
      <c r="D4" s="55"/>
      <c r="E4" s="55" t="s">
        <v>313</v>
      </c>
      <c r="F4" s="57">
        <v>1800</v>
      </c>
      <c r="G4" s="58">
        <v>26.128888889999999</v>
      </c>
      <c r="H4" s="57">
        <v>9</v>
      </c>
      <c r="I4" s="57"/>
      <c r="J4" s="68">
        <v>47041</v>
      </c>
      <c r="K4" s="6"/>
      <c r="L4" s="20">
        <f>IF(ISNA(MATCH(Transactions[[#This Row],[TransType]],TransTypes[TransType],0)),1,MATCH(Transactions[[#This Row],[TransType]],TransTypes[TransType],0))</f>
        <v>2</v>
      </c>
      <c r="M4" s="60">
        <f>IF( AND( INDEX(TransTypes[],Transactions[[#This Row],[TTR]],TT_COL_GLFlag)=1, INDEX(TransTypes[],Transactions[[#This Row],[TTR]],TT_COL_LONGORSHORT)="S" ),
      Transactions[[#This Row],[PL]],
      IF(INDEX(TransTypes[],Transactions[[#This Row],[TTR]],TT_COL_LONGORSHORT)="S",0,Transactions[[#This Row],[CalCashImpact]])
)</f>
        <v>-47041</v>
      </c>
      <c r="N4" s="61">
        <f>IF(VLOOKUP(Transactions[[#This Row],[Symbol]],Symbols[],COLUMN(Symbols[Currency])-COLUMN(Symbols[])+1,FALSE)=
       VLOOKUP(Transactions[[#This Row],[Account]],Accounts[],COLUMN(Accounts[Currency])-COLUMN(Accounts[])+1,FALSE),
     Transactions[[#This Row],[OrigCashImpact]],
     0
)</f>
        <v>-47041</v>
      </c>
      <c r="O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452939</v>
      </c>
      <c r="P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1800</v>
      </c>
      <c r="Q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v>
      </c>
      <c r="R4" s="41">
        <f>ROW()</f>
        <v>4</v>
      </c>
      <c r="S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47041</v>
      </c>
      <c r="T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47041</v>
      </c>
      <c r="U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v>
      </c>
      <c r="V4" s="65">
        <f>IF(INDEX(TransTypes[],Transactions[[#This Row],[TTR]],TT_COL_GLFlag)=1,Transactions[[#This Row],[CalCashImpact]]+Transactions[[#This Row],[CostImpact]],0)</f>
        <v>0</v>
      </c>
      <c r="W4" s="66">
        <f>Transactions[[#This Row],[Amount]]*INDEX(TransTypes[],Transactions[[#This Row],[TTR]],TT_COL_AmntSign)</f>
        <v>-47041</v>
      </c>
      <c r="X4" s="66">
        <f>IF(INDEX(TransTypes[],Transactions[[#This Row],[TTR]],TT_COL_LONGORSHORT)="S",
      IF( OR(INDEX(TransTypes[],Transactions[[#This Row],[TTR]],TT_COL_GLFlag)=1, INDEX(TransTypes[], Transactions[[#This Row],[TTR]], TT_COL_ShareTransferFlag)=1),
            Transactions[[#This Row],[CostImpact]]*-1,
            Transactions[[#This Row],[CalCashImpact]]
      ),
     0
)</f>
        <v>0</v>
      </c>
      <c r="Y4" s="67" t="str">
        <f>VLOOKUP(Transactions[[#This Row],[Symbol]],Symbols[], COLUMN(Symbols[Currency])-COLUMN(Symbols[])+1,FALSE)</f>
        <v>USD</v>
      </c>
    </row>
    <row r="5" spans="1:25">
      <c r="A5" s="55" t="s">
        <v>65</v>
      </c>
      <c r="B5" s="56">
        <v>42979</v>
      </c>
      <c r="C5" s="55" t="s">
        <v>113</v>
      </c>
      <c r="D5" s="55"/>
      <c r="E5" s="55" t="s">
        <v>199</v>
      </c>
      <c r="F5" s="57">
        <v>1100</v>
      </c>
      <c r="G5" s="58">
        <v>330.6</v>
      </c>
      <c r="H5" s="57">
        <v>1042.56564</v>
      </c>
      <c r="I5" s="57"/>
      <c r="J5" s="68">
        <v>364702.56563999999</v>
      </c>
      <c r="K5" s="6"/>
      <c r="L5" s="20">
        <f>IF(ISNA(MATCH(Transactions[[#This Row],[TransType]],TransTypes[TransType],0)),1,MATCH(Transactions[[#This Row],[TransType]],TransTypes[TransType],0))</f>
        <v>2</v>
      </c>
      <c r="M5" s="60">
        <f>IF( AND( INDEX(TransTypes[],Transactions[[#This Row],[TTR]],TT_COL_GLFlag)=1, INDEX(TransTypes[],Transactions[[#This Row],[TTR]],TT_COL_LONGORSHORT)="S" ),
      Transactions[[#This Row],[PL]],
      IF(INDEX(TransTypes[],Transactions[[#This Row],[TTR]],TT_COL_LONGORSHORT)="S",0,Transactions[[#This Row],[CalCashImpact]])
)</f>
        <v>-364702.56563999999</v>
      </c>
      <c r="N5" s="61">
        <f>IF(VLOOKUP(Transactions[[#This Row],[Symbol]],Symbols[],COLUMN(Symbols[Currency])-COLUMN(Symbols[])+1,FALSE)=
       VLOOKUP(Transactions[[#This Row],[Account]],Accounts[],COLUMN(Accounts[Currency])-COLUMN(Accounts[])+1,FALSE),
     Transactions[[#This Row],[OrigCashImpact]],
     0
)</f>
        <v>0</v>
      </c>
      <c r="O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452939</v>
      </c>
      <c r="P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1100</v>
      </c>
      <c r="Q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1100</v>
      </c>
      <c r="R5" s="41">
        <f>ROW()</f>
        <v>5</v>
      </c>
      <c r="S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364702.56563999999</v>
      </c>
      <c r="T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364702.56563999999</v>
      </c>
      <c r="U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v>
      </c>
      <c r="V5" s="65">
        <f>IF(INDEX(TransTypes[],Transactions[[#This Row],[TTR]],TT_COL_GLFlag)=1,Transactions[[#This Row],[CalCashImpact]]+Transactions[[#This Row],[CostImpact]],0)</f>
        <v>0</v>
      </c>
      <c r="W5" s="66">
        <f>Transactions[[#This Row],[Amount]]*INDEX(TransTypes[],Transactions[[#This Row],[TTR]],TT_COL_AmntSign)</f>
        <v>-364702.56563999999</v>
      </c>
      <c r="X5" s="66">
        <f>IF(INDEX(TransTypes[],Transactions[[#This Row],[TTR]],TT_COL_LONGORSHORT)="S",
      IF( OR(INDEX(TransTypes[],Transactions[[#This Row],[TTR]],TT_COL_GLFlag)=1, INDEX(TransTypes[], Transactions[[#This Row],[TTR]], TT_COL_ShareTransferFlag)=1),
            Transactions[[#This Row],[CostImpact]]*-1,
            Transactions[[#This Row],[CalCashImpact]]
      ),
     0
)</f>
        <v>0</v>
      </c>
      <c r="Y5" s="67" t="str">
        <f>VLOOKUP(Transactions[[#This Row],[Symbol]],Symbols[], COLUMN(Symbols[Currency])-COLUMN(Symbols[])+1,FALSE)</f>
        <v>HKD</v>
      </c>
    </row>
    <row r="6" spans="1:25">
      <c r="A6" s="55" t="s">
        <v>65</v>
      </c>
      <c r="B6" s="56">
        <v>42979</v>
      </c>
      <c r="C6" s="55" t="s">
        <v>152</v>
      </c>
      <c r="D6" s="55"/>
      <c r="E6" s="55" t="s">
        <v>210</v>
      </c>
      <c r="F6" s="57">
        <v>46477</v>
      </c>
      <c r="G6" s="58">
        <v>7.8245399999999998</v>
      </c>
      <c r="H6" s="57"/>
      <c r="I6" s="57"/>
      <c r="J6" s="68">
        <v>363661.14559999999</v>
      </c>
      <c r="K6" s="6"/>
      <c r="L6" s="20">
        <f>IF(ISNA(MATCH(Transactions[[#This Row],[TransType]],TransTypes[TransType],0)),1,MATCH(Transactions[[#This Row],[TransType]],TransTypes[TransType],0))</f>
        <v>15</v>
      </c>
      <c r="M6" s="60">
        <f>IF( AND( INDEX(TransTypes[],Transactions[[#This Row],[TTR]],TT_COL_GLFlag)=1, INDEX(TransTypes[],Transactions[[#This Row],[TTR]],TT_COL_LONGORSHORT)="S" ),
      Transactions[[#This Row],[PL]],
      IF(INDEX(TransTypes[],Transactions[[#This Row],[TTR]],TT_COL_LONGORSHORT)="S",0,Transactions[[#This Row],[CalCashImpact]])
)</f>
        <v>363661.14559999999</v>
      </c>
      <c r="N6" s="61">
        <f>IF(VLOOKUP(Transactions[[#This Row],[Symbol]],Symbols[],COLUMN(Symbols[Currency])-COLUMN(Symbols[])+1,FALSE)=
       VLOOKUP(Transactions[[#This Row],[Account]],Accounts[],COLUMN(Accounts[Currency])-COLUMN(Accounts[])+1,FALSE),
     Transactions[[#This Row],[OrigCashImpact]],
     0
)</f>
        <v>0</v>
      </c>
      <c r="O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452939</v>
      </c>
      <c r="P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 s="41">
        <f>ROW()</f>
        <v>6</v>
      </c>
      <c r="S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6" s="65">
        <f>IF(INDEX(TransTypes[],Transactions[[#This Row],[TTR]],TT_COL_GLFlag)=1,Transactions[[#This Row],[CalCashImpact]]+Transactions[[#This Row],[CostImpact]],0)</f>
        <v>0</v>
      </c>
      <c r="W6" s="66">
        <f>Transactions[[#This Row],[Amount]]*INDEX(TransTypes[],Transactions[[#This Row],[TTR]],TT_COL_AmntSign)</f>
        <v>363661.14559999999</v>
      </c>
      <c r="X6" s="66">
        <f>IF(INDEX(TransTypes[],Transactions[[#This Row],[TTR]],TT_COL_LONGORSHORT)="S",
      IF( OR(INDEX(TransTypes[],Transactions[[#This Row],[TTR]],TT_COL_GLFlag)=1, INDEX(TransTypes[], Transactions[[#This Row],[TTR]], TT_COL_ShareTransferFlag)=1),
            Transactions[[#This Row],[CostImpact]]*-1,
            Transactions[[#This Row],[CalCashImpact]]
      ),
     0
)</f>
        <v>0</v>
      </c>
      <c r="Y6" s="67" t="str">
        <f>VLOOKUP(Transactions[[#This Row],[Symbol]],Symbols[], COLUMN(Symbols[Currency])-COLUMN(Symbols[])+1,FALSE)</f>
        <v>HKD</v>
      </c>
    </row>
    <row r="7" spans="1:25">
      <c r="A7" s="55" t="s">
        <v>65</v>
      </c>
      <c r="B7" s="56">
        <v>42979</v>
      </c>
      <c r="C7" s="55" t="s">
        <v>238</v>
      </c>
      <c r="D7" s="55"/>
      <c r="E7" s="55" t="s">
        <v>208</v>
      </c>
      <c r="F7" s="57">
        <v>46477</v>
      </c>
      <c r="G7" s="58">
        <v>1</v>
      </c>
      <c r="H7" s="57">
        <v>2</v>
      </c>
      <c r="I7" s="57"/>
      <c r="J7" s="68">
        <v>46479</v>
      </c>
      <c r="K7" s="6" t="s">
        <v>338</v>
      </c>
      <c r="L7" s="20">
        <f>IF(ISNA(MATCH(Transactions[[#This Row],[TransType]],TransTypes[TransType],0)),1,MATCH(Transactions[[#This Row],[TransType]],TransTypes[TransType],0))</f>
        <v>16</v>
      </c>
      <c r="M7" s="60">
        <f>IF( AND( INDEX(TransTypes[],Transactions[[#This Row],[TTR]],TT_COL_GLFlag)=1, INDEX(TransTypes[],Transactions[[#This Row],[TTR]],TT_COL_LONGORSHORT)="S" ),
      Transactions[[#This Row],[PL]],
      IF(INDEX(TransTypes[],Transactions[[#This Row],[TTR]],TT_COL_LONGORSHORT)="S",0,Transactions[[#This Row],[CalCashImpact]])
)</f>
        <v>-46479</v>
      </c>
      <c r="N7" s="61">
        <f>IF(VLOOKUP(Transactions[[#This Row],[Symbol]],Symbols[],COLUMN(Symbols[Currency])-COLUMN(Symbols[])+1,FALSE)=
       VLOOKUP(Transactions[[#This Row],[Account]],Accounts[],COLUMN(Accounts[Currency])-COLUMN(Accounts[])+1,FALSE),
     Transactions[[#This Row],[OrigCashImpact]],
     0
)</f>
        <v>-46479</v>
      </c>
      <c r="O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406460</v>
      </c>
      <c r="P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 s="41">
        <f>ROW()</f>
        <v>7</v>
      </c>
      <c r="S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 s="65">
        <f>IF(INDEX(TransTypes[],Transactions[[#This Row],[TTR]],TT_COL_GLFlag)=1,Transactions[[#This Row],[CalCashImpact]]+Transactions[[#This Row],[CostImpact]],0)</f>
        <v>0</v>
      </c>
      <c r="W7" s="66">
        <f>Transactions[[#This Row],[Amount]]*INDEX(TransTypes[],Transactions[[#This Row],[TTR]],TT_COL_AmntSign)</f>
        <v>-46479</v>
      </c>
      <c r="X7" s="66">
        <f>IF(INDEX(TransTypes[],Transactions[[#This Row],[TTR]],TT_COL_LONGORSHORT)="S",
      IF( OR(INDEX(TransTypes[],Transactions[[#This Row],[TTR]],TT_COL_GLFlag)=1, INDEX(TransTypes[], Transactions[[#This Row],[TTR]], TT_COL_ShareTransferFlag)=1),
            Transactions[[#This Row],[CostImpact]]*-1,
            Transactions[[#This Row],[CalCashImpact]]
      ),
     0
)</f>
        <v>0</v>
      </c>
      <c r="Y7" s="67" t="str">
        <f>VLOOKUP(Transactions[[#This Row],[Symbol]],Symbols[], COLUMN(Symbols[Currency])-COLUMN(Symbols[])+1,FALSE)</f>
        <v>USD</v>
      </c>
    </row>
    <row r="8" spans="1:25">
      <c r="A8" s="55" t="s">
        <v>65</v>
      </c>
      <c r="B8" s="56">
        <v>42982</v>
      </c>
      <c r="C8" s="55" t="s">
        <v>113</v>
      </c>
      <c r="D8" s="55"/>
      <c r="E8" s="55" t="s">
        <v>268</v>
      </c>
      <c r="F8" s="57">
        <v>42000</v>
      </c>
      <c r="G8" s="58">
        <v>9.3557142859999995</v>
      </c>
      <c r="H8" s="57">
        <v>1129.5707599999901</v>
      </c>
      <c r="I8" s="57"/>
      <c r="J8" s="68">
        <v>394069.57075999997</v>
      </c>
      <c r="K8" s="6"/>
      <c r="L8" s="20">
        <f>IF(ISNA(MATCH(Transactions[[#This Row],[TransType]],TransTypes[TransType],0)),1,MATCH(Transactions[[#This Row],[TransType]],TransTypes[TransType],0))</f>
        <v>2</v>
      </c>
      <c r="M8" s="60">
        <f>IF( AND( INDEX(TransTypes[],Transactions[[#This Row],[TTR]],TT_COL_GLFlag)=1, INDEX(TransTypes[],Transactions[[#This Row],[TTR]],TT_COL_LONGORSHORT)="S" ),
      Transactions[[#This Row],[PL]],
      IF(INDEX(TransTypes[],Transactions[[#This Row],[TTR]],TT_COL_LONGORSHORT)="S",0,Transactions[[#This Row],[CalCashImpact]])
)</f>
        <v>-394069.57075999997</v>
      </c>
      <c r="N8" s="61">
        <f>IF(VLOOKUP(Transactions[[#This Row],[Symbol]],Symbols[],COLUMN(Symbols[Currency])-COLUMN(Symbols[])+1,FALSE)=
       VLOOKUP(Transactions[[#This Row],[Account]],Accounts[],COLUMN(Accounts[Currency])-COLUMN(Accounts[])+1,FALSE),
     Transactions[[#This Row],[OrigCashImpact]],
     0
)</f>
        <v>0</v>
      </c>
      <c r="O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406460</v>
      </c>
      <c r="P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42000</v>
      </c>
      <c r="Q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42000</v>
      </c>
      <c r="R8" s="41">
        <f>ROW()</f>
        <v>8</v>
      </c>
      <c r="S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394069.57075999997</v>
      </c>
      <c r="T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394069.57075999997</v>
      </c>
      <c r="U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42000</v>
      </c>
      <c r="V8" s="65">
        <f>IF(INDEX(TransTypes[],Transactions[[#This Row],[TTR]],TT_COL_GLFlag)=1,Transactions[[#This Row],[CalCashImpact]]+Transactions[[#This Row],[CostImpact]],0)</f>
        <v>0</v>
      </c>
      <c r="W8" s="66">
        <f>Transactions[[#This Row],[Amount]]*INDEX(TransTypes[],Transactions[[#This Row],[TTR]],TT_COL_AmntSign)</f>
        <v>-394069.57075999997</v>
      </c>
      <c r="X8" s="66">
        <f>IF(INDEX(TransTypes[],Transactions[[#This Row],[TTR]],TT_COL_LONGORSHORT)="S",
      IF( OR(INDEX(TransTypes[],Transactions[[#This Row],[TTR]],TT_COL_GLFlag)=1, INDEX(TransTypes[], Transactions[[#This Row],[TTR]], TT_COL_ShareTransferFlag)=1),
            Transactions[[#This Row],[CostImpact]]*-1,
            Transactions[[#This Row],[CalCashImpact]]
      ),
     0
)</f>
        <v>0</v>
      </c>
      <c r="Y8" s="67" t="str">
        <f>VLOOKUP(Transactions[[#This Row],[Symbol]],Symbols[], COLUMN(Symbols[Currency])-COLUMN(Symbols[])+1,FALSE)</f>
        <v>HKD</v>
      </c>
    </row>
    <row r="9" spans="1:25">
      <c r="A9" s="55" t="s">
        <v>65</v>
      </c>
      <c r="B9" s="56">
        <v>42982</v>
      </c>
      <c r="C9" s="55" t="s">
        <v>113</v>
      </c>
      <c r="D9" s="55"/>
      <c r="E9" s="55" t="s">
        <v>199</v>
      </c>
      <c r="F9" s="57">
        <v>1000</v>
      </c>
      <c r="G9" s="58">
        <v>324.39999999999998</v>
      </c>
      <c r="H9" s="57">
        <v>927.0376</v>
      </c>
      <c r="I9" s="57"/>
      <c r="J9" s="68">
        <v>325327.03759999998</v>
      </c>
      <c r="K9" s="6"/>
      <c r="L9" s="20">
        <f>IF(ISNA(MATCH(Transactions[[#This Row],[TransType]],TransTypes[TransType],0)),1,MATCH(Transactions[[#This Row],[TransType]],TransTypes[TransType],0))</f>
        <v>2</v>
      </c>
      <c r="M9" s="60">
        <f>IF( AND( INDEX(TransTypes[],Transactions[[#This Row],[TTR]],TT_COL_GLFlag)=1, INDEX(TransTypes[],Transactions[[#This Row],[TTR]],TT_COL_LONGORSHORT)="S" ),
      Transactions[[#This Row],[PL]],
      IF(INDEX(TransTypes[],Transactions[[#This Row],[TTR]],TT_COL_LONGORSHORT)="S",0,Transactions[[#This Row],[CalCashImpact]])
)</f>
        <v>-325327.03759999998</v>
      </c>
      <c r="N9" s="61">
        <f>IF(VLOOKUP(Transactions[[#This Row],[Symbol]],Symbols[],COLUMN(Symbols[Currency])-COLUMN(Symbols[])+1,FALSE)=
       VLOOKUP(Transactions[[#This Row],[Account]],Accounts[],COLUMN(Accounts[Currency])-COLUMN(Accounts[])+1,FALSE),
     Transactions[[#This Row],[OrigCashImpact]],
     0
)</f>
        <v>0</v>
      </c>
      <c r="O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406460</v>
      </c>
      <c r="P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2100</v>
      </c>
      <c r="R9" s="41">
        <f>ROW()</f>
        <v>9</v>
      </c>
      <c r="S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325327.03759999998</v>
      </c>
      <c r="T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690029.60323999997</v>
      </c>
      <c r="U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2100</v>
      </c>
      <c r="V9" s="65">
        <f>IF(INDEX(TransTypes[],Transactions[[#This Row],[TTR]],TT_COL_GLFlag)=1,Transactions[[#This Row],[CalCashImpact]]+Transactions[[#This Row],[CostImpact]],0)</f>
        <v>0</v>
      </c>
      <c r="W9" s="66">
        <f>Transactions[[#This Row],[Amount]]*INDEX(TransTypes[],Transactions[[#This Row],[TTR]],TT_COL_AmntSign)</f>
        <v>-325327.03759999998</v>
      </c>
      <c r="X9" s="66">
        <f>IF(INDEX(TransTypes[],Transactions[[#This Row],[TTR]],TT_COL_LONGORSHORT)="S",
      IF( OR(INDEX(TransTypes[],Transactions[[#This Row],[TTR]],TT_COL_GLFlag)=1, INDEX(TransTypes[], Transactions[[#This Row],[TTR]], TT_COL_ShareTransferFlag)=1),
            Transactions[[#This Row],[CostImpact]]*-1,
            Transactions[[#This Row],[CalCashImpact]]
      ),
     0
)</f>
        <v>0</v>
      </c>
      <c r="Y9" s="67" t="str">
        <f>VLOOKUP(Transactions[[#This Row],[Symbol]],Symbols[], COLUMN(Symbols[Currency])-COLUMN(Symbols[])+1,FALSE)</f>
        <v>HKD</v>
      </c>
    </row>
    <row r="10" spans="1:25">
      <c r="A10" s="55" t="s">
        <v>65</v>
      </c>
      <c r="B10" s="56">
        <v>42982</v>
      </c>
      <c r="C10" s="55" t="s">
        <v>113</v>
      </c>
      <c r="D10" s="55"/>
      <c r="E10" s="55" t="s">
        <v>199</v>
      </c>
      <c r="F10" s="57">
        <v>400</v>
      </c>
      <c r="G10" s="58">
        <v>324.39999999999998</v>
      </c>
      <c r="H10" s="57">
        <v>372.81504000000001</v>
      </c>
      <c r="I10" s="57"/>
      <c r="J10" s="68">
        <v>130132.81504</v>
      </c>
      <c r="K10" s="6"/>
      <c r="L10" s="20">
        <f>IF(ISNA(MATCH(Transactions[[#This Row],[TransType]],TransTypes[TransType],0)),1,MATCH(Transactions[[#This Row],[TransType]],TransTypes[TransType],0))</f>
        <v>2</v>
      </c>
      <c r="M10" s="60">
        <f>IF( AND( INDEX(TransTypes[],Transactions[[#This Row],[TTR]],TT_COL_GLFlag)=1, INDEX(TransTypes[],Transactions[[#This Row],[TTR]],TT_COL_LONGORSHORT)="S" ),
      Transactions[[#This Row],[PL]],
      IF(INDEX(TransTypes[],Transactions[[#This Row],[TTR]],TT_COL_LONGORSHORT)="S",0,Transactions[[#This Row],[CalCashImpact]])
)</f>
        <v>-130132.81504</v>
      </c>
      <c r="N10" s="61">
        <f>IF(VLOOKUP(Transactions[[#This Row],[Symbol]],Symbols[],COLUMN(Symbols[Currency])-COLUMN(Symbols[])+1,FALSE)=
       VLOOKUP(Transactions[[#This Row],[Account]],Accounts[],COLUMN(Accounts[Currency])-COLUMN(Accounts[])+1,FALSE),
     Transactions[[#This Row],[OrigCashImpact]],
     0
)</f>
        <v>0</v>
      </c>
      <c r="O1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406460</v>
      </c>
      <c r="P1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10" s="41">
        <f>ROW()</f>
        <v>10</v>
      </c>
      <c r="S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130132.81504</v>
      </c>
      <c r="T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820162.41827999998</v>
      </c>
      <c r="U1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v>
      </c>
      <c r="V10" s="65">
        <f>IF(INDEX(TransTypes[],Transactions[[#This Row],[TTR]],TT_COL_GLFlag)=1,Transactions[[#This Row],[CalCashImpact]]+Transactions[[#This Row],[CostImpact]],0)</f>
        <v>0</v>
      </c>
      <c r="W10" s="66">
        <f>Transactions[[#This Row],[Amount]]*INDEX(TransTypes[],Transactions[[#This Row],[TTR]],TT_COL_AmntSign)</f>
        <v>-130132.81504</v>
      </c>
      <c r="X10" s="66">
        <f>IF(INDEX(TransTypes[],Transactions[[#This Row],[TTR]],TT_COL_LONGORSHORT)="S",
      IF( OR(INDEX(TransTypes[],Transactions[[#This Row],[TTR]],TT_COL_GLFlag)=1, INDEX(TransTypes[], Transactions[[#This Row],[TTR]], TT_COL_ShareTransferFlag)=1),
            Transactions[[#This Row],[CostImpact]]*-1,
            Transactions[[#This Row],[CalCashImpact]]
      ),
     0
)</f>
        <v>0</v>
      </c>
      <c r="Y10" s="67" t="str">
        <f>VLOOKUP(Transactions[[#This Row],[Symbol]],Symbols[], COLUMN(Symbols[Currency])-COLUMN(Symbols[])+1,FALSE)</f>
        <v>HKD</v>
      </c>
    </row>
    <row r="11" spans="1:25">
      <c r="A11" s="55" t="s">
        <v>65</v>
      </c>
      <c r="B11" s="56">
        <v>42982</v>
      </c>
      <c r="C11" s="55" t="s">
        <v>152</v>
      </c>
      <c r="D11" s="55"/>
      <c r="E11" s="55" t="s">
        <v>210</v>
      </c>
      <c r="F11" s="57">
        <v>41454</v>
      </c>
      <c r="G11" s="58">
        <v>7.8254000000000001</v>
      </c>
      <c r="H11" s="57">
        <v>3</v>
      </c>
      <c r="I11" s="57"/>
      <c r="J11" s="68">
        <v>324394.13160000002</v>
      </c>
      <c r="K11" s="6"/>
      <c r="L11" s="20">
        <f>IF(ISNA(MATCH(Transactions[[#This Row],[TransType]],TransTypes[TransType],0)),1,MATCH(Transactions[[#This Row],[TransType]],TransTypes[TransType],0))</f>
        <v>15</v>
      </c>
      <c r="M11" s="60">
        <f>IF( AND( INDEX(TransTypes[],Transactions[[#This Row],[TTR]],TT_COL_GLFlag)=1, INDEX(TransTypes[],Transactions[[#This Row],[TTR]],TT_COL_LONGORSHORT)="S" ),
      Transactions[[#This Row],[PL]],
      IF(INDEX(TransTypes[],Transactions[[#This Row],[TTR]],TT_COL_LONGORSHORT)="S",0,Transactions[[#This Row],[CalCashImpact]])
)</f>
        <v>324394.13160000002</v>
      </c>
      <c r="N11" s="61">
        <f>IF(VLOOKUP(Transactions[[#This Row],[Symbol]],Symbols[],COLUMN(Symbols[Currency])-COLUMN(Symbols[])+1,FALSE)=
       VLOOKUP(Transactions[[#This Row],[Account]],Accounts[],COLUMN(Accounts[Currency])-COLUMN(Accounts[])+1,FALSE),
     Transactions[[#This Row],[OrigCashImpact]],
     0
)</f>
        <v>0</v>
      </c>
      <c r="O1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406460</v>
      </c>
      <c r="P1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 s="41">
        <f>ROW()</f>
        <v>11</v>
      </c>
      <c r="S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 s="65">
        <f>IF(INDEX(TransTypes[],Transactions[[#This Row],[TTR]],TT_COL_GLFlag)=1,Transactions[[#This Row],[CalCashImpact]]+Transactions[[#This Row],[CostImpact]],0)</f>
        <v>0</v>
      </c>
      <c r="W11" s="66">
        <f>Transactions[[#This Row],[Amount]]*INDEX(TransTypes[],Transactions[[#This Row],[TTR]],TT_COL_AmntSign)</f>
        <v>324394.13160000002</v>
      </c>
      <c r="X11" s="66">
        <f>IF(INDEX(TransTypes[],Transactions[[#This Row],[TTR]],TT_COL_LONGORSHORT)="S",
      IF( OR(INDEX(TransTypes[],Transactions[[#This Row],[TTR]],TT_COL_GLFlag)=1, INDEX(TransTypes[], Transactions[[#This Row],[TTR]], TT_COL_ShareTransferFlag)=1),
            Transactions[[#This Row],[CostImpact]]*-1,
            Transactions[[#This Row],[CalCashImpact]]
      ),
     0
)</f>
        <v>0</v>
      </c>
      <c r="Y11" s="67" t="str">
        <f>VLOOKUP(Transactions[[#This Row],[Symbol]],Symbols[], COLUMN(Symbols[Currency])-COLUMN(Symbols[])+1,FALSE)</f>
        <v>HKD</v>
      </c>
    </row>
    <row r="12" spans="1:25">
      <c r="A12" s="55" t="s">
        <v>65</v>
      </c>
      <c r="B12" s="56">
        <v>42982</v>
      </c>
      <c r="C12" s="55" t="s">
        <v>238</v>
      </c>
      <c r="D12" s="55"/>
      <c r="E12" s="55" t="s">
        <v>208</v>
      </c>
      <c r="F12" s="57">
        <v>41454</v>
      </c>
      <c r="G12" s="58">
        <v>1</v>
      </c>
      <c r="H12" s="57">
        <v>2</v>
      </c>
      <c r="I12" s="57"/>
      <c r="J12" s="68">
        <v>41456</v>
      </c>
      <c r="K12" s="6" t="s">
        <v>339</v>
      </c>
      <c r="L12" s="20">
        <f>IF(ISNA(MATCH(Transactions[[#This Row],[TransType]],TransTypes[TransType],0)),1,MATCH(Transactions[[#This Row],[TransType]],TransTypes[TransType],0))</f>
        <v>16</v>
      </c>
      <c r="M12" s="60">
        <f>IF( AND( INDEX(TransTypes[],Transactions[[#This Row],[TTR]],TT_COL_GLFlag)=1, INDEX(TransTypes[],Transactions[[#This Row],[TTR]],TT_COL_LONGORSHORT)="S" ),
      Transactions[[#This Row],[PL]],
      IF(INDEX(TransTypes[],Transactions[[#This Row],[TTR]],TT_COL_LONGORSHORT)="S",0,Transactions[[#This Row],[CalCashImpact]])
)</f>
        <v>-41456</v>
      </c>
      <c r="N12" s="61">
        <f>IF(VLOOKUP(Transactions[[#This Row],[Symbol]],Symbols[],COLUMN(Symbols[Currency])-COLUMN(Symbols[])+1,FALSE)=
       VLOOKUP(Transactions[[#This Row],[Account]],Accounts[],COLUMN(Accounts[Currency])-COLUMN(Accounts[])+1,FALSE),
     Transactions[[#This Row],[OrigCashImpact]],
     0
)</f>
        <v>-41456</v>
      </c>
      <c r="O1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365004</v>
      </c>
      <c r="P1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 s="41">
        <f>ROW()</f>
        <v>12</v>
      </c>
      <c r="S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2" s="65">
        <f>IF(INDEX(TransTypes[],Transactions[[#This Row],[TTR]],TT_COL_GLFlag)=1,Transactions[[#This Row],[CalCashImpact]]+Transactions[[#This Row],[CostImpact]],0)</f>
        <v>0</v>
      </c>
      <c r="W12" s="66">
        <f>Transactions[[#This Row],[Amount]]*INDEX(TransTypes[],Transactions[[#This Row],[TTR]],TT_COL_AmntSign)</f>
        <v>-41456</v>
      </c>
      <c r="X12" s="66">
        <f>IF(INDEX(TransTypes[],Transactions[[#This Row],[TTR]],TT_COL_LONGORSHORT)="S",
      IF( OR(INDEX(TransTypes[],Transactions[[#This Row],[TTR]],TT_COL_GLFlag)=1, INDEX(TransTypes[], Transactions[[#This Row],[TTR]], TT_COL_ShareTransferFlag)=1),
            Transactions[[#This Row],[CostImpact]]*-1,
            Transactions[[#This Row],[CalCashImpact]]
      ),
     0
)</f>
        <v>0</v>
      </c>
      <c r="Y12" s="67" t="str">
        <f>VLOOKUP(Transactions[[#This Row],[Symbol]],Symbols[], COLUMN(Symbols[Currency])-COLUMN(Symbols[])+1,FALSE)</f>
        <v>USD</v>
      </c>
    </row>
    <row r="13" spans="1:25">
      <c r="A13" s="55" t="s">
        <v>65</v>
      </c>
      <c r="B13" s="56">
        <v>42982</v>
      </c>
      <c r="C13" s="55" t="s">
        <v>152</v>
      </c>
      <c r="D13" s="55"/>
      <c r="E13" s="55" t="s">
        <v>210</v>
      </c>
      <c r="F13" s="57">
        <v>50215</v>
      </c>
      <c r="G13" s="58">
        <v>7.8251200000000001</v>
      </c>
      <c r="H13" s="57"/>
      <c r="I13" s="57"/>
      <c r="J13" s="68">
        <v>392938.4008</v>
      </c>
      <c r="K13" s="6"/>
      <c r="L13" s="20">
        <f>IF(ISNA(MATCH(Transactions[[#This Row],[TransType]],TransTypes[TransType],0)),1,MATCH(Transactions[[#This Row],[TransType]],TransTypes[TransType],0))</f>
        <v>15</v>
      </c>
      <c r="M13" s="60">
        <f>IF( AND( INDEX(TransTypes[],Transactions[[#This Row],[TTR]],TT_COL_GLFlag)=1, INDEX(TransTypes[],Transactions[[#This Row],[TTR]],TT_COL_LONGORSHORT)="S" ),
      Transactions[[#This Row],[PL]],
      IF(INDEX(TransTypes[],Transactions[[#This Row],[TTR]],TT_COL_LONGORSHORT)="S",0,Transactions[[#This Row],[CalCashImpact]])
)</f>
        <v>392938.4008</v>
      </c>
      <c r="N13" s="61">
        <f>IF(VLOOKUP(Transactions[[#This Row],[Symbol]],Symbols[],COLUMN(Symbols[Currency])-COLUMN(Symbols[])+1,FALSE)=
       VLOOKUP(Transactions[[#This Row],[Account]],Accounts[],COLUMN(Accounts[Currency])-COLUMN(Accounts[])+1,FALSE),
     Transactions[[#This Row],[OrigCashImpact]],
     0
)</f>
        <v>0</v>
      </c>
      <c r="O1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365004</v>
      </c>
      <c r="P1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 s="41">
        <f>ROW()</f>
        <v>13</v>
      </c>
      <c r="S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 s="65">
        <f>IF(INDEX(TransTypes[],Transactions[[#This Row],[TTR]],TT_COL_GLFlag)=1,Transactions[[#This Row],[CalCashImpact]]+Transactions[[#This Row],[CostImpact]],0)</f>
        <v>0</v>
      </c>
      <c r="W13" s="66">
        <f>Transactions[[#This Row],[Amount]]*INDEX(TransTypes[],Transactions[[#This Row],[TTR]],TT_COL_AmntSign)</f>
        <v>392938.4008</v>
      </c>
      <c r="X13" s="66">
        <f>IF(INDEX(TransTypes[],Transactions[[#This Row],[TTR]],TT_COL_LONGORSHORT)="S",
      IF( OR(INDEX(TransTypes[],Transactions[[#This Row],[TTR]],TT_COL_GLFlag)=1, INDEX(TransTypes[], Transactions[[#This Row],[TTR]], TT_COL_ShareTransferFlag)=1),
            Transactions[[#This Row],[CostImpact]]*-1,
            Transactions[[#This Row],[CalCashImpact]]
      ),
     0
)</f>
        <v>0</v>
      </c>
      <c r="Y13" s="67" t="str">
        <f>VLOOKUP(Transactions[[#This Row],[Symbol]],Symbols[], COLUMN(Symbols[Currency])-COLUMN(Symbols[])+1,FALSE)</f>
        <v>HKD</v>
      </c>
    </row>
    <row r="14" spans="1:25">
      <c r="A14" s="55" t="s">
        <v>65</v>
      </c>
      <c r="B14" s="56">
        <v>42982</v>
      </c>
      <c r="C14" s="55" t="s">
        <v>238</v>
      </c>
      <c r="D14" s="55"/>
      <c r="E14" s="55" t="s">
        <v>208</v>
      </c>
      <c r="F14" s="57">
        <v>50215</v>
      </c>
      <c r="G14" s="58">
        <v>1</v>
      </c>
      <c r="H14" s="57">
        <v>2</v>
      </c>
      <c r="I14" s="57"/>
      <c r="J14" s="68">
        <v>50217</v>
      </c>
      <c r="K14" s="6" t="s">
        <v>340</v>
      </c>
      <c r="L14" s="20">
        <f>IF(ISNA(MATCH(Transactions[[#This Row],[TransType]],TransTypes[TransType],0)),1,MATCH(Transactions[[#This Row],[TransType]],TransTypes[TransType],0))</f>
        <v>16</v>
      </c>
      <c r="M14" s="60">
        <f>IF( AND( INDEX(TransTypes[],Transactions[[#This Row],[TTR]],TT_COL_GLFlag)=1, INDEX(TransTypes[],Transactions[[#This Row],[TTR]],TT_COL_LONGORSHORT)="S" ),
      Transactions[[#This Row],[PL]],
      IF(INDEX(TransTypes[],Transactions[[#This Row],[TTR]],TT_COL_LONGORSHORT)="S",0,Transactions[[#This Row],[CalCashImpact]])
)</f>
        <v>-50217</v>
      </c>
      <c r="N14" s="61">
        <f>IF(VLOOKUP(Transactions[[#This Row],[Symbol]],Symbols[],COLUMN(Symbols[Currency])-COLUMN(Symbols[])+1,FALSE)=
       VLOOKUP(Transactions[[#This Row],[Account]],Accounts[],COLUMN(Accounts[Currency])-COLUMN(Accounts[])+1,FALSE),
     Transactions[[#This Row],[OrigCashImpact]],
     0
)</f>
        <v>-50217</v>
      </c>
      <c r="O1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314787</v>
      </c>
      <c r="P1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 s="41">
        <f>ROW()</f>
        <v>14</v>
      </c>
      <c r="S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 s="65">
        <f>IF(INDEX(TransTypes[],Transactions[[#This Row],[TTR]],TT_COL_GLFlag)=1,Transactions[[#This Row],[CalCashImpact]]+Transactions[[#This Row],[CostImpact]],0)</f>
        <v>0</v>
      </c>
      <c r="W14" s="66">
        <f>Transactions[[#This Row],[Amount]]*INDEX(TransTypes[],Transactions[[#This Row],[TTR]],TT_COL_AmntSign)</f>
        <v>-50217</v>
      </c>
      <c r="X14" s="66">
        <f>IF(INDEX(TransTypes[],Transactions[[#This Row],[TTR]],TT_COL_LONGORSHORT)="S",
      IF( OR(INDEX(TransTypes[],Transactions[[#This Row],[TTR]],TT_COL_GLFlag)=1, INDEX(TransTypes[], Transactions[[#This Row],[TTR]], TT_COL_ShareTransferFlag)=1),
            Transactions[[#This Row],[CostImpact]]*-1,
            Transactions[[#This Row],[CalCashImpact]]
      ),
     0
)</f>
        <v>0</v>
      </c>
      <c r="Y14" s="67" t="str">
        <f>VLOOKUP(Transactions[[#This Row],[Symbol]],Symbols[], COLUMN(Symbols[Currency])-COLUMN(Symbols[])+1,FALSE)</f>
        <v>USD</v>
      </c>
    </row>
    <row r="15" spans="1:25">
      <c r="A15" s="55" t="s">
        <v>65</v>
      </c>
      <c r="B15" s="56">
        <v>42982</v>
      </c>
      <c r="C15" s="55" t="s">
        <v>152</v>
      </c>
      <c r="D15" s="55"/>
      <c r="E15" s="55" t="s">
        <v>210</v>
      </c>
      <c r="F15" s="57">
        <v>16584</v>
      </c>
      <c r="G15" s="58">
        <v>7.8243400000000003</v>
      </c>
      <c r="H15" s="57"/>
      <c r="I15" s="57"/>
      <c r="J15" s="68">
        <v>129758.85460000001</v>
      </c>
      <c r="K15" s="6"/>
      <c r="L15" s="20">
        <f>IF(ISNA(MATCH(Transactions[[#This Row],[TransType]],TransTypes[TransType],0)),1,MATCH(Transactions[[#This Row],[TransType]],TransTypes[TransType],0))</f>
        <v>15</v>
      </c>
      <c r="M15" s="60">
        <f>IF( AND( INDEX(TransTypes[],Transactions[[#This Row],[TTR]],TT_COL_GLFlag)=1, INDEX(TransTypes[],Transactions[[#This Row],[TTR]],TT_COL_LONGORSHORT)="S" ),
      Transactions[[#This Row],[PL]],
      IF(INDEX(TransTypes[],Transactions[[#This Row],[TTR]],TT_COL_LONGORSHORT)="S",0,Transactions[[#This Row],[CalCashImpact]])
)</f>
        <v>129758.85460000001</v>
      </c>
      <c r="N15" s="61">
        <f>IF(VLOOKUP(Transactions[[#This Row],[Symbol]],Symbols[],COLUMN(Symbols[Currency])-COLUMN(Symbols[])+1,FALSE)=
       VLOOKUP(Transactions[[#This Row],[Account]],Accounts[],COLUMN(Accounts[Currency])-COLUMN(Accounts[])+1,FALSE),
     Transactions[[#This Row],[OrigCashImpact]],
     0
)</f>
        <v>0</v>
      </c>
      <c r="O1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314787</v>
      </c>
      <c r="P1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 s="41">
        <f>ROW()</f>
        <v>15</v>
      </c>
      <c r="S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 s="65">
        <f>IF(INDEX(TransTypes[],Transactions[[#This Row],[TTR]],TT_COL_GLFlag)=1,Transactions[[#This Row],[CalCashImpact]]+Transactions[[#This Row],[CostImpact]],0)</f>
        <v>0</v>
      </c>
      <c r="W15" s="66">
        <f>Transactions[[#This Row],[Amount]]*INDEX(TransTypes[],Transactions[[#This Row],[TTR]],TT_COL_AmntSign)</f>
        <v>129758.85460000001</v>
      </c>
      <c r="X15" s="66">
        <f>IF(INDEX(TransTypes[],Transactions[[#This Row],[TTR]],TT_COL_LONGORSHORT)="S",
      IF( OR(INDEX(TransTypes[],Transactions[[#This Row],[TTR]],TT_COL_GLFlag)=1, INDEX(TransTypes[], Transactions[[#This Row],[TTR]], TT_COL_ShareTransferFlag)=1),
            Transactions[[#This Row],[CostImpact]]*-1,
            Transactions[[#This Row],[CalCashImpact]]
      ),
     0
)</f>
        <v>0</v>
      </c>
      <c r="Y15" s="67" t="str">
        <f>VLOOKUP(Transactions[[#This Row],[Symbol]],Symbols[], COLUMN(Symbols[Currency])-COLUMN(Symbols[])+1,FALSE)</f>
        <v>HKD</v>
      </c>
    </row>
    <row r="16" spans="1:25">
      <c r="A16" s="55" t="s">
        <v>65</v>
      </c>
      <c r="B16" s="56">
        <v>42982</v>
      </c>
      <c r="C16" s="55" t="s">
        <v>238</v>
      </c>
      <c r="D16" s="55"/>
      <c r="E16" s="55" t="s">
        <v>208</v>
      </c>
      <c r="F16" s="57">
        <v>16584</v>
      </c>
      <c r="G16" s="58">
        <v>1</v>
      </c>
      <c r="H16" s="57">
        <v>2</v>
      </c>
      <c r="I16" s="57"/>
      <c r="J16" s="68">
        <v>16586</v>
      </c>
      <c r="K16" s="6" t="s">
        <v>341</v>
      </c>
      <c r="L16" s="20">
        <f>IF(ISNA(MATCH(Transactions[[#This Row],[TransType]],TransTypes[TransType],0)),1,MATCH(Transactions[[#This Row],[TransType]],TransTypes[TransType],0))</f>
        <v>16</v>
      </c>
      <c r="M16" s="60">
        <f>IF( AND( INDEX(TransTypes[],Transactions[[#This Row],[TTR]],TT_COL_GLFlag)=1, INDEX(TransTypes[],Transactions[[#This Row],[TTR]],TT_COL_LONGORSHORT)="S" ),
      Transactions[[#This Row],[PL]],
      IF(INDEX(TransTypes[],Transactions[[#This Row],[TTR]],TT_COL_LONGORSHORT)="S",0,Transactions[[#This Row],[CalCashImpact]])
)</f>
        <v>-16586</v>
      </c>
      <c r="N16" s="61">
        <f>IF(VLOOKUP(Transactions[[#This Row],[Symbol]],Symbols[],COLUMN(Symbols[Currency])-COLUMN(Symbols[])+1,FALSE)=
       VLOOKUP(Transactions[[#This Row],[Account]],Accounts[],COLUMN(Accounts[Currency])-COLUMN(Accounts[])+1,FALSE),
     Transactions[[#This Row],[OrigCashImpact]],
     0
)</f>
        <v>-16586</v>
      </c>
      <c r="O1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298201</v>
      </c>
      <c r="P1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 s="41">
        <f>ROW()</f>
        <v>16</v>
      </c>
      <c r="S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 s="65">
        <f>IF(INDEX(TransTypes[],Transactions[[#This Row],[TTR]],TT_COL_GLFlag)=1,Transactions[[#This Row],[CalCashImpact]]+Transactions[[#This Row],[CostImpact]],0)</f>
        <v>0</v>
      </c>
      <c r="W16" s="66">
        <f>Transactions[[#This Row],[Amount]]*INDEX(TransTypes[],Transactions[[#This Row],[TTR]],TT_COL_AmntSign)</f>
        <v>-16586</v>
      </c>
      <c r="X16" s="66">
        <f>IF(INDEX(TransTypes[],Transactions[[#This Row],[TTR]],TT_COL_LONGORSHORT)="S",
      IF( OR(INDEX(TransTypes[],Transactions[[#This Row],[TTR]],TT_COL_GLFlag)=1, INDEX(TransTypes[], Transactions[[#This Row],[TTR]], TT_COL_ShareTransferFlag)=1),
            Transactions[[#This Row],[CostImpact]]*-1,
            Transactions[[#This Row],[CalCashImpact]]
      ),
     0
)</f>
        <v>0</v>
      </c>
      <c r="Y16" s="67" t="str">
        <f>VLOOKUP(Transactions[[#This Row],[Symbol]],Symbols[], COLUMN(Symbols[Currency])-COLUMN(Symbols[])+1,FALSE)</f>
        <v>USD</v>
      </c>
    </row>
    <row r="17" spans="1:25">
      <c r="A17" s="55" t="s">
        <v>65</v>
      </c>
      <c r="B17" s="56">
        <v>42983</v>
      </c>
      <c r="C17" s="55" t="s">
        <v>113</v>
      </c>
      <c r="D17" s="55"/>
      <c r="E17" s="55" t="s">
        <v>322</v>
      </c>
      <c r="F17" s="57">
        <v>700</v>
      </c>
      <c r="G17" s="58">
        <v>79.189842859999999</v>
      </c>
      <c r="H17" s="57">
        <v>3.3</v>
      </c>
      <c r="I17" s="57"/>
      <c r="J17" s="68">
        <v>55436.19</v>
      </c>
      <c r="K17" s="6"/>
      <c r="L17" s="20">
        <f>IF(ISNA(MATCH(Transactions[[#This Row],[TransType]],TransTypes[TransType],0)),1,MATCH(Transactions[[#This Row],[TransType]],TransTypes[TransType],0))</f>
        <v>2</v>
      </c>
      <c r="M17" s="60">
        <f>IF( AND( INDEX(TransTypes[],Transactions[[#This Row],[TTR]],TT_COL_GLFlag)=1, INDEX(TransTypes[],Transactions[[#This Row],[TTR]],TT_COL_LONGORSHORT)="S" ),
      Transactions[[#This Row],[PL]],
      IF(INDEX(TransTypes[],Transactions[[#This Row],[TTR]],TT_COL_LONGORSHORT)="S",0,Transactions[[#This Row],[CalCashImpact]])
)</f>
        <v>-55436.19</v>
      </c>
      <c r="N17" s="61">
        <f>IF(VLOOKUP(Transactions[[#This Row],[Symbol]],Symbols[],COLUMN(Symbols[Currency])-COLUMN(Symbols[])+1,FALSE)=
       VLOOKUP(Transactions[[#This Row],[Account]],Accounts[],COLUMN(Accounts[Currency])-COLUMN(Accounts[])+1,FALSE),
     Transactions[[#This Row],[OrigCashImpact]],
     0
)</f>
        <v>-55436.19</v>
      </c>
      <c r="O1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242764.81</v>
      </c>
      <c r="P1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v>
      </c>
      <c r="Q1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17" s="41">
        <f>ROW()</f>
        <v>17</v>
      </c>
      <c r="S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55436.19</v>
      </c>
      <c r="T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55436.19</v>
      </c>
      <c r="U1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17" s="65">
        <f>IF(INDEX(TransTypes[],Transactions[[#This Row],[TTR]],TT_COL_GLFlag)=1,Transactions[[#This Row],[CalCashImpact]]+Transactions[[#This Row],[CostImpact]],0)</f>
        <v>0</v>
      </c>
      <c r="W17" s="66">
        <f>Transactions[[#This Row],[Amount]]*INDEX(TransTypes[],Transactions[[#This Row],[TTR]],TT_COL_AmntSign)</f>
        <v>-55436.19</v>
      </c>
      <c r="X17" s="66">
        <f>IF(INDEX(TransTypes[],Transactions[[#This Row],[TTR]],TT_COL_LONGORSHORT)="S",
      IF( OR(INDEX(TransTypes[],Transactions[[#This Row],[TTR]],TT_COL_GLFlag)=1, INDEX(TransTypes[], Transactions[[#This Row],[TTR]], TT_COL_ShareTransferFlag)=1),
            Transactions[[#This Row],[CostImpact]]*-1,
            Transactions[[#This Row],[CalCashImpact]]
      ),
     0
)</f>
        <v>0</v>
      </c>
      <c r="Y17" s="67" t="str">
        <f>VLOOKUP(Transactions[[#This Row],[Symbol]],Symbols[], COLUMN(Symbols[Currency])-COLUMN(Symbols[])+1,FALSE)</f>
        <v>USD</v>
      </c>
    </row>
    <row r="18" spans="1:25">
      <c r="A18" s="55" t="s">
        <v>65</v>
      </c>
      <c r="B18" s="56">
        <v>42984</v>
      </c>
      <c r="C18" s="55" t="s">
        <v>113</v>
      </c>
      <c r="D18" s="55"/>
      <c r="E18" s="55" t="s">
        <v>199</v>
      </c>
      <c r="F18" s="57">
        <v>2500</v>
      </c>
      <c r="G18" s="58">
        <v>325.8</v>
      </c>
      <c r="H18" s="57">
        <v>2329.5829999999901</v>
      </c>
      <c r="I18" s="57"/>
      <c r="J18" s="68">
        <v>816829.58299999998</v>
      </c>
      <c r="K18" s="6"/>
      <c r="L18" s="20">
        <f>IF(ISNA(MATCH(Transactions[[#This Row],[TransType]],TransTypes[TransType],0)),1,MATCH(Transactions[[#This Row],[TransType]],TransTypes[TransType],0))</f>
        <v>2</v>
      </c>
      <c r="M18" s="60">
        <f>IF( AND( INDEX(TransTypes[],Transactions[[#This Row],[TTR]],TT_COL_GLFlag)=1, INDEX(TransTypes[],Transactions[[#This Row],[TTR]],TT_COL_LONGORSHORT)="S" ),
      Transactions[[#This Row],[PL]],
      IF(INDEX(TransTypes[],Transactions[[#This Row],[TTR]],TT_COL_LONGORSHORT)="S",0,Transactions[[#This Row],[CalCashImpact]])
)</f>
        <v>-816829.58299999998</v>
      </c>
      <c r="N18" s="61">
        <f>IF(VLOOKUP(Transactions[[#This Row],[Symbol]],Symbols[],COLUMN(Symbols[Currency])-COLUMN(Symbols[])+1,FALSE)=
       VLOOKUP(Transactions[[#This Row],[Account]],Accounts[],COLUMN(Accounts[Currency])-COLUMN(Accounts[])+1,FALSE),
     Transactions[[#This Row],[OrigCashImpact]],
     0
)</f>
        <v>0</v>
      </c>
      <c r="O1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242764.81</v>
      </c>
      <c r="P1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v>
      </c>
      <c r="Q1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8" s="41">
        <f>ROW()</f>
        <v>18</v>
      </c>
      <c r="S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816829.58299999998</v>
      </c>
      <c r="T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1636992.00128</v>
      </c>
      <c r="U1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8" s="65">
        <f>IF(INDEX(TransTypes[],Transactions[[#This Row],[TTR]],TT_COL_GLFlag)=1,Transactions[[#This Row],[CalCashImpact]]+Transactions[[#This Row],[CostImpact]],0)</f>
        <v>0</v>
      </c>
      <c r="W18" s="66">
        <f>Transactions[[#This Row],[Amount]]*INDEX(TransTypes[],Transactions[[#This Row],[TTR]],TT_COL_AmntSign)</f>
        <v>-816829.58299999998</v>
      </c>
      <c r="X18" s="66">
        <f>IF(INDEX(TransTypes[],Transactions[[#This Row],[TTR]],TT_COL_LONGORSHORT)="S",
      IF( OR(INDEX(TransTypes[],Transactions[[#This Row],[TTR]],TT_COL_GLFlag)=1, INDEX(TransTypes[], Transactions[[#This Row],[TTR]], TT_COL_ShareTransferFlag)=1),
            Transactions[[#This Row],[CostImpact]]*-1,
            Transactions[[#This Row],[CalCashImpact]]
      ),
     0
)</f>
        <v>0</v>
      </c>
      <c r="Y18" s="67" t="str">
        <f>VLOOKUP(Transactions[[#This Row],[Symbol]],Symbols[], COLUMN(Symbols[Currency])-COLUMN(Symbols[])+1,FALSE)</f>
        <v>HKD</v>
      </c>
    </row>
    <row r="19" spans="1:25">
      <c r="A19" s="55" t="s">
        <v>65</v>
      </c>
      <c r="B19" s="56">
        <v>42984</v>
      </c>
      <c r="C19" s="55" t="s">
        <v>113</v>
      </c>
      <c r="D19" s="55"/>
      <c r="E19" s="55" t="s">
        <v>278</v>
      </c>
      <c r="F19" s="57">
        <v>50</v>
      </c>
      <c r="G19" s="58">
        <v>963.55</v>
      </c>
      <c r="H19" s="57">
        <v>1</v>
      </c>
      <c r="I19" s="57"/>
      <c r="J19" s="68">
        <v>48178.5</v>
      </c>
      <c r="K19" s="6"/>
      <c r="L19" s="20">
        <f>IF(ISNA(MATCH(Transactions[[#This Row],[TransType]],TransTypes[TransType],0)),1,MATCH(Transactions[[#This Row],[TransType]],TransTypes[TransType],0))</f>
        <v>2</v>
      </c>
      <c r="M19" s="60">
        <f>IF( AND( INDEX(TransTypes[],Transactions[[#This Row],[TTR]],TT_COL_GLFlag)=1, INDEX(TransTypes[],Transactions[[#This Row],[TTR]],TT_COL_LONGORSHORT)="S" ),
      Transactions[[#This Row],[PL]],
      IF(INDEX(TransTypes[],Transactions[[#This Row],[TTR]],TT_COL_LONGORSHORT)="S",0,Transactions[[#This Row],[CalCashImpact]])
)</f>
        <v>-48178.5</v>
      </c>
      <c r="N19" s="61">
        <f>IF(VLOOKUP(Transactions[[#This Row],[Symbol]],Symbols[],COLUMN(Symbols[Currency])-COLUMN(Symbols[])+1,FALSE)=
       VLOOKUP(Transactions[[#This Row],[Account]],Accounts[],COLUMN(Accounts[Currency])-COLUMN(Accounts[])+1,FALSE),
     Transactions[[#This Row],[OrigCashImpact]],
     0
)</f>
        <v>-48178.5</v>
      </c>
      <c r="O1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194586.31</v>
      </c>
      <c r="P1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v>
      </c>
      <c r="Q1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v>
      </c>
      <c r="R19" s="41">
        <f>ROW()</f>
        <v>19</v>
      </c>
      <c r="S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48178.5</v>
      </c>
      <c r="T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48178.5</v>
      </c>
      <c r="U1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v>
      </c>
      <c r="V19" s="65">
        <f>IF(INDEX(TransTypes[],Transactions[[#This Row],[TTR]],TT_COL_GLFlag)=1,Transactions[[#This Row],[CalCashImpact]]+Transactions[[#This Row],[CostImpact]],0)</f>
        <v>0</v>
      </c>
      <c r="W19" s="66">
        <f>Transactions[[#This Row],[Amount]]*INDEX(TransTypes[],Transactions[[#This Row],[TTR]],TT_COL_AmntSign)</f>
        <v>-48178.5</v>
      </c>
      <c r="X19" s="66">
        <f>IF(INDEX(TransTypes[],Transactions[[#This Row],[TTR]],TT_COL_LONGORSHORT)="S",
      IF( OR(INDEX(TransTypes[],Transactions[[#This Row],[TTR]],TT_COL_GLFlag)=1, INDEX(TransTypes[], Transactions[[#This Row],[TTR]], TT_COL_ShareTransferFlag)=1),
            Transactions[[#This Row],[CostImpact]]*-1,
            Transactions[[#This Row],[CalCashImpact]]
      ),
     0
)</f>
        <v>0</v>
      </c>
      <c r="Y19" s="67" t="str">
        <f>VLOOKUP(Transactions[[#This Row],[Symbol]],Symbols[], COLUMN(Symbols[Currency])-COLUMN(Symbols[])+1,FALSE)</f>
        <v>USD</v>
      </c>
    </row>
    <row r="20" spans="1:25">
      <c r="A20" s="55" t="s">
        <v>65</v>
      </c>
      <c r="B20" s="56">
        <v>42984</v>
      </c>
      <c r="C20" s="55" t="s">
        <v>113</v>
      </c>
      <c r="D20" s="55"/>
      <c r="E20" s="55" t="s">
        <v>305</v>
      </c>
      <c r="F20" s="57">
        <v>190</v>
      </c>
      <c r="G20" s="58">
        <v>130.77942110000001</v>
      </c>
      <c r="H20" s="57">
        <v>1</v>
      </c>
      <c r="I20" s="57"/>
      <c r="J20" s="68">
        <v>24849.09</v>
      </c>
      <c r="K20" s="6"/>
      <c r="L20" s="20">
        <f>IF(ISNA(MATCH(Transactions[[#This Row],[TransType]],TransTypes[TransType],0)),1,MATCH(Transactions[[#This Row],[TransType]],TransTypes[TransType],0))</f>
        <v>2</v>
      </c>
      <c r="M20" s="60">
        <f>IF( AND( INDEX(TransTypes[],Transactions[[#This Row],[TTR]],TT_COL_GLFlag)=1, INDEX(TransTypes[],Transactions[[#This Row],[TTR]],TT_COL_LONGORSHORT)="S" ),
      Transactions[[#This Row],[PL]],
      IF(INDEX(TransTypes[],Transactions[[#This Row],[TTR]],TT_COL_LONGORSHORT)="S",0,Transactions[[#This Row],[CalCashImpact]])
)</f>
        <v>-24849.09</v>
      </c>
      <c r="N20" s="61">
        <f>IF(VLOOKUP(Transactions[[#This Row],[Symbol]],Symbols[],COLUMN(Symbols[Currency])-COLUMN(Symbols[])+1,FALSE)=
       VLOOKUP(Transactions[[#This Row],[Account]],Accounts[],COLUMN(Accounts[Currency])-COLUMN(Accounts[])+1,FALSE),
     Transactions[[#This Row],[OrigCashImpact]],
     0
)</f>
        <v>-24849.09</v>
      </c>
      <c r="O2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169737.22</v>
      </c>
      <c r="P2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190</v>
      </c>
      <c r="Q2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190</v>
      </c>
      <c r="R20" s="41">
        <f>ROW()</f>
        <v>20</v>
      </c>
      <c r="S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24849.09</v>
      </c>
      <c r="T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24849.09</v>
      </c>
      <c r="U2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190</v>
      </c>
      <c r="V20" s="65">
        <f>IF(INDEX(TransTypes[],Transactions[[#This Row],[TTR]],TT_COL_GLFlag)=1,Transactions[[#This Row],[CalCashImpact]]+Transactions[[#This Row],[CostImpact]],0)</f>
        <v>0</v>
      </c>
      <c r="W20" s="66">
        <f>Transactions[[#This Row],[Amount]]*INDEX(TransTypes[],Transactions[[#This Row],[TTR]],TT_COL_AmntSign)</f>
        <v>-24849.09</v>
      </c>
      <c r="X20" s="66">
        <f>IF(INDEX(TransTypes[],Transactions[[#This Row],[TTR]],TT_COL_LONGORSHORT)="S",
      IF( OR(INDEX(TransTypes[],Transactions[[#This Row],[TTR]],TT_COL_GLFlag)=1, INDEX(TransTypes[], Transactions[[#This Row],[TTR]], TT_COL_ShareTransferFlag)=1),
            Transactions[[#This Row],[CostImpact]]*-1,
            Transactions[[#This Row],[CalCashImpact]]
      ),
     0
)</f>
        <v>0</v>
      </c>
      <c r="Y20" s="67" t="str">
        <f>VLOOKUP(Transactions[[#This Row],[Symbol]],Symbols[], COLUMN(Symbols[Currency])-COLUMN(Symbols[])+1,FALSE)</f>
        <v>USD</v>
      </c>
    </row>
    <row r="21" spans="1:25">
      <c r="A21" s="55" t="s">
        <v>65</v>
      </c>
      <c r="B21" s="56">
        <v>42984</v>
      </c>
      <c r="C21" s="55" t="s">
        <v>152</v>
      </c>
      <c r="D21" s="55"/>
      <c r="E21" s="55" t="s">
        <v>210</v>
      </c>
      <c r="F21" s="57">
        <v>104097</v>
      </c>
      <c r="G21" s="58">
        <v>7.8244199999999999</v>
      </c>
      <c r="H21" s="57"/>
      <c r="I21" s="57"/>
      <c r="J21" s="68">
        <v>814498.64870000002</v>
      </c>
      <c r="K21" s="6"/>
      <c r="L21" s="20">
        <f>IF(ISNA(MATCH(Transactions[[#This Row],[TransType]],TransTypes[TransType],0)),1,MATCH(Transactions[[#This Row],[TransType]],TransTypes[TransType],0))</f>
        <v>15</v>
      </c>
      <c r="M21" s="60">
        <f>IF( AND( INDEX(TransTypes[],Transactions[[#This Row],[TTR]],TT_COL_GLFlag)=1, INDEX(TransTypes[],Transactions[[#This Row],[TTR]],TT_COL_LONGORSHORT)="S" ),
      Transactions[[#This Row],[PL]],
      IF(INDEX(TransTypes[],Transactions[[#This Row],[TTR]],TT_COL_LONGORSHORT)="S",0,Transactions[[#This Row],[CalCashImpact]])
)</f>
        <v>814498.64870000002</v>
      </c>
      <c r="N21" s="61">
        <f>IF(VLOOKUP(Transactions[[#This Row],[Symbol]],Symbols[],COLUMN(Symbols[Currency])-COLUMN(Symbols[])+1,FALSE)=
       VLOOKUP(Transactions[[#This Row],[Account]],Accounts[],COLUMN(Accounts[Currency])-COLUMN(Accounts[])+1,FALSE),
     Transactions[[#This Row],[OrigCashImpact]],
     0
)</f>
        <v>0</v>
      </c>
      <c r="O2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169737.22</v>
      </c>
      <c r="P2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 s="41">
        <f>ROW()</f>
        <v>21</v>
      </c>
      <c r="S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 s="65">
        <f>IF(INDEX(TransTypes[],Transactions[[#This Row],[TTR]],TT_COL_GLFlag)=1,Transactions[[#This Row],[CalCashImpact]]+Transactions[[#This Row],[CostImpact]],0)</f>
        <v>0</v>
      </c>
      <c r="W21" s="66">
        <f>Transactions[[#This Row],[Amount]]*INDEX(TransTypes[],Transactions[[#This Row],[TTR]],TT_COL_AmntSign)</f>
        <v>814498.64870000002</v>
      </c>
      <c r="X21" s="66">
        <f>IF(INDEX(TransTypes[],Transactions[[#This Row],[TTR]],TT_COL_LONGORSHORT)="S",
      IF( OR(INDEX(TransTypes[],Transactions[[#This Row],[TTR]],TT_COL_GLFlag)=1, INDEX(TransTypes[], Transactions[[#This Row],[TTR]], TT_COL_ShareTransferFlag)=1),
            Transactions[[#This Row],[CostImpact]]*-1,
            Transactions[[#This Row],[CalCashImpact]]
      ),
     0
)</f>
        <v>0</v>
      </c>
      <c r="Y21" s="67" t="str">
        <f>VLOOKUP(Transactions[[#This Row],[Symbol]],Symbols[], COLUMN(Symbols[Currency])-COLUMN(Symbols[])+1,FALSE)</f>
        <v>HKD</v>
      </c>
    </row>
    <row r="22" spans="1:25">
      <c r="A22" s="55" t="s">
        <v>65</v>
      </c>
      <c r="B22" s="56">
        <v>42984</v>
      </c>
      <c r="C22" s="55" t="s">
        <v>238</v>
      </c>
      <c r="D22" s="55"/>
      <c r="E22" s="55" t="s">
        <v>208</v>
      </c>
      <c r="F22" s="57">
        <v>104097</v>
      </c>
      <c r="G22" s="58">
        <v>1</v>
      </c>
      <c r="H22" s="57">
        <v>2.081519675</v>
      </c>
      <c r="I22" s="57"/>
      <c r="J22" s="68">
        <v>104099.081519675</v>
      </c>
      <c r="K22" s="6" t="s">
        <v>342</v>
      </c>
      <c r="L22" s="20">
        <f>IF(ISNA(MATCH(Transactions[[#This Row],[TransType]],TransTypes[TransType],0)),1,MATCH(Transactions[[#This Row],[TransType]],TransTypes[TransType],0))</f>
        <v>16</v>
      </c>
      <c r="M22" s="60">
        <f>IF( AND( INDEX(TransTypes[],Transactions[[#This Row],[TTR]],TT_COL_GLFlag)=1, INDEX(TransTypes[],Transactions[[#This Row],[TTR]],TT_COL_LONGORSHORT)="S" ),
      Transactions[[#This Row],[PL]],
      IF(INDEX(TransTypes[],Transactions[[#This Row],[TTR]],TT_COL_LONGORSHORT)="S",0,Transactions[[#This Row],[CalCashImpact]])
)</f>
        <v>-104099.081519675</v>
      </c>
      <c r="N22" s="61">
        <f>IF(VLOOKUP(Transactions[[#This Row],[Symbol]],Symbols[],COLUMN(Symbols[Currency])-COLUMN(Symbols[])+1,FALSE)=
       VLOOKUP(Transactions[[#This Row],[Account]],Accounts[],COLUMN(Accounts[Currency])-COLUMN(Accounts[])+1,FALSE),
     Transactions[[#This Row],[OrigCashImpact]],
     0
)</f>
        <v>-104099.081519675</v>
      </c>
      <c r="O2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65638.138480324997</v>
      </c>
      <c r="P2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2" s="41">
        <f>ROW()</f>
        <v>22</v>
      </c>
      <c r="S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2" s="65">
        <f>IF(INDEX(TransTypes[],Transactions[[#This Row],[TTR]],TT_COL_GLFlag)=1,Transactions[[#This Row],[CalCashImpact]]+Transactions[[#This Row],[CostImpact]],0)</f>
        <v>0</v>
      </c>
      <c r="W22" s="66">
        <f>Transactions[[#This Row],[Amount]]*INDEX(TransTypes[],Transactions[[#This Row],[TTR]],TT_COL_AmntSign)</f>
        <v>-104099.081519675</v>
      </c>
      <c r="X22" s="66">
        <f>IF(INDEX(TransTypes[],Transactions[[#This Row],[TTR]],TT_COL_LONGORSHORT)="S",
      IF( OR(INDEX(TransTypes[],Transactions[[#This Row],[TTR]],TT_COL_GLFlag)=1, INDEX(TransTypes[], Transactions[[#This Row],[TTR]], TT_COL_ShareTransferFlag)=1),
            Transactions[[#This Row],[CostImpact]]*-1,
            Transactions[[#This Row],[CalCashImpact]]
      ),
     0
)</f>
        <v>0</v>
      </c>
      <c r="Y22" s="67" t="str">
        <f>VLOOKUP(Transactions[[#This Row],[Symbol]],Symbols[], COLUMN(Symbols[Currency])-COLUMN(Symbols[])+1,FALSE)</f>
        <v>USD</v>
      </c>
    </row>
    <row r="23" spans="1:25">
      <c r="A23" s="55" t="s">
        <v>65</v>
      </c>
      <c r="B23" s="56">
        <v>42984</v>
      </c>
      <c r="C23" s="55" t="s">
        <v>240</v>
      </c>
      <c r="D23" s="55"/>
      <c r="E23" s="55" t="s">
        <v>208</v>
      </c>
      <c r="F23" s="57"/>
      <c r="G23" s="58"/>
      <c r="H23" s="57"/>
      <c r="I23" s="57"/>
      <c r="J23" s="68">
        <v>16.739999999999998</v>
      </c>
      <c r="K23" s="6" t="s">
        <v>343</v>
      </c>
      <c r="L23" s="20">
        <f>IF(ISNA(MATCH(Transactions[[#This Row],[TransType]],TransTypes[TransType],0)),1,MATCH(Transactions[[#This Row],[TransType]],TransTypes[TransType],0))</f>
        <v>8</v>
      </c>
      <c r="M23" s="60">
        <f>IF( AND( INDEX(TransTypes[],Transactions[[#This Row],[TTR]],TT_COL_GLFlag)=1, INDEX(TransTypes[],Transactions[[#This Row],[TTR]],TT_COL_LONGORSHORT)="S" ),
      Transactions[[#This Row],[PL]],
      IF(INDEX(TransTypes[],Transactions[[#This Row],[TTR]],TT_COL_LONGORSHORT)="S",0,Transactions[[#This Row],[CalCashImpact]])
)</f>
        <v>16.739999999999998</v>
      </c>
      <c r="N23" s="61">
        <f>IF(VLOOKUP(Transactions[[#This Row],[Symbol]],Symbols[],COLUMN(Symbols[Currency])-COLUMN(Symbols[])+1,FALSE)=
       VLOOKUP(Transactions[[#This Row],[Account]],Accounts[],COLUMN(Accounts[Currency])-COLUMN(Accounts[])+1,FALSE),
     Transactions[[#This Row],[OrigCashImpact]],
     0
)</f>
        <v>16.739999999999998</v>
      </c>
      <c r="O2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65654.878480324987</v>
      </c>
      <c r="P2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3" s="41">
        <f>ROW()</f>
        <v>23</v>
      </c>
      <c r="S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3" s="65">
        <f>IF(INDEX(TransTypes[],Transactions[[#This Row],[TTR]],TT_COL_GLFlag)=1,Transactions[[#This Row],[CalCashImpact]]+Transactions[[#This Row],[CostImpact]],0)</f>
        <v>0</v>
      </c>
      <c r="W23" s="66">
        <f>Transactions[[#This Row],[Amount]]*INDEX(TransTypes[],Transactions[[#This Row],[TTR]],TT_COL_AmntSign)</f>
        <v>16.739999999999998</v>
      </c>
      <c r="X23" s="66">
        <f>IF(INDEX(TransTypes[],Transactions[[#This Row],[TTR]],TT_COL_LONGORSHORT)="S",
      IF( OR(INDEX(TransTypes[],Transactions[[#This Row],[TTR]],TT_COL_GLFlag)=1, INDEX(TransTypes[], Transactions[[#This Row],[TTR]], TT_COL_ShareTransferFlag)=1),
            Transactions[[#This Row],[CostImpact]]*-1,
            Transactions[[#This Row],[CalCashImpact]]
      ),
     0
)</f>
        <v>0</v>
      </c>
      <c r="Y23" s="67" t="str">
        <f>VLOOKUP(Transactions[[#This Row],[Symbol]],Symbols[], COLUMN(Symbols[Currency])-COLUMN(Symbols[])+1,FALSE)</f>
        <v>USD</v>
      </c>
    </row>
    <row r="24" spans="1:25">
      <c r="A24" s="55" t="s">
        <v>65</v>
      </c>
      <c r="B24" s="56">
        <v>42985</v>
      </c>
      <c r="C24" s="55" t="s">
        <v>113</v>
      </c>
      <c r="D24" s="55"/>
      <c r="E24" s="55" t="s">
        <v>325</v>
      </c>
      <c r="F24" s="57">
        <v>300</v>
      </c>
      <c r="G24" s="58">
        <v>78.979733330000002</v>
      </c>
      <c r="H24" s="57">
        <v>1.2</v>
      </c>
      <c r="I24" s="57"/>
      <c r="J24" s="68">
        <v>23695.119999999999</v>
      </c>
      <c r="K24" s="6"/>
      <c r="L24" s="20">
        <f>IF(ISNA(MATCH(Transactions[[#This Row],[TransType]],TransTypes[TransType],0)),1,MATCH(Transactions[[#This Row],[TransType]],TransTypes[TransType],0))</f>
        <v>2</v>
      </c>
      <c r="M24" s="60">
        <f>IF( AND( INDEX(TransTypes[],Transactions[[#This Row],[TTR]],TT_COL_GLFlag)=1, INDEX(TransTypes[],Transactions[[#This Row],[TTR]],TT_COL_LONGORSHORT)="S" ),
      Transactions[[#This Row],[PL]],
      IF(INDEX(TransTypes[],Transactions[[#This Row],[TTR]],TT_COL_LONGORSHORT)="S",0,Transactions[[#This Row],[CalCashImpact]])
)</f>
        <v>-23695.119999999999</v>
      </c>
      <c r="N24" s="61">
        <f>IF(VLOOKUP(Transactions[[#This Row],[Symbol]],Symbols[],COLUMN(Symbols[Currency])-COLUMN(Symbols[])+1,FALSE)=
       VLOOKUP(Transactions[[#This Row],[Account]],Accounts[],COLUMN(Accounts[Currency])-COLUMN(Accounts[])+1,FALSE),
     Transactions[[#This Row],[OrigCashImpact]],
     0
)</f>
        <v>-23695.119999999999</v>
      </c>
      <c r="O2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41959.758480325007</v>
      </c>
      <c r="P2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2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24" s="41">
        <f>ROW()</f>
        <v>24</v>
      </c>
      <c r="S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23695.119999999999</v>
      </c>
      <c r="T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23695.119999999999</v>
      </c>
      <c r="U2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24" s="65">
        <f>IF(INDEX(TransTypes[],Transactions[[#This Row],[TTR]],TT_COL_GLFlag)=1,Transactions[[#This Row],[CalCashImpact]]+Transactions[[#This Row],[CostImpact]],0)</f>
        <v>0</v>
      </c>
      <c r="W24" s="66">
        <f>Transactions[[#This Row],[Amount]]*INDEX(TransTypes[],Transactions[[#This Row],[TTR]],TT_COL_AmntSign)</f>
        <v>-23695.119999999999</v>
      </c>
      <c r="X24" s="66">
        <f>IF(INDEX(TransTypes[],Transactions[[#This Row],[TTR]],TT_COL_LONGORSHORT)="S",
      IF( OR(INDEX(TransTypes[],Transactions[[#This Row],[TTR]],TT_COL_GLFlag)=1, INDEX(TransTypes[], Transactions[[#This Row],[TTR]], TT_COL_ShareTransferFlag)=1),
            Transactions[[#This Row],[CostImpact]]*-1,
            Transactions[[#This Row],[CalCashImpact]]
      ),
     0
)</f>
        <v>0</v>
      </c>
      <c r="Y24" s="67" t="str">
        <f>VLOOKUP(Transactions[[#This Row],[Symbol]],Symbols[], COLUMN(Symbols[Currency])-COLUMN(Symbols[])+1,FALSE)</f>
        <v>USD</v>
      </c>
    </row>
    <row r="25" spans="1:25">
      <c r="A25" s="55" t="s">
        <v>65</v>
      </c>
      <c r="B25" s="56">
        <v>42986</v>
      </c>
      <c r="C25" s="55" t="s">
        <v>115</v>
      </c>
      <c r="D25" s="55"/>
      <c r="E25" s="55" t="s">
        <v>322</v>
      </c>
      <c r="F25" s="57">
        <v>700</v>
      </c>
      <c r="G25" s="58">
        <v>79.580399999999997</v>
      </c>
      <c r="H25" s="57">
        <v>4.3701150679999996</v>
      </c>
      <c r="I25" s="57"/>
      <c r="J25" s="68">
        <v>55701.909884932</v>
      </c>
      <c r="K25" s="6"/>
      <c r="L25" s="20">
        <f>IF(ISNA(MATCH(Transactions[[#This Row],[TransType]],TransTypes[TransType],0)),1,MATCH(Transactions[[#This Row],[TransType]],TransTypes[TransType],0))</f>
        <v>3</v>
      </c>
      <c r="M25" s="60">
        <f>IF( AND( INDEX(TransTypes[],Transactions[[#This Row],[TTR]],TT_COL_GLFlag)=1, INDEX(TransTypes[],Transactions[[#This Row],[TTR]],TT_COL_LONGORSHORT)="S" ),
      Transactions[[#This Row],[PL]],
      IF(INDEX(TransTypes[],Transactions[[#This Row],[TTR]],TT_COL_LONGORSHORT)="S",0,Transactions[[#This Row],[CalCashImpact]])
)</f>
        <v>55701.909884932</v>
      </c>
      <c r="N25" s="61">
        <f>IF(VLOOKUP(Transactions[[#This Row],[Symbol]],Symbols[],COLUMN(Symbols[Currency])-COLUMN(Symbols[])+1,FALSE)=
       VLOOKUP(Transactions[[#This Row],[Account]],Accounts[],COLUMN(Accounts[Currency])-COLUMN(Accounts[])+1,FALSE),
     Transactions[[#This Row],[OrigCashImpact]],
     0
)</f>
        <v>55701.909884932</v>
      </c>
      <c r="O2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97661.668365257006</v>
      </c>
      <c r="P2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v>
      </c>
      <c r="Q2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5" s="41">
        <f>ROW()</f>
        <v>25</v>
      </c>
      <c r="S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-55436.19</v>
      </c>
      <c r="T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25" s="65">
        <f>IF(INDEX(TransTypes[],Transactions[[#This Row],[TTR]],TT_COL_GLFlag)=1,Transactions[[#This Row],[CalCashImpact]]+Transactions[[#This Row],[CostImpact]],0)</f>
        <v>265.71988493199751</v>
      </c>
      <c r="W25" s="66">
        <f>Transactions[[#This Row],[Amount]]*INDEX(TransTypes[],Transactions[[#This Row],[TTR]],TT_COL_AmntSign)</f>
        <v>55701.909884932</v>
      </c>
      <c r="X25" s="66">
        <f>IF(INDEX(TransTypes[],Transactions[[#This Row],[TTR]],TT_COL_LONGORSHORT)="S",
      IF( OR(INDEX(TransTypes[],Transactions[[#This Row],[TTR]],TT_COL_GLFlag)=1, INDEX(TransTypes[], Transactions[[#This Row],[TTR]], TT_COL_ShareTransferFlag)=1),
            Transactions[[#This Row],[CostImpact]]*-1,
            Transactions[[#This Row],[CalCashImpact]]
      ),
     0
)</f>
        <v>0</v>
      </c>
      <c r="Y25" s="67" t="str">
        <f>VLOOKUP(Transactions[[#This Row],[Symbol]],Symbols[], COLUMN(Symbols[Currency])-COLUMN(Symbols[])+1,FALSE)</f>
        <v>USD</v>
      </c>
    </row>
    <row r="26" spans="1:25">
      <c r="A26" s="55" t="s">
        <v>65</v>
      </c>
      <c r="B26" s="56">
        <v>42991</v>
      </c>
      <c r="C26" s="55" t="s">
        <v>113</v>
      </c>
      <c r="D26" s="55"/>
      <c r="E26" s="55" t="s">
        <v>20</v>
      </c>
      <c r="F26" s="57">
        <v>400</v>
      </c>
      <c r="G26" s="58">
        <v>126.589175</v>
      </c>
      <c r="H26" s="57">
        <v>1.6</v>
      </c>
      <c r="I26" s="57"/>
      <c r="J26" s="68">
        <v>50637.27</v>
      </c>
      <c r="K26" s="6"/>
      <c r="L26" s="20">
        <f>IF(ISNA(MATCH(Transactions[[#This Row],[TransType]],TransTypes[TransType],0)),1,MATCH(Transactions[[#This Row],[TransType]],TransTypes[TransType],0))</f>
        <v>2</v>
      </c>
      <c r="M26" s="60">
        <f>IF( AND( INDEX(TransTypes[],Transactions[[#This Row],[TTR]],TT_COL_GLFlag)=1, INDEX(TransTypes[],Transactions[[#This Row],[TTR]],TT_COL_LONGORSHORT)="S" ),
      Transactions[[#This Row],[PL]],
      IF(INDEX(TransTypes[],Transactions[[#This Row],[TTR]],TT_COL_LONGORSHORT)="S",0,Transactions[[#This Row],[CalCashImpact]])
)</f>
        <v>-50637.27</v>
      </c>
      <c r="N26" s="61">
        <f>IF(VLOOKUP(Transactions[[#This Row],[Symbol]],Symbols[],COLUMN(Symbols[Currency])-COLUMN(Symbols[])+1,FALSE)=
       VLOOKUP(Transactions[[#This Row],[Account]],Accounts[],COLUMN(Accounts[Currency])-COLUMN(Accounts[])+1,FALSE),
     Transactions[[#This Row],[OrigCashImpact]],
     0
)</f>
        <v>-50637.27</v>
      </c>
      <c r="O2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47024.39836525701</v>
      </c>
      <c r="P2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2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26" s="41">
        <f>ROW()</f>
        <v>26</v>
      </c>
      <c r="S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50637.27</v>
      </c>
      <c r="T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2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26" s="65">
        <f>IF(INDEX(TransTypes[],Transactions[[#This Row],[TTR]],TT_COL_GLFlag)=1,Transactions[[#This Row],[CalCashImpact]]+Transactions[[#This Row],[CostImpact]],0)</f>
        <v>0</v>
      </c>
      <c r="W26" s="66">
        <f>Transactions[[#This Row],[Amount]]*INDEX(TransTypes[],Transactions[[#This Row],[TTR]],TT_COL_AmntSign)</f>
        <v>-50637.27</v>
      </c>
      <c r="X26" s="66">
        <f>IF(INDEX(TransTypes[],Transactions[[#This Row],[TTR]],TT_COL_LONGORSHORT)="S",
      IF( OR(INDEX(TransTypes[],Transactions[[#This Row],[TTR]],TT_COL_GLFlag)=1, INDEX(TransTypes[], Transactions[[#This Row],[TTR]], TT_COL_ShareTransferFlag)=1),
            Transactions[[#This Row],[CostImpact]]*-1,
            Transactions[[#This Row],[CalCashImpact]]
      ),
     0
)</f>
        <v>0</v>
      </c>
      <c r="Y26" s="67" t="str">
        <f>VLOOKUP(Transactions[[#This Row],[Symbol]],Symbols[], COLUMN(Symbols[Currency])-COLUMN(Symbols[])+1,FALSE)</f>
        <v>USD</v>
      </c>
    </row>
    <row r="27" spans="1:25">
      <c r="A27" s="55" t="s">
        <v>65</v>
      </c>
      <c r="B27" s="56">
        <v>42992</v>
      </c>
      <c r="C27" s="55" t="s">
        <v>158</v>
      </c>
      <c r="D27" s="55"/>
      <c r="E27" s="55" t="s">
        <v>49</v>
      </c>
      <c r="F27" s="57">
        <v>1</v>
      </c>
      <c r="G27" s="58">
        <v>5987</v>
      </c>
      <c r="H27" s="57">
        <v>2.04</v>
      </c>
      <c r="I27" s="57"/>
      <c r="J27" s="68">
        <v>119737.96</v>
      </c>
      <c r="K27" s="6"/>
      <c r="L27" s="20">
        <f>IF(ISNA(MATCH(Transactions[[#This Row],[TransType]],TransTypes[TransType],0)),1,MATCH(Transactions[[#This Row],[TransType]],TransTypes[TransType],0))</f>
        <v>19</v>
      </c>
      <c r="M27" s="60">
        <f>IF( AND( INDEX(TransTypes[],Transactions[[#This Row],[TTR]],TT_COL_GLFlag)=1, INDEX(TransTypes[],Transactions[[#This Row],[TTR]],TT_COL_LONGORSHORT)="S" ),
      Transactions[[#This Row],[PL]],
      IF(INDEX(TransTypes[],Transactions[[#This Row],[TTR]],TT_COL_LONGORSHORT)="S",0,Transactions[[#This Row],[CalCashImpact]])
)</f>
        <v>0</v>
      </c>
      <c r="N27" s="61">
        <f>IF(VLOOKUP(Transactions[[#This Row],[Symbol]],Symbols[],COLUMN(Symbols[Currency])-COLUMN(Symbols[])+1,FALSE)=
       VLOOKUP(Transactions[[#This Row],[Account]],Accounts[],COLUMN(Accounts[Currency])-COLUMN(Accounts[])+1,FALSE),
     Transactions[[#This Row],[OrigCashImpact]],
     0
)</f>
        <v>0</v>
      </c>
      <c r="O2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47024.39836525701</v>
      </c>
      <c r="P2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2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27" s="41">
        <f>ROW()</f>
        <v>27</v>
      </c>
      <c r="S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-119737.96</v>
      </c>
      <c r="T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-119737.96</v>
      </c>
      <c r="U2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27" s="65">
        <f>IF(INDEX(TransTypes[],Transactions[[#This Row],[TTR]],TT_COL_GLFlag)=1,Transactions[[#This Row],[CalCashImpact]]+Transactions[[#This Row],[CostImpact]],0)</f>
        <v>0</v>
      </c>
      <c r="W27" s="66">
        <f>Transactions[[#This Row],[Amount]]*INDEX(TransTypes[],Transactions[[#This Row],[TTR]],TT_COL_AmntSign)</f>
        <v>119737.96</v>
      </c>
      <c r="X27" s="66">
        <f>IF(INDEX(TransTypes[],Transactions[[#This Row],[TTR]],TT_COL_LONGORSHORT)="S",
      IF( OR(INDEX(TransTypes[],Transactions[[#This Row],[TTR]],TT_COL_GLFlag)=1, INDEX(TransTypes[], Transactions[[#This Row],[TTR]], TT_COL_ShareTransferFlag)=1),
            Transactions[[#This Row],[CostImpact]]*-1,
            Transactions[[#This Row],[CalCashImpact]]
      ),
     0
)</f>
        <v>119737.96</v>
      </c>
      <c r="Y27" s="67" t="str">
        <f>VLOOKUP(Transactions[[#This Row],[Symbol]],Symbols[], COLUMN(Symbols[Currency])-COLUMN(Symbols[])+1,FALSE)</f>
        <v>USD</v>
      </c>
    </row>
    <row r="28" spans="1:25">
      <c r="A28" s="55" t="s">
        <v>65</v>
      </c>
      <c r="B28" s="56">
        <v>42993</v>
      </c>
      <c r="C28" s="55" t="s">
        <v>113</v>
      </c>
      <c r="D28" s="55"/>
      <c r="E28" s="55" t="s">
        <v>258</v>
      </c>
      <c r="F28" s="57">
        <v>6000</v>
      </c>
      <c r="G28" s="58">
        <v>31.15</v>
      </c>
      <c r="H28" s="57">
        <v>533.61260000000004</v>
      </c>
      <c r="I28" s="57"/>
      <c r="J28" s="68">
        <v>187433.61259999999</v>
      </c>
      <c r="K28" s="6"/>
      <c r="L28" s="20">
        <f>IF(ISNA(MATCH(Transactions[[#This Row],[TransType]],TransTypes[TransType],0)),1,MATCH(Transactions[[#This Row],[TransType]],TransTypes[TransType],0))</f>
        <v>2</v>
      </c>
      <c r="M28" s="60">
        <f>IF( AND( INDEX(TransTypes[],Transactions[[#This Row],[TTR]],TT_COL_GLFlag)=1, INDEX(TransTypes[],Transactions[[#This Row],[TTR]],TT_COL_LONGORSHORT)="S" ),
      Transactions[[#This Row],[PL]],
      IF(INDEX(TransTypes[],Transactions[[#This Row],[TTR]],TT_COL_LONGORSHORT)="S",0,Transactions[[#This Row],[CalCashImpact]])
)</f>
        <v>-187433.61259999999</v>
      </c>
      <c r="N28" s="61">
        <f>IF(VLOOKUP(Transactions[[#This Row],[Symbol]],Symbols[],COLUMN(Symbols[Currency])-COLUMN(Symbols[])+1,FALSE)=
       VLOOKUP(Transactions[[#This Row],[Account]],Accounts[],COLUMN(Accounts[Currency])-COLUMN(Accounts[])+1,FALSE),
     Transactions[[#This Row],[OrigCashImpact]],
     0
)</f>
        <v>0</v>
      </c>
      <c r="O2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47024.39836525701</v>
      </c>
      <c r="P2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2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28" s="41">
        <f>ROW()</f>
        <v>28</v>
      </c>
      <c r="S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187433.61259999999</v>
      </c>
      <c r="T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187433.61259999999</v>
      </c>
      <c r="U2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28" s="65">
        <f>IF(INDEX(TransTypes[],Transactions[[#This Row],[TTR]],TT_COL_GLFlag)=1,Transactions[[#This Row],[CalCashImpact]]+Transactions[[#This Row],[CostImpact]],0)</f>
        <v>0</v>
      </c>
      <c r="W28" s="66">
        <f>Transactions[[#This Row],[Amount]]*INDEX(TransTypes[],Transactions[[#This Row],[TTR]],TT_COL_AmntSign)</f>
        <v>-187433.61259999999</v>
      </c>
      <c r="X28" s="66">
        <f>IF(INDEX(TransTypes[],Transactions[[#This Row],[TTR]],TT_COL_LONGORSHORT)="S",
      IF( OR(INDEX(TransTypes[],Transactions[[#This Row],[TTR]],TT_COL_GLFlag)=1, INDEX(TransTypes[], Transactions[[#This Row],[TTR]], TT_COL_ShareTransferFlag)=1),
            Transactions[[#This Row],[CostImpact]]*-1,
            Transactions[[#This Row],[CalCashImpact]]
      ),
     0
)</f>
        <v>0</v>
      </c>
      <c r="Y28" s="67" t="str">
        <f>VLOOKUP(Transactions[[#This Row],[Symbol]],Symbols[], COLUMN(Symbols[Currency])-COLUMN(Symbols[])+1,FALSE)</f>
        <v>HKD</v>
      </c>
    </row>
    <row r="29" spans="1:25">
      <c r="A29" s="55" t="s">
        <v>65</v>
      </c>
      <c r="B29" s="56">
        <v>42993</v>
      </c>
      <c r="C29" s="55" t="s">
        <v>113</v>
      </c>
      <c r="D29" s="55"/>
      <c r="E29" s="55" t="s">
        <v>261</v>
      </c>
      <c r="F29" s="57">
        <v>10000</v>
      </c>
      <c r="G29" s="58">
        <v>28.6</v>
      </c>
      <c r="H29" s="57">
        <v>818.24400000000003</v>
      </c>
      <c r="I29" s="57"/>
      <c r="J29" s="68">
        <v>286818.24400000001</v>
      </c>
      <c r="K29" s="6"/>
      <c r="L29" s="20">
        <f>IF(ISNA(MATCH(Transactions[[#This Row],[TransType]],TransTypes[TransType],0)),1,MATCH(Transactions[[#This Row],[TransType]],TransTypes[TransType],0))</f>
        <v>2</v>
      </c>
      <c r="M29" s="60">
        <f>IF( AND( INDEX(TransTypes[],Transactions[[#This Row],[TTR]],TT_COL_GLFlag)=1, INDEX(TransTypes[],Transactions[[#This Row],[TTR]],TT_COL_LONGORSHORT)="S" ),
      Transactions[[#This Row],[PL]],
      IF(INDEX(TransTypes[],Transactions[[#This Row],[TTR]],TT_COL_LONGORSHORT)="S",0,Transactions[[#This Row],[CalCashImpact]])
)</f>
        <v>-286818.24400000001</v>
      </c>
      <c r="N29" s="61">
        <f>IF(VLOOKUP(Transactions[[#This Row],[Symbol]],Symbols[],COLUMN(Symbols[Currency])-COLUMN(Symbols[])+1,FALSE)=
       VLOOKUP(Transactions[[#This Row],[Account]],Accounts[],COLUMN(Accounts[Currency])-COLUMN(Accounts[])+1,FALSE),
     Transactions[[#This Row],[OrigCashImpact]],
     0
)</f>
        <v>0</v>
      </c>
      <c r="O2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47024.39836525701</v>
      </c>
      <c r="P2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2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29" s="41">
        <f>ROW()</f>
        <v>29</v>
      </c>
      <c r="S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286818.24400000001</v>
      </c>
      <c r="T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286818.24400000001</v>
      </c>
      <c r="U2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29" s="65">
        <f>IF(INDEX(TransTypes[],Transactions[[#This Row],[TTR]],TT_COL_GLFlag)=1,Transactions[[#This Row],[CalCashImpact]]+Transactions[[#This Row],[CostImpact]],0)</f>
        <v>0</v>
      </c>
      <c r="W29" s="66">
        <f>Transactions[[#This Row],[Amount]]*INDEX(TransTypes[],Transactions[[#This Row],[TTR]],TT_COL_AmntSign)</f>
        <v>-286818.24400000001</v>
      </c>
      <c r="X29" s="66">
        <f>IF(INDEX(TransTypes[],Transactions[[#This Row],[TTR]],TT_COL_LONGORSHORT)="S",
      IF( OR(INDEX(TransTypes[],Transactions[[#This Row],[TTR]],TT_COL_GLFlag)=1, INDEX(TransTypes[], Transactions[[#This Row],[TTR]], TT_COL_ShareTransferFlag)=1),
            Transactions[[#This Row],[CostImpact]]*-1,
            Transactions[[#This Row],[CalCashImpact]]
      ),
     0
)</f>
        <v>0</v>
      </c>
      <c r="Y29" s="67" t="str">
        <f>VLOOKUP(Transactions[[#This Row],[Symbol]],Symbols[], COLUMN(Symbols[Currency])-COLUMN(Symbols[])+1,FALSE)</f>
        <v>HKD</v>
      </c>
    </row>
    <row r="30" spans="1:25">
      <c r="A30" s="55" t="s">
        <v>65</v>
      </c>
      <c r="B30" s="56">
        <v>42993</v>
      </c>
      <c r="C30" s="55" t="s">
        <v>115</v>
      </c>
      <c r="D30" s="55"/>
      <c r="E30" s="55" t="s">
        <v>268</v>
      </c>
      <c r="F30" s="57">
        <v>21000</v>
      </c>
      <c r="G30" s="58">
        <v>10.3</v>
      </c>
      <c r="H30" s="57">
        <v>618.72019999999998</v>
      </c>
      <c r="I30" s="57"/>
      <c r="J30" s="68">
        <v>215681.27979999999</v>
      </c>
      <c r="K30" s="6"/>
      <c r="L30" s="20">
        <f>IF(ISNA(MATCH(Transactions[[#This Row],[TransType]],TransTypes[TransType],0)),1,MATCH(Transactions[[#This Row],[TransType]],TransTypes[TransType],0))</f>
        <v>3</v>
      </c>
      <c r="M30" s="60">
        <f>IF( AND( INDEX(TransTypes[],Transactions[[#This Row],[TTR]],TT_COL_GLFlag)=1, INDEX(TransTypes[],Transactions[[#This Row],[TTR]],TT_COL_LONGORSHORT)="S" ),
      Transactions[[#This Row],[PL]],
      IF(INDEX(TransTypes[],Transactions[[#This Row],[TTR]],TT_COL_LONGORSHORT)="S",0,Transactions[[#This Row],[CalCashImpact]])
)</f>
        <v>215681.27979999999</v>
      </c>
      <c r="N30" s="61">
        <f>IF(VLOOKUP(Transactions[[#This Row],[Symbol]],Symbols[],COLUMN(Symbols[Currency])-COLUMN(Symbols[])+1,FALSE)=
       VLOOKUP(Transactions[[#This Row],[Account]],Accounts[],COLUMN(Accounts[Currency])-COLUMN(Accounts[])+1,FALSE),
     Transactions[[#This Row],[OrigCashImpact]],
     0
)</f>
        <v>0</v>
      </c>
      <c r="O3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47024.39836525701</v>
      </c>
      <c r="P3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-21000</v>
      </c>
      <c r="Q3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21000</v>
      </c>
      <c r="R30" s="41">
        <f>ROW()</f>
        <v>30</v>
      </c>
      <c r="S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-197034.78537999999</v>
      </c>
      <c r="T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197034.78537999999</v>
      </c>
      <c r="U3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42000</v>
      </c>
      <c r="V30" s="65">
        <f>IF(INDEX(TransTypes[],Transactions[[#This Row],[TTR]],TT_COL_GLFlag)=1,Transactions[[#This Row],[CalCashImpact]]+Transactions[[#This Row],[CostImpact]],0)</f>
        <v>18646.494420000003</v>
      </c>
      <c r="W30" s="66">
        <f>Transactions[[#This Row],[Amount]]*INDEX(TransTypes[],Transactions[[#This Row],[TTR]],TT_COL_AmntSign)</f>
        <v>215681.27979999999</v>
      </c>
      <c r="X30" s="66">
        <f>IF(INDEX(TransTypes[],Transactions[[#This Row],[TTR]],TT_COL_LONGORSHORT)="S",
      IF( OR(INDEX(TransTypes[],Transactions[[#This Row],[TTR]],TT_COL_GLFlag)=1, INDEX(TransTypes[], Transactions[[#This Row],[TTR]], TT_COL_ShareTransferFlag)=1),
            Transactions[[#This Row],[CostImpact]]*-1,
            Transactions[[#This Row],[CalCashImpact]]
      ),
     0
)</f>
        <v>0</v>
      </c>
      <c r="Y30" s="67" t="str">
        <f>VLOOKUP(Transactions[[#This Row],[Symbol]],Symbols[], COLUMN(Symbols[Currency])-COLUMN(Symbols[])+1,FALSE)</f>
        <v>HKD</v>
      </c>
    </row>
    <row r="31" spans="1:25">
      <c r="A31" s="55" t="s">
        <v>65</v>
      </c>
      <c r="B31" s="56">
        <v>42993</v>
      </c>
      <c r="C31" s="55" t="s">
        <v>115</v>
      </c>
      <c r="D31" s="55"/>
      <c r="E31" s="55" t="s">
        <v>199</v>
      </c>
      <c r="F31" s="57">
        <v>1000</v>
      </c>
      <c r="G31" s="58">
        <v>339.4</v>
      </c>
      <c r="H31" s="57">
        <v>969.84760000000006</v>
      </c>
      <c r="I31" s="57"/>
      <c r="J31" s="68">
        <v>338430.15240000002</v>
      </c>
      <c r="K31" s="6"/>
      <c r="L31" s="20">
        <f>IF(ISNA(MATCH(Transactions[[#This Row],[TransType]],TransTypes[TransType],0)),1,MATCH(Transactions[[#This Row],[TransType]],TransTypes[TransType],0))</f>
        <v>3</v>
      </c>
      <c r="M31" s="60">
        <f>IF( AND( INDEX(TransTypes[],Transactions[[#This Row],[TTR]],TT_COL_GLFlag)=1, INDEX(TransTypes[],Transactions[[#This Row],[TTR]],TT_COL_LONGORSHORT)="S" ),
      Transactions[[#This Row],[PL]],
      IF(INDEX(TransTypes[],Transactions[[#This Row],[TTR]],TT_COL_LONGORSHORT)="S",0,Transactions[[#This Row],[CalCashImpact]])
)</f>
        <v>338430.15240000002</v>
      </c>
      <c r="N31" s="61">
        <f>IF(VLOOKUP(Transactions[[#This Row],[Symbol]],Symbols[],COLUMN(Symbols[Currency])-COLUMN(Symbols[])+1,FALSE)=
       VLOOKUP(Transactions[[#This Row],[Account]],Accounts[],COLUMN(Accounts[Currency])-COLUMN(Accounts[])+1,FALSE),
     Transactions[[#This Row],[OrigCashImpact]],
     0
)</f>
        <v>0</v>
      </c>
      <c r="O3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47024.39836525701</v>
      </c>
      <c r="P3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3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31" s="41">
        <f>ROW()</f>
        <v>31</v>
      </c>
      <c r="S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-327398.40025599999</v>
      </c>
      <c r="T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1309593.601024</v>
      </c>
      <c r="U3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31" s="65">
        <f>IF(INDEX(TransTypes[],Transactions[[#This Row],[TTR]],TT_COL_GLFlag)=1,Transactions[[#This Row],[CalCashImpact]]+Transactions[[#This Row],[CostImpact]],0)</f>
        <v>11031.752144000027</v>
      </c>
      <c r="W31" s="66">
        <f>Transactions[[#This Row],[Amount]]*INDEX(TransTypes[],Transactions[[#This Row],[TTR]],TT_COL_AmntSign)</f>
        <v>338430.15240000002</v>
      </c>
      <c r="X31" s="66">
        <f>IF(INDEX(TransTypes[],Transactions[[#This Row],[TTR]],TT_COL_LONGORSHORT)="S",
      IF( OR(INDEX(TransTypes[],Transactions[[#This Row],[TTR]],TT_COL_GLFlag)=1, INDEX(TransTypes[], Transactions[[#This Row],[TTR]], TT_COL_ShareTransferFlag)=1),
            Transactions[[#This Row],[CostImpact]]*-1,
            Transactions[[#This Row],[CalCashImpact]]
      ),
     0
)</f>
        <v>0</v>
      </c>
      <c r="Y31" s="67" t="str">
        <f>VLOOKUP(Transactions[[#This Row],[Symbol]],Symbols[], COLUMN(Symbols[Currency])-COLUMN(Symbols[])+1,FALSE)</f>
        <v>HKD</v>
      </c>
    </row>
    <row r="32" spans="1:25">
      <c r="A32" s="55" t="s">
        <v>65</v>
      </c>
      <c r="B32" s="56">
        <v>42993</v>
      </c>
      <c r="C32" s="55" t="s">
        <v>113</v>
      </c>
      <c r="D32" s="55"/>
      <c r="E32" s="55" t="s">
        <v>283</v>
      </c>
      <c r="F32" s="57">
        <v>110</v>
      </c>
      <c r="G32" s="58">
        <v>179.94</v>
      </c>
      <c r="H32" s="57">
        <v>1</v>
      </c>
      <c r="I32" s="57"/>
      <c r="J32" s="68">
        <v>19794.400000000001</v>
      </c>
      <c r="K32" s="6"/>
      <c r="L32" s="20">
        <f>IF(ISNA(MATCH(Transactions[[#This Row],[TransType]],TransTypes[TransType],0)),1,MATCH(Transactions[[#This Row],[TransType]],TransTypes[TransType],0))</f>
        <v>2</v>
      </c>
      <c r="M32" s="60">
        <f>IF( AND( INDEX(TransTypes[],Transactions[[#This Row],[TTR]],TT_COL_GLFlag)=1, INDEX(TransTypes[],Transactions[[#This Row],[TTR]],TT_COL_LONGORSHORT)="S" ),
      Transactions[[#This Row],[PL]],
      IF(INDEX(TransTypes[],Transactions[[#This Row],[TTR]],TT_COL_LONGORSHORT)="S",0,Transactions[[#This Row],[CalCashImpact]])
)</f>
        <v>-19794.400000000001</v>
      </c>
      <c r="N32" s="61">
        <f>IF(VLOOKUP(Transactions[[#This Row],[Symbol]],Symbols[],COLUMN(Symbols[Currency])-COLUMN(Symbols[])+1,FALSE)=
       VLOOKUP(Transactions[[#This Row],[Account]],Accounts[],COLUMN(Accounts[Currency])-COLUMN(Accounts[])+1,FALSE),
     Transactions[[#This Row],[OrigCashImpact]],
     0
)</f>
        <v>-19794.400000000001</v>
      </c>
      <c r="O3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27229.998365257008</v>
      </c>
      <c r="P3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110</v>
      </c>
      <c r="Q3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v>
      </c>
      <c r="R32" s="41">
        <f>ROW()</f>
        <v>32</v>
      </c>
      <c r="S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19794.400000000001</v>
      </c>
      <c r="T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19794.400000000001</v>
      </c>
      <c r="U3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v>
      </c>
      <c r="V32" s="65">
        <f>IF(INDEX(TransTypes[],Transactions[[#This Row],[TTR]],TT_COL_GLFlag)=1,Transactions[[#This Row],[CalCashImpact]]+Transactions[[#This Row],[CostImpact]],0)</f>
        <v>0</v>
      </c>
      <c r="W32" s="66">
        <f>Transactions[[#This Row],[Amount]]*INDEX(TransTypes[],Transactions[[#This Row],[TTR]],TT_COL_AmntSign)</f>
        <v>-19794.400000000001</v>
      </c>
      <c r="X32" s="66">
        <f>IF(INDEX(TransTypes[],Transactions[[#This Row],[TTR]],TT_COL_LONGORSHORT)="S",
      IF( OR(INDEX(TransTypes[],Transactions[[#This Row],[TTR]],TT_COL_GLFlag)=1, INDEX(TransTypes[], Transactions[[#This Row],[TTR]], TT_COL_ShareTransferFlag)=1),
            Transactions[[#This Row],[CostImpact]]*-1,
            Transactions[[#This Row],[CalCashImpact]]
      ),
     0
)</f>
        <v>0</v>
      </c>
      <c r="Y32" s="67" t="str">
        <f>VLOOKUP(Transactions[[#This Row],[Symbol]],Symbols[], COLUMN(Symbols[Currency])-COLUMN(Symbols[])+1,FALSE)</f>
        <v>USD</v>
      </c>
    </row>
    <row r="33" spans="1:25">
      <c r="A33" s="55" t="s">
        <v>65</v>
      </c>
      <c r="B33" s="56">
        <v>42993</v>
      </c>
      <c r="C33" s="55" t="s">
        <v>113</v>
      </c>
      <c r="D33" s="55"/>
      <c r="E33" s="55" t="s">
        <v>292</v>
      </c>
      <c r="F33" s="57">
        <v>283</v>
      </c>
      <c r="G33" s="58">
        <v>88.31</v>
      </c>
      <c r="H33" s="57">
        <v>1.3149999999999999</v>
      </c>
      <c r="I33" s="57"/>
      <c r="J33" s="68">
        <v>24993.044999999998</v>
      </c>
      <c r="K33" s="6"/>
      <c r="L33" s="20">
        <f>IF(ISNA(MATCH(Transactions[[#This Row],[TransType]],TransTypes[TransType],0)),1,MATCH(Transactions[[#This Row],[TransType]],TransTypes[TransType],0))</f>
        <v>2</v>
      </c>
      <c r="M33" s="60">
        <f>IF( AND( INDEX(TransTypes[],Transactions[[#This Row],[TTR]],TT_COL_GLFlag)=1, INDEX(TransTypes[],Transactions[[#This Row],[TTR]],TT_COL_LONGORSHORT)="S" ),
      Transactions[[#This Row],[PL]],
      IF(INDEX(TransTypes[],Transactions[[#This Row],[TTR]],TT_COL_LONGORSHORT)="S",0,Transactions[[#This Row],[CalCashImpact]])
)</f>
        <v>-24993.044999999998</v>
      </c>
      <c r="N33" s="61">
        <f>IF(VLOOKUP(Transactions[[#This Row],[Symbol]],Symbols[],COLUMN(Symbols[Currency])-COLUMN(Symbols[])+1,FALSE)=
       VLOOKUP(Transactions[[#This Row],[Account]],Accounts[],COLUMN(Accounts[Currency])-COLUMN(Accounts[])+1,FALSE),
     Transactions[[#This Row],[OrigCashImpact]],
     0
)</f>
        <v>-24993.044999999998</v>
      </c>
      <c r="O3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2236.9533652570099</v>
      </c>
      <c r="P3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283</v>
      </c>
      <c r="Q3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283</v>
      </c>
      <c r="R33" s="41">
        <f>ROW()</f>
        <v>33</v>
      </c>
      <c r="S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24993.044999999998</v>
      </c>
      <c r="T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24993.044999999998</v>
      </c>
      <c r="U3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283</v>
      </c>
      <c r="V33" s="65">
        <f>IF(INDEX(TransTypes[],Transactions[[#This Row],[TTR]],TT_COL_GLFlag)=1,Transactions[[#This Row],[CalCashImpact]]+Transactions[[#This Row],[CostImpact]],0)</f>
        <v>0</v>
      </c>
      <c r="W33" s="66">
        <f>Transactions[[#This Row],[Amount]]*INDEX(TransTypes[],Transactions[[#This Row],[TTR]],TT_COL_AmntSign)</f>
        <v>-24993.044999999998</v>
      </c>
      <c r="X33" s="66">
        <f>IF(INDEX(TransTypes[],Transactions[[#This Row],[TTR]],TT_COL_LONGORSHORT)="S",
      IF( OR(INDEX(TransTypes[],Transactions[[#This Row],[TTR]],TT_COL_GLFlag)=1, INDEX(TransTypes[], Transactions[[#This Row],[TTR]], TT_COL_ShareTransferFlag)=1),
            Transactions[[#This Row],[CostImpact]]*-1,
            Transactions[[#This Row],[CalCashImpact]]
      ),
     0
)</f>
        <v>0</v>
      </c>
      <c r="Y33" s="67" t="str">
        <f>VLOOKUP(Transactions[[#This Row],[Symbol]],Symbols[], COLUMN(Symbols[Currency])-COLUMN(Symbols[])+1,FALSE)</f>
        <v>USD</v>
      </c>
    </row>
    <row r="34" spans="1:25">
      <c r="A34" s="55" t="s">
        <v>65</v>
      </c>
      <c r="B34" s="56">
        <v>42996</v>
      </c>
      <c r="C34" s="55" t="s">
        <v>115</v>
      </c>
      <c r="D34" s="55"/>
      <c r="E34" s="55" t="s">
        <v>258</v>
      </c>
      <c r="F34" s="57">
        <v>2000</v>
      </c>
      <c r="G34" s="58">
        <v>36.1</v>
      </c>
      <c r="H34" s="57">
        <v>207.65879999999899</v>
      </c>
      <c r="I34" s="57"/>
      <c r="J34" s="68">
        <v>71992.341199999995</v>
      </c>
      <c r="K34" s="6"/>
      <c r="L34" s="20">
        <f>IF(ISNA(MATCH(Transactions[[#This Row],[TransType]],TransTypes[TransType],0)),1,MATCH(Transactions[[#This Row],[TransType]],TransTypes[TransType],0))</f>
        <v>3</v>
      </c>
      <c r="M34" s="60">
        <f>IF( AND( INDEX(TransTypes[],Transactions[[#This Row],[TTR]],TT_COL_GLFlag)=1, INDEX(TransTypes[],Transactions[[#This Row],[TTR]],TT_COL_LONGORSHORT)="S" ),
      Transactions[[#This Row],[PL]],
      IF(INDEX(TransTypes[],Transactions[[#This Row],[TTR]],TT_COL_LONGORSHORT)="S",0,Transactions[[#This Row],[CalCashImpact]])
)</f>
        <v>71992.341199999995</v>
      </c>
      <c r="N34" s="61">
        <f>IF(VLOOKUP(Transactions[[#This Row],[Symbol]],Symbols[],COLUMN(Symbols[Currency])-COLUMN(Symbols[])+1,FALSE)=
       VLOOKUP(Transactions[[#This Row],[Account]],Accounts[],COLUMN(Accounts[Currency])-COLUMN(Accounts[])+1,FALSE),
     Transactions[[#This Row],[OrigCashImpact]],
     0
)</f>
        <v>0</v>
      </c>
      <c r="O3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2236.9533652570099</v>
      </c>
      <c r="P3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3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34" s="41">
        <f>ROW()</f>
        <v>34</v>
      </c>
      <c r="S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-62477.870866666664</v>
      </c>
      <c r="T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124955.74173333333</v>
      </c>
      <c r="U3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34" s="65">
        <f>IF(INDEX(TransTypes[],Transactions[[#This Row],[TTR]],TT_COL_GLFlag)=1,Transactions[[#This Row],[CalCashImpact]]+Transactions[[#This Row],[CostImpact]],0)</f>
        <v>9514.4703333333309</v>
      </c>
      <c r="W34" s="66">
        <f>Transactions[[#This Row],[Amount]]*INDEX(TransTypes[],Transactions[[#This Row],[TTR]],TT_COL_AmntSign)</f>
        <v>71992.341199999995</v>
      </c>
      <c r="X34" s="66">
        <f>IF(INDEX(TransTypes[],Transactions[[#This Row],[TTR]],TT_COL_LONGORSHORT)="S",
      IF( OR(INDEX(TransTypes[],Transactions[[#This Row],[TTR]],TT_COL_GLFlag)=1, INDEX(TransTypes[], Transactions[[#This Row],[TTR]], TT_COL_ShareTransferFlag)=1),
            Transactions[[#This Row],[CostImpact]]*-1,
            Transactions[[#This Row],[CalCashImpact]]
      ),
     0
)</f>
        <v>0</v>
      </c>
      <c r="Y34" s="67" t="str">
        <f>VLOOKUP(Transactions[[#This Row],[Symbol]],Symbols[], COLUMN(Symbols[Currency])-COLUMN(Symbols[])+1,FALSE)</f>
        <v>HKD</v>
      </c>
    </row>
    <row r="35" spans="1:25">
      <c r="A35" s="55" t="s">
        <v>65</v>
      </c>
      <c r="B35" s="56">
        <v>42998</v>
      </c>
      <c r="C35" s="55" t="s">
        <v>115</v>
      </c>
      <c r="D35" s="55"/>
      <c r="E35" s="55" t="s">
        <v>258</v>
      </c>
      <c r="F35" s="57">
        <v>2000</v>
      </c>
      <c r="G35" s="58">
        <v>35.85</v>
      </c>
      <c r="H35" s="57">
        <v>205.23179999999999</v>
      </c>
      <c r="I35" s="57"/>
      <c r="J35" s="68">
        <v>71494.768200000006</v>
      </c>
      <c r="K35" s="6"/>
      <c r="L35" s="20">
        <f>IF(ISNA(MATCH(Transactions[[#This Row],[TransType]],TransTypes[TransType],0)),1,MATCH(Transactions[[#This Row],[TransType]],TransTypes[TransType],0))</f>
        <v>3</v>
      </c>
      <c r="M35" s="60">
        <f>IF( AND( INDEX(TransTypes[],Transactions[[#This Row],[TTR]],TT_COL_GLFlag)=1, INDEX(TransTypes[],Transactions[[#This Row],[TTR]],TT_COL_LONGORSHORT)="S" ),
      Transactions[[#This Row],[PL]],
      IF(INDEX(TransTypes[],Transactions[[#This Row],[TTR]],TT_COL_LONGORSHORT)="S",0,Transactions[[#This Row],[CalCashImpact]])
)</f>
        <v>71494.768200000006</v>
      </c>
      <c r="N35" s="61">
        <f>IF(VLOOKUP(Transactions[[#This Row],[Symbol]],Symbols[],COLUMN(Symbols[Currency])-COLUMN(Symbols[])+1,FALSE)=
       VLOOKUP(Transactions[[#This Row],[Account]],Accounts[],COLUMN(Accounts[Currency])-COLUMN(Accounts[])+1,FALSE),
     Transactions[[#This Row],[OrigCashImpact]],
     0
)</f>
        <v>0</v>
      </c>
      <c r="O3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2236.9533652570099</v>
      </c>
      <c r="P3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3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35" s="41">
        <f>ROW()</f>
        <v>35</v>
      </c>
      <c r="S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-62477.870866666664</v>
      </c>
      <c r="T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62477.870866666664</v>
      </c>
      <c r="U3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35" s="65">
        <f>IF(INDEX(TransTypes[],Transactions[[#This Row],[TTR]],TT_COL_GLFlag)=1,Transactions[[#This Row],[CalCashImpact]]+Transactions[[#This Row],[CostImpact]],0)</f>
        <v>9016.8973333333415</v>
      </c>
      <c r="W35" s="66">
        <f>Transactions[[#This Row],[Amount]]*INDEX(TransTypes[],Transactions[[#This Row],[TTR]],TT_COL_AmntSign)</f>
        <v>71494.768200000006</v>
      </c>
      <c r="X35" s="66">
        <f>IF(INDEX(TransTypes[],Transactions[[#This Row],[TTR]],TT_COL_LONGORSHORT)="S",
      IF( OR(INDEX(TransTypes[],Transactions[[#This Row],[TTR]],TT_COL_GLFlag)=1, INDEX(TransTypes[], Transactions[[#This Row],[TTR]], TT_COL_ShareTransferFlag)=1),
            Transactions[[#This Row],[CostImpact]]*-1,
            Transactions[[#This Row],[CalCashImpact]]
      ),
     0
)</f>
        <v>0</v>
      </c>
      <c r="Y35" s="67" t="str">
        <f>VLOOKUP(Transactions[[#This Row],[Symbol]],Symbols[], COLUMN(Symbols[Currency])-COLUMN(Symbols[])+1,FALSE)</f>
        <v>HKD</v>
      </c>
    </row>
    <row r="36" spans="1:25">
      <c r="A36" s="55" t="s">
        <v>65</v>
      </c>
      <c r="B36" s="56">
        <v>42998</v>
      </c>
      <c r="C36" s="55" t="s">
        <v>115</v>
      </c>
      <c r="D36" s="55"/>
      <c r="E36" s="55" t="s">
        <v>261</v>
      </c>
      <c r="F36" s="57">
        <v>10000</v>
      </c>
      <c r="G36" s="58">
        <v>27.8</v>
      </c>
      <c r="H36" s="57">
        <v>795.41200000000003</v>
      </c>
      <c r="I36" s="57"/>
      <c r="J36" s="68">
        <v>277204.58799999999</v>
      </c>
      <c r="K36" s="6"/>
      <c r="L36" s="20">
        <f>IF(ISNA(MATCH(Transactions[[#This Row],[TransType]],TransTypes[TransType],0)),1,MATCH(Transactions[[#This Row],[TransType]],TransTypes[TransType],0))</f>
        <v>3</v>
      </c>
      <c r="M36" s="60">
        <f>IF( AND( INDEX(TransTypes[],Transactions[[#This Row],[TTR]],TT_COL_GLFlag)=1, INDEX(TransTypes[],Transactions[[#This Row],[TTR]],TT_COL_LONGORSHORT)="S" ),
      Transactions[[#This Row],[PL]],
      IF(INDEX(TransTypes[],Transactions[[#This Row],[TTR]],TT_COL_LONGORSHORT)="S",0,Transactions[[#This Row],[CalCashImpact]])
)</f>
        <v>277204.58799999999</v>
      </c>
      <c r="N36" s="61">
        <f>IF(VLOOKUP(Transactions[[#This Row],[Symbol]],Symbols[],COLUMN(Symbols[Currency])-COLUMN(Symbols[])+1,FALSE)=
       VLOOKUP(Transactions[[#This Row],[Account]],Accounts[],COLUMN(Accounts[Currency])-COLUMN(Accounts[])+1,FALSE),
     Transactions[[#This Row],[OrigCashImpact]],
     0
)</f>
        <v>0</v>
      </c>
      <c r="O3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2236.9533652570099</v>
      </c>
      <c r="P3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3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6" s="41">
        <f>ROW()</f>
        <v>36</v>
      </c>
      <c r="S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-286818.24400000001</v>
      </c>
      <c r="T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36" s="65">
        <f>IF(INDEX(TransTypes[],Transactions[[#This Row],[TTR]],TT_COL_GLFlag)=1,Transactions[[#This Row],[CalCashImpact]]+Transactions[[#This Row],[CostImpact]],0)</f>
        <v>-9613.6560000000172</v>
      </c>
      <c r="W36" s="66">
        <f>Transactions[[#This Row],[Amount]]*INDEX(TransTypes[],Transactions[[#This Row],[TTR]],TT_COL_AmntSign)</f>
        <v>277204.58799999999</v>
      </c>
      <c r="X36" s="66">
        <f>IF(INDEX(TransTypes[],Transactions[[#This Row],[TTR]],TT_COL_LONGORSHORT)="S",
      IF( OR(INDEX(TransTypes[],Transactions[[#This Row],[TTR]],TT_COL_GLFlag)=1, INDEX(TransTypes[], Transactions[[#This Row],[TTR]], TT_COL_ShareTransferFlag)=1),
            Transactions[[#This Row],[CostImpact]]*-1,
            Transactions[[#This Row],[CalCashImpact]]
      ),
     0
)</f>
        <v>0</v>
      </c>
      <c r="Y36" s="67" t="str">
        <f>VLOOKUP(Transactions[[#This Row],[Symbol]],Symbols[], COLUMN(Symbols[Currency])-COLUMN(Symbols[])+1,FALSE)</f>
        <v>HKD</v>
      </c>
    </row>
    <row r="37" spans="1:25">
      <c r="A37" s="55" t="s">
        <v>65</v>
      </c>
      <c r="B37" s="56">
        <v>42998</v>
      </c>
      <c r="C37" s="55" t="s">
        <v>113</v>
      </c>
      <c r="D37" s="55"/>
      <c r="E37" s="55" t="s">
        <v>270</v>
      </c>
      <c r="F37" s="57">
        <v>25000</v>
      </c>
      <c r="G37" s="58">
        <v>16.920000000000002</v>
      </c>
      <c r="H37" s="57">
        <v>1215.242</v>
      </c>
      <c r="I37" s="57"/>
      <c r="J37" s="68">
        <v>424215.24200000003</v>
      </c>
      <c r="K37" s="6"/>
      <c r="L37" s="20">
        <f>IF(ISNA(MATCH(Transactions[[#This Row],[TransType]],TransTypes[TransType],0)),1,MATCH(Transactions[[#This Row],[TransType]],TransTypes[TransType],0))</f>
        <v>2</v>
      </c>
      <c r="M37" s="60">
        <f>IF( AND( INDEX(TransTypes[],Transactions[[#This Row],[TTR]],TT_COL_GLFlag)=1, INDEX(TransTypes[],Transactions[[#This Row],[TTR]],TT_COL_LONGORSHORT)="S" ),
      Transactions[[#This Row],[PL]],
      IF(INDEX(TransTypes[],Transactions[[#This Row],[TTR]],TT_COL_LONGORSHORT)="S",0,Transactions[[#This Row],[CalCashImpact]])
)</f>
        <v>-424215.24200000003</v>
      </c>
      <c r="N37" s="61">
        <f>IF(VLOOKUP(Transactions[[#This Row],[Symbol]],Symbols[],COLUMN(Symbols[Currency])-COLUMN(Symbols[])+1,FALSE)=
       VLOOKUP(Transactions[[#This Row],[Account]],Accounts[],COLUMN(Accounts[Currency])-COLUMN(Accounts[])+1,FALSE),
     Transactions[[#This Row],[OrigCashImpact]],
     0
)</f>
        <v>0</v>
      </c>
      <c r="O3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2236.9533652570099</v>
      </c>
      <c r="P3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25000</v>
      </c>
      <c r="Q3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v>
      </c>
      <c r="R37" s="41">
        <f>ROW()</f>
        <v>37</v>
      </c>
      <c r="S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424215.24200000003</v>
      </c>
      <c r="T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424215.24200000003</v>
      </c>
      <c r="U3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v>
      </c>
      <c r="V37" s="65">
        <f>IF(INDEX(TransTypes[],Transactions[[#This Row],[TTR]],TT_COL_GLFlag)=1,Transactions[[#This Row],[CalCashImpact]]+Transactions[[#This Row],[CostImpact]],0)</f>
        <v>0</v>
      </c>
      <c r="W37" s="66">
        <f>Transactions[[#This Row],[Amount]]*INDEX(TransTypes[],Transactions[[#This Row],[TTR]],TT_COL_AmntSign)</f>
        <v>-424215.24200000003</v>
      </c>
      <c r="X37" s="66">
        <f>IF(INDEX(TransTypes[],Transactions[[#This Row],[TTR]],TT_COL_LONGORSHORT)="S",
      IF( OR(INDEX(TransTypes[],Transactions[[#This Row],[TTR]],TT_COL_GLFlag)=1, INDEX(TransTypes[], Transactions[[#This Row],[TTR]], TT_COL_ShareTransferFlag)=1),
            Transactions[[#This Row],[CostImpact]]*-1,
            Transactions[[#This Row],[CalCashImpact]]
      ),
     0
)</f>
        <v>0</v>
      </c>
      <c r="Y37" s="67" t="str">
        <f>VLOOKUP(Transactions[[#This Row],[Symbol]],Symbols[], COLUMN(Symbols[Currency])-COLUMN(Symbols[])+1,FALSE)</f>
        <v>HKD</v>
      </c>
    </row>
    <row r="38" spans="1:25">
      <c r="A38" s="55" t="s">
        <v>65</v>
      </c>
      <c r="B38" s="56">
        <v>42999</v>
      </c>
      <c r="C38" s="55" t="s">
        <v>113</v>
      </c>
      <c r="D38" s="55"/>
      <c r="E38" s="55" t="s">
        <v>268</v>
      </c>
      <c r="F38" s="57">
        <v>6500</v>
      </c>
      <c r="G38" s="58">
        <v>10.96</v>
      </c>
      <c r="H38" s="57">
        <v>204.83895999999999</v>
      </c>
      <c r="I38" s="57"/>
      <c r="J38" s="68">
        <v>71444.838959999994</v>
      </c>
      <c r="K38" s="6"/>
      <c r="L38" s="20">
        <f>IF(ISNA(MATCH(Transactions[[#This Row],[TransType]],TransTypes[TransType],0)),1,MATCH(Transactions[[#This Row],[TransType]],TransTypes[TransType],0))</f>
        <v>2</v>
      </c>
      <c r="M38" s="60">
        <f>IF( AND( INDEX(TransTypes[],Transactions[[#This Row],[TTR]],TT_COL_GLFlag)=1, INDEX(TransTypes[],Transactions[[#This Row],[TTR]],TT_COL_LONGORSHORT)="S" ),
      Transactions[[#This Row],[PL]],
      IF(INDEX(TransTypes[],Transactions[[#This Row],[TTR]],TT_COL_LONGORSHORT)="S",0,Transactions[[#This Row],[CalCashImpact]])
)</f>
        <v>-71444.838959999994</v>
      </c>
      <c r="N38" s="61">
        <f>IF(VLOOKUP(Transactions[[#This Row],[Symbol]],Symbols[],COLUMN(Symbols[Currency])-COLUMN(Symbols[])+1,FALSE)=
       VLOOKUP(Transactions[[#This Row],[Account]],Accounts[],COLUMN(Accounts[Currency])-COLUMN(Accounts[])+1,FALSE),
     Transactions[[#This Row],[OrigCashImpact]],
     0
)</f>
        <v>0</v>
      </c>
      <c r="O3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2236.9533652570099</v>
      </c>
      <c r="P3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6500</v>
      </c>
      <c r="Q3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27500</v>
      </c>
      <c r="R38" s="41">
        <f>ROW()</f>
        <v>38</v>
      </c>
      <c r="S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71444.838959999994</v>
      </c>
      <c r="T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268479.62433999998</v>
      </c>
      <c r="U3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27500</v>
      </c>
      <c r="V38" s="65">
        <f>IF(INDEX(TransTypes[],Transactions[[#This Row],[TTR]],TT_COL_GLFlag)=1,Transactions[[#This Row],[CalCashImpact]]+Transactions[[#This Row],[CostImpact]],0)</f>
        <v>0</v>
      </c>
      <c r="W38" s="66">
        <f>Transactions[[#This Row],[Amount]]*INDEX(TransTypes[],Transactions[[#This Row],[TTR]],TT_COL_AmntSign)</f>
        <v>-71444.838959999994</v>
      </c>
      <c r="X38" s="66">
        <f>IF(INDEX(TransTypes[],Transactions[[#This Row],[TTR]],TT_COL_LONGORSHORT)="S",
      IF( OR(INDEX(TransTypes[],Transactions[[#This Row],[TTR]],TT_COL_GLFlag)=1, INDEX(TransTypes[], Transactions[[#This Row],[TTR]], TT_COL_ShareTransferFlag)=1),
            Transactions[[#This Row],[CostImpact]]*-1,
            Transactions[[#This Row],[CalCashImpact]]
      ),
     0
)</f>
        <v>0</v>
      </c>
      <c r="Y38" s="67" t="str">
        <f>VLOOKUP(Transactions[[#This Row],[Symbol]],Symbols[], COLUMN(Symbols[Currency])-COLUMN(Symbols[])+1,FALSE)</f>
        <v>HKD</v>
      </c>
    </row>
    <row r="39" spans="1:25">
      <c r="A39" s="55" t="s">
        <v>65</v>
      </c>
      <c r="B39" s="56">
        <v>43003</v>
      </c>
      <c r="C39" s="55" t="s">
        <v>115</v>
      </c>
      <c r="D39" s="55"/>
      <c r="E39" s="55" t="s">
        <v>258</v>
      </c>
      <c r="F39" s="57">
        <v>2000</v>
      </c>
      <c r="G39" s="58">
        <v>31</v>
      </c>
      <c r="H39" s="57">
        <v>176.94800000000001</v>
      </c>
      <c r="I39" s="57"/>
      <c r="J39" s="68">
        <v>61823.052000000003</v>
      </c>
      <c r="K39" s="6"/>
      <c r="L39" s="20">
        <f>IF(ISNA(MATCH(Transactions[[#This Row],[TransType]],TransTypes[TransType],0)),1,MATCH(Transactions[[#This Row],[TransType]],TransTypes[TransType],0))</f>
        <v>3</v>
      </c>
      <c r="M39" s="60">
        <f>IF( AND( INDEX(TransTypes[],Transactions[[#This Row],[TTR]],TT_COL_GLFlag)=1, INDEX(TransTypes[],Transactions[[#This Row],[TTR]],TT_COL_LONGORSHORT)="S" ),
      Transactions[[#This Row],[PL]],
      IF(INDEX(TransTypes[],Transactions[[#This Row],[TTR]],TT_COL_LONGORSHORT)="S",0,Transactions[[#This Row],[CalCashImpact]])
)</f>
        <v>61823.052000000003</v>
      </c>
      <c r="N39" s="61">
        <f>IF(VLOOKUP(Transactions[[#This Row],[Symbol]],Symbols[],COLUMN(Symbols[Currency])-COLUMN(Symbols[])+1,FALSE)=
       VLOOKUP(Transactions[[#This Row],[Account]],Accounts[],COLUMN(Accounts[Currency])-COLUMN(Accounts[])+1,FALSE),
     Transactions[[#This Row],[OrigCashImpact]],
     0
)</f>
        <v>0</v>
      </c>
      <c r="O3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2236.9533652570099</v>
      </c>
      <c r="P3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3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9" s="41">
        <f>ROW()</f>
        <v>39</v>
      </c>
      <c r="S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-62477.870866666664</v>
      </c>
      <c r="T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39" s="65">
        <f>IF(INDEX(TransTypes[],Transactions[[#This Row],[TTR]],TT_COL_GLFlag)=1,Transactions[[#This Row],[CalCashImpact]]+Transactions[[#This Row],[CostImpact]],0)</f>
        <v>-654.81886666666105</v>
      </c>
      <c r="W39" s="66">
        <f>Transactions[[#This Row],[Amount]]*INDEX(TransTypes[],Transactions[[#This Row],[TTR]],TT_COL_AmntSign)</f>
        <v>61823.052000000003</v>
      </c>
      <c r="X39" s="66">
        <f>IF(INDEX(TransTypes[],Transactions[[#This Row],[TTR]],TT_COL_LONGORSHORT)="S",
      IF( OR(INDEX(TransTypes[],Transactions[[#This Row],[TTR]],TT_COL_GLFlag)=1, INDEX(TransTypes[], Transactions[[#This Row],[TTR]], TT_COL_ShareTransferFlag)=1),
            Transactions[[#This Row],[CostImpact]]*-1,
            Transactions[[#This Row],[CalCashImpact]]
      ),
     0
)</f>
        <v>0</v>
      </c>
      <c r="Y39" s="67" t="str">
        <f>VLOOKUP(Transactions[[#This Row],[Symbol]],Symbols[], COLUMN(Symbols[Currency])-COLUMN(Symbols[])+1,FALSE)</f>
        <v>HKD</v>
      </c>
    </row>
    <row r="40" spans="1:25">
      <c r="A40" s="55" t="s">
        <v>65</v>
      </c>
      <c r="B40" s="56">
        <v>43004</v>
      </c>
      <c r="C40" s="55" t="s">
        <v>160</v>
      </c>
      <c r="D40" s="55"/>
      <c r="E40" s="55" t="s">
        <v>49</v>
      </c>
      <c r="F40" s="57">
        <v>1</v>
      </c>
      <c r="G40" s="58">
        <v>5906.75</v>
      </c>
      <c r="H40" s="57">
        <v>2.04</v>
      </c>
      <c r="I40" s="57"/>
      <c r="J40" s="68">
        <v>118137.04</v>
      </c>
      <c r="K40" s="6"/>
      <c r="L40" s="20">
        <f>IF(ISNA(MATCH(Transactions[[#This Row],[TransType]],TransTypes[TransType],0)),1,MATCH(Transactions[[#This Row],[TransType]],TransTypes[TransType],0))</f>
        <v>20</v>
      </c>
      <c r="M40" s="60">
        <f>IF( AND( INDEX(TransTypes[],Transactions[[#This Row],[TTR]],TT_COL_GLFlag)=1, INDEX(TransTypes[],Transactions[[#This Row],[TTR]],TT_COL_LONGORSHORT)="S" ),
      Transactions[[#This Row],[PL]],
      IF(INDEX(TransTypes[],Transactions[[#This Row],[TTR]],TT_COL_LONGORSHORT)="S",0,Transactions[[#This Row],[CalCashImpact]])
)</f>
        <v>1600.9200000000128</v>
      </c>
      <c r="N40" s="61">
        <f>IF(VLOOKUP(Transactions[[#This Row],[Symbol]],Symbols[],COLUMN(Symbols[Currency])-COLUMN(Symbols[])+1,FALSE)=
       VLOOKUP(Transactions[[#This Row],[Account]],Accounts[],COLUMN(Accounts[Currency])-COLUMN(Accounts[])+1,FALSE),
     Transactions[[#This Row],[OrigCashImpact]],
     0
)</f>
        <v>1600.9200000000128</v>
      </c>
      <c r="O4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3837.8733652570227</v>
      </c>
      <c r="P4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4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0" s="41">
        <f>ROW()</f>
        <v>40</v>
      </c>
      <c r="S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119737.96</v>
      </c>
      <c r="T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40" s="65">
        <f>IF(INDEX(TransTypes[],Transactions[[#This Row],[TTR]],TT_COL_GLFlag)=1,Transactions[[#This Row],[CalCashImpact]]+Transactions[[#This Row],[CostImpact]],0)</f>
        <v>1600.9200000000128</v>
      </c>
      <c r="W40" s="66">
        <f>Transactions[[#This Row],[Amount]]*INDEX(TransTypes[],Transactions[[#This Row],[TTR]],TT_COL_AmntSign)</f>
        <v>-118137.04</v>
      </c>
      <c r="X40" s="66">
        <f>IF(INDEX(TransTypes[],Transactions[[#This Row],[TTR]],TT_COL_LONGORSHORT)="S",
      IF( OR(INDEX(TransTypes[],Transactions[[#This Row],[TTR]],TT_COL_GLFlag)=1, INDEX(TransTypes[], Transactions[[#This Row],[TTR]], TT_COL_ShareTransferFlag)=1),
            Transactions[[#This Row],[CostImpact]]*-1,
            Transactions[[#This Row],[CalCashImpact]]
      ),
     0
)</f>
        <v>-119737.96</v>
      </c>
      <c r="Y40" s="67" t="str">
        <f>VLOOKUP(Transactions[[#This Row],[Symbol]],Symbols[], COLUMN(Symbols[Currency])-COLUMN(Symbols[])+1,FALSE)</f>
        <v>USD</v>
      </c>
    </row>
    <row r="41" spans="1:25">
      <c r="A41" s="55" t="s">
        <v>65</v>
      </c>
      <c r="B41" s="56">
        <v>43007</v>
      </c>
      <c r="C41" s="55" t="s">
        <v>113</v>
      </c>
      <c r="D41" s="55"/>
      <c r="E41" s="55" t="s">
        <v>270</v>
      </c>
      <c r="F41" s="57">
        <v>3500</v>
      </c>
      <c r="G41" s="58">
        <v>16.559999999999999</v>
      </c>
      <c r="H41" s="57">
        <v>165.49784</v>
      </c>
      <c r="I41" s="57"/>
      <c r="J41" s="68">
        <v>58125.497839999902</v>
      </c>
      <c r="K41" s="6"/>
      <c r="L41" s="20">
        <f>IF(ISNA(MATCH(Transactions[[#This Row],[TransType]],TransTypes[TransType],0)),1,MATCH(Transactions[[#This Row],[TransType]],TransTypes[TransType],0))</f>
        <v>2</v>
      </c>
      <c r="M41" s="60">
        <f>IF( AND( INDEX(TransTypes[],Transactions[[#This Row],[TTR]],TT_COL_GLFlag)=1, INDEX(TransTypes[],Transactions[[#This Row],[TTR]],TT_COL_LONGORSHORT)="S" ),
      Transactions[[#This Row],[PL]],
      IF(INDEX(TransTypes[],Transactions[[#This Row],[TTR]],TT_COL_LONGORSHORT)="S",0,Transactions[[#This Row],[CalCashImpact]])
)</f>
        <v>-58125.497839999902</v>
      </c>
      <c r="N41" s="61">
        <f>IF(VLOOKUP(Transactions[[#This Row],[Symbol]],Symbols[],COLUMN(Symbols[Currency])-COLUMN(Symbols[])+1,FALSE)=
       VLOOKUP(Transactions[[#This Row],[Account]],Accounts[],COLUMN(Accounts[Currency])-COLUMN(Accounts[])+1,FALSE),
     Transactions[[#This Row],[OrigCashImpact]],
     0
)</f>
        <v>0</v>
      </c>
      <c r="O4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3837.8733652570227</v>
      </c>
      <c r="P4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3500</v>
      </c>
      <c r="Q4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28500</v>
      </c>
      <c r="R41" s="41">
        <f>ROW()</f>
        <v>41</v>
      </c>
      <c r="S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58125.497839999902</v>
      </c>
      <c r="T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482340.73983999994</v>
      </c>
      <c r="U4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28500</v>
      </c>
      <c r="V41" s="65">
        <f>IF(INDEX(TransTypes[],Transactions[[#This Row],[TTR]],TT_COL_GLFlag)=1,Transactions[[#This Row],[CalCashImpact]]+Transactions[[#This Row],[CostImpact]],0)</f>
        <v>0</v>
      </c>
      <c r="W41" s="66">
        <f>Transactions[[#This Row],[Amount]]*INDEX(TransTypes[],Transactions[[#This Row],[TTR]],TT_COL_AmntSign)</f>
        <v>-58125.497839999902</v>
      </c>
      <c r="X41" s="66">
        <f>IF(INDEX(TransTypes[],Transactions[[#This Row],[TTR]],TT_COL_LONGORSHORT)="S",
      IF( OR(INDEX(TransTypes[],Transactions[[#This Row],[TTR]],TT_COL_GLFlag)=1, INDEX(TransTypes[], Transactions[[#This Row],[TTR]], TT_COL_ShareTransferFlag)=1),
            Transactions[[#This Row],[CostImpact]]*-1,
            Transactions[[#This Row],[CalCashImpact]]
      ),
     0
)</f>
        <v>0</v>
      </c>
      <c r="Y41" s="67" t="str">
        <f>VLOOKUP(Transactions[[#This Row],[Symbol]],Symbols[], COLUMN(Symbols[Currency])-COLUMN(Symbols[])+1,FALSE)</f>
        <v>HKD</v>
      </c>
    </row>
    <row r="42" spans="1:25">
      <c r="A42" s="55" t="s">
        <v>65</v>
      </c>
      <c r="B42" s="56">
        <v>43010</v>
      </c>
      <c r="C42" s="55" t="s">
        <v>118</v>
      </c>
      <c r="D42" s="55"/>
      <c r="E42" s="55" t="s">
        <v>313</v>
      </c>
      <c r="F42" s="57">
        <v>1800</v>
      </c>
      <c r="G42" s="58"/>
      <c r="H42" s="57"/>
      <c r="I42" s="57"/>
      <c r="J42" s="68">
        <v>342</v>
      </c>
      <c r="K42" s="6" t="s">
        <v>344</v>
      </c>
      <c r="L42" s="20">
        <f>IF(ISNA(MATCH(Transactions[[#This Row],[TransType]],TransTypes[TransType],0)),1,MATCH(Transactions[[#This Row],[TransType]],TransTypes[TransType],0))</f>
        <v>4</v>
      </c>
      <c r="M42" s="60">
        <f>IF( AND( INDEX(TransTypes[],Transactions[[#This Row],[TTR]],TT_COL_GLFlag)=1, INDEX(TransTypes[],Transactions[[#This Row],[TTR]],TT_COL_LONGORSHORT)="S" ),
      Transactions[[#This Row],[PL]],
      IF(INDEX(TransTypes[],Transactions[[#This Row],[TTR]],TT_COL_LONGORSHORT)="S",0,Transactions[[#This Row],[CalCashImpact]])
)</f>
        <v>342</v>
      </c>
      <c r="N42" s="61">
        <f>IF(VLOOKUP(Transactions[[#This Row],[Symbol]],Symbols[],COLUMN(Symbols[Currency])-COLUMN(Symbols[])+1,FALSE)=
       VLOOKUP(Transactions[[#This Row],[Account]],Accounts[],COLUMN(Accounts[Currency])-COLUMN(Accounts[])+1,FALSE),
     Transactions[[#This Row],[OrigCashImpact]],
     0
)</f>
        <v>342</v>
      </c>
      <c r="O4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4179.8733652570227</v>
      </c>
      <c r="P4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v>
      </c>
      <c r="R42" s="41">
        <f>ROW()</f>
        <v>42</v>
      </c>
      <c r="S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47041</v>
      </c>
      <c r="U4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v>
      </c>
      <c r="V42" s="65">
        <f>IF(INDEX(TransTypes[],Transactions[[#This Row],[TTR]],TT_COL_GLFlag)=1,Transactions[[#This Row],[CalCashImpact]]+Transactions[[#This Row],[CostImpact]],0)</f>
        <v>0</v>
      </c>
      <c r="W42" s="66">
        <f>Transactions[[#This Row],[Amount]]*INDEX(TransTypes[],Transactions[[#This Row],[TTR]],TT_COL_AmntSign)</f>
        <v>342</v>
      </c>
      <c r="X42" s="66">
        <f>IF(INDEX(TransTypes[],Transactions[[#This Row],[TTR]],TT_COL_LONGORSHORT)="S",
      IF( OR(INDEX(TransTypes[],Transactions[[#This Row],[TTR]],TT_COL_GLFlag)=1, INDEX(TransTypes[], Transactions[[#This Row],[TTR]], TT_COL_ShareTransferFlag)=1),
            Transactions[[#This Row],[CostImpact]]*-1,
            Transactions[[#This Row],[CalCashImpact]]
      ),
     0
)</f>
        <v>0</v>
      </c>
      <c r="Y42" s="67" t="str">
        <f>VLOOKUP(Transactions[[#This Row],[Symbol]],Symbols[], COLUMN(Symbols[Currency])-COLUMN(Symbols[])+1,FALSE)</f>
        <v>USD</v>
      </c>
    </row>
    <row r="43" spans="1:25">
      <c r="A43" s="55" t="s">
        <v>65</v>
      </c>
      <c r="B43" s="56">
        <v>43010</v>
      </c>
      <c r="C43" s="55" t="s">
        <v>123</v>
      </c>
      <c r="D43" s="55"/>
      <c r="E43" s="55" t="s">
        <v>313</v>
      </c>
      <c r="F43" s="57"/>
      <c r="G43" s="58"/>
      <c r="H43" s="57"/>
      <c r="I43" s="57"/>
      <c r="J43" s="68">
        <v>51.3</v>
      </c>
      <c r="K43" s="6" t="s">
        <v>345</v>
      </c>
      <c r="L43" s="20">
        <f>IF(ISNA(MATCH(Transactions[[#This Row],[TransType]],TransTypes[TransType],0)),1,MATCH(Transactions[[#This Row],[TransType]],TransTypes[TransType],0))</f>
        <v>7</v>
      </c>
      <c r="M43" s="60">
        <f>IF( AND( INDEX(TransTypes[],Transactions[[#This Row],[TTR]],TT_COL_GLFlag)=1, INDEX(TransTypes[],Transactions[[#This Row],[TTR]],TT_COL_LONGORSHORT)="S" ),
      Transactions[[#This Row],[PL]],
      IF(INDEX(TransTypes[],Transactions[[#This Row],[TTR]],TT_COL_LONGORSHORT)="S",0,Transactions[[#This Row],[CalCashImpact]])
)</f>
        <v>-51.3</v>
      </c>
      <c r="N43" s="61">
        <f>IF(VLOOKUP(Transactions[[#This Row],[Symbol]],Symbols[],COLUMN(Symbols[Currency])-COLUMN(Symbols[])+1,FALSE)=
       VLOOKUP(Transactions[[#This Row],[Account]],Accounts[],COLUMN(Accounts[Currency])-COLUMN(Accounts[])+1,FALSE),
     Transactions[[#This Row],[OrigCashImpact]],
     0
)</f>
        <v>-51.3</v>
      </c>
      <c r="O4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4128.5733652570225</v>
      </c>
      <c r="P4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v>
      </c>
      <c r="R43" s="41">
        <f>ROW()</f>
        <v>43</v>
      </c>
      <c r="S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47041</v>
      </c>
      <c r="U4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v>
      </c>
      <c r="V43" s="65">
        <f>IF(INDEX(TransTypes[],Transactions[[#This Row],[TTR]],TT_COL_GLFlag)=1,Transactions[[#This Row],[CalCashImpact]]+Transactions[[#This Row],[CostImpact]],0)</f>
        <v>0</v>
      </c>
      <c r="W43" s="66">
        <f>Transactions[[#This Row],[Amount]]*INDEX(TransTypes[],Transactions[[#This Row],[TTR]],TT_COL_AmntSign)</f>
        <v>-51.3</v>
      </c>
      <c r="X43" s="66">
        <f>IF(INDEX(TransTypes[],Transactions[[#This Row],[TTR]],TT_COL_LONGORSHORT)="S",
      IF( OR(INDEX(TransTypes[],Transactions[[#This Row],[TTR]],TT_COL_GLFlag)=1, INDEX(TransTypes[], Transactions[[#This Row],[TTR]], TT_COL_ShareTransferFlag)=1),
            Transactions[[#This Row],[CostImpact]]*-1,
            Transactions[[#This Row],[CalCashImpact]]
      ),
     0
)</f>
        <v>0</v>
      </c>
      <c r="Y43" s="67" t="str">
        <f>VLOOKUP(Transactions[[#This Row],[Symbol]],Symbols[], COLUMN(Symbols[Currency])-COLUMN(Symbols[])+1,FALSE)</f>
        <v>USD</v>
      </c>
    </row>
    <row r="44" spans="1:25">
      <c r="A44" s="55" t="s">
        <v>65</v>
      </c>
      <c r="B44" s="56">
        <v>43012</v>
      </c>
      <c r="C44" s="55" t="s">
        <v>121</v>
      </c>
      <c r="D44" s="55"/>
      <c r="E44" s="55" t="s">
        <v>208</v>
      </c>
      <c r="F44" s="57"/>
      <c r="G44" s="58"/>
      <c r="H44" s="57"/>
      <c r="I44" s="57"/>
      <c r="J44" s="68">
        <v>4.5</v>
      </c>
      <c r="K44" s="6" t="s">
        <v>346</v>
      </c>
      <c r="L44" s="20">
        <f>IF(ISNA(MATCH(Transactions[[#This Row],[TransType]],TransTypes[TransType],0)),1,MATCH(Transactions[[#This Row],[TransType]],TransTypes[TransType],0))</f>
        <v>6</v>
      </c>
      <c r="M44" s="60">
        <f>IF( AND( INDEX(TransTypes[],Transactions[[#This Row],[TTR]],TT_COL_GLFlag)=1, INDEX(TransTypes[],Transactions[[#This Row],[TTR]],TT_COL_LONGORSHORT)="S" ),
      Transactions[[#This Row],[PL]],
      IF(INDEX(TransTypes[],Transactions[[#This Row],[TTR]],TT_COL_LONGORSHORT)="S",0,Transactions[[#This Row],[CalCashImpact]])
)</f>
        <v>-4.5</v>
      </c>
      <c r="N44" s="61">
        <f>IF(VLOOKUP(Transactions[[#This Row],[Symbol]],Symbols[],COLUMN(Symbols[Currency])-COLUMN(Symbols[])+1,FALSE)=
       VLOOKUP(Transactions[[#This Row],[Account]],Accounts[],COLUMN(Accounts[Currency])-COLUMN(Accounts[])+1,FALSE),
     Transactions[[#This Row],[OrigCashImpact]],
     0
)</f>
        <v>-4.5</v>
      </c>
      <c r="O4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4124.0733652570225</v>
      </c>
      <c r="P4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4" s="41">
        <f>ROW()</f>
        <v>44</v>
      </c>
      <c r="S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4" s="65">
        <f>IF(INDEX(TransTypes[],Transactions[[#This Row],[TTR]],TT_COL_GLFlag)=1,Transactions[[#This Row],[CalCashImpact]]+Transactions[[#This Row],[CostImpact]],0)</f>
        <v>0</v>
      </c>
      <c r="W44" s="66">
        <f>Transactions[[#This Row],[Amount]]*INDEX(TransTypes[],Transactions[[#This Row],[TTR]],TT_COL_AmntSign)</f>
        <v>-4.5</v>
      </c>
      <c r="X44" s="66">
        <f>IF(INDEX(TransTypes[],Transactions[[#This Row],[TTR]],TT_COL_LONGORSHORT)="S",
      IF( OR(INDEX(TransTypes[],Transactions[[#This Row],[TTR]],TT_COL_GLFlag)=1, INDEX(TransTypes[], Transactions[[#This Row],[TTR]], TT_COL_ShareTransferFlag)=1),
            Transactions[[#This Row],[CostImpact]]*-1,
            Transactions[[#This Row],[CalCashImpact]]
      ),
     0
)</f>
        <v>0</v>
      </c>
      <c r="Y44" s="67" t="str">
        <f>VLOOKUP(Transactions[[#This Row],[Symbol]],Symbols[], COLUMN(Symbols[Currency])-COLUMN(Symbols[])+1,FALSE)</f>
        <v>USD</v>
      </c>
    </row>
    <row r="45" spans="1:25">
      <c r="A45" s="55" t="s">
        <v>65</v>
      </c>
      <c r="B45" s="56">
        <v>43012</v>
      </c>
      <c r="C45" s="55" t="s">
        <v>121</v>
      </c>
      <c r="D45" s="55"/>
      <c r="E45" s="55" t="s">
        <v>208</v>
      </c>
      <c r="F45" s="57"/>
      <c r="G45" s="58"/>
      <c r="H45" s="57"/>
      <c r="I45" s="57"/>
      <c r="J45" s="68">
        <v>16.64</v>
      </c>
      <c r="K45" s="6" t="s">
        <v>347</v>
      </c>
      <c r="L45" s="20">
        <f>IF(ISNA(MATCH(Transactions[[#This Row],[TransType]],TransTypes[TransType],0)),1,MATCH(Transactions[[#This Row],[TransType]],TransTypes[TransType],0))</f>
        <v>6</v>
      </c>
      <c r="M45" s="60">
        <f>IF( AND( INDEX(TransTypes[],Transactions[[#This Row],[TTR]],TT_COL_GLFlag)=1, INDEX(TransTypes[],Transactions[[#This Row],[TTR]],TT_COL_LONGORSHORT)="S" ),
      Transactions[[#This Row],[PL]],
      IF(INDEX(TransTypes[],Transactions[[#This Row],[TTR]],TT_COL_LONGORSHORT)="S",0,Transactions[[#This Row],[CalCashImpact]])
)</f>
        <v>-16.64</v>
      </c>
      <c r="N45" s="61">
        <f>IF(VLOOKUP(Transactions[[#This Row],[Symbol]],Symbols[],COLUMN(Symbols[Currency])-COLUMN(Symbols[])+1,FALSE)=
       VLOOKUP(Transactions[[#This Row],[Account]],Accounts[],COLUMN(Accounts[Currency])-COLUMN(Accounts[])+1,FALSE),
     Transactions[[#This Row],[OrigCashImpact]],
     0
)</f>
        <v>-16.64</v>
      </c>
      <c r="O4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4107.4333652570222</v>
      </c>
      <c r="P4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5" s="41">
        <f>ROW()</f>
        <v>45</v>
      </c>
      <c r="S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5" s="65">
        <f>IF(INDEX(TransTypes[],Transactions[[#This Row],[TTR]],TT_COL_GLFlag)=1,Transactions[[#This Row],[CalCashImpact]]+Transactions[[#This Row],[CostImpact]],0)</f>
        <v>0</v>
      </c>
      <c r="W45" s="66">
        <f>Transactions[[#This Row],[Amount]]*INDEX(TransTypes[],Transactions[[#This Row],[TTR]],TT_COL_AmntSign)</f>
        <v>-16.64</v>
      </c>
      <c r="X45" s="66">
        <f>IF(INDEX(TransTypes[],Transactions[[#This Row],[TTR]],TT_COL_LONGORSHORT)="S",
      IF( OR(INDEX(TransTypes[],Transactions[[#This Row],[TTR]],TT_COL_GLFlag)=1, INDEX(TransTypes[], Transactions[[#This Row],[TTR]], TT_COL_ShareTransferFlag)=1),
            Transactions[[#This Row],[CostImpact]]*-1,
            Transactions[[#This Row],[CalCashImpact]]
      ),
     0
)</f>
        <v>0</v>
      </c>
      <c r="Y45" s="67" t="str">
        <f>VLOOKUP(Transactions[[#This Row],[Symbol]],Symbols[], COLUMN(Symbols[Currency])-COLUMN(Symbols[])+1,FALSE)</f>
        <v>USD</v>
      </c>
    </row>
    <row r="46" spans="1:25">
      <c r="A46" s="55" t="s">
        <v>65</v>
      </c>
      <c r="B46" s="56">
        <v>43012</v>
      </c>
      <c r="C46" s="55" t="s">
        <v>121</v>
      </c>
      <c r="D46" s="55"/>
      <c r="E46" s="55" t="s">
        <v>208</v>
      </c>
      <c r="F46" s="57"/>
      <c r="G46" s="58"/>
      <c r="H46" s="57"/>
      <c r="I46" s="57"/>
      <c r="J46" s="68">
        <v>3.2</v>
      </c>
      <c r="K46" s="6" t="s">
        <v>348</v>
      </c>
      <c r="L46" s="20">
        <f>IF(ISNA(MATCH(Transactions[[#This Row],[TransType]],TransTypes[TransType],0)),1,MATCH(Transactions[[#This Row],[TransType]],TransTypes[TransType],0))</f>
        <v>6</v>
      </c>
      <c r="M46" s="60">
        <f>IF( AND( INDEX(TransTypes[],Transactions[[#This Row],[TTR]],TT_COL_GLFlag)=1, INDEX(TransTypes[],Transactions[[#This Row],[TTR]],TT_COL_LONGORSHORT)="S" ),
      Transactions[[#This Row],[PL]],
      IF(INDEX(TransTypes[],Transactions[[#This Row],[TTR]],TT_COL_LONGORSHORT)="S",0,Transactions[[#This Row],[CalCashImpact]])
)</f>
        <v>-3.2</v>
      </c>
      <c r="N46" s="61">
        <f>IF(VLOOKUP(Transactions[[#This Row],[Symbol]],Symbols[],COLUMN(Symbols[Currency])-COLUMN(Symbols[])+1,FALSE)=
       VLOOKUP(Transactions[[#This Row],[Account]],Accounts[],COLUMN(Accounts[Currency])-COLUMN(Accounts[])+1,FALSE),
     Transactions[[#This Row],[OrigCashImpact]],
     0
)</f>
        <v>-3.2</v>
      </c>
      <c r="O4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4104.2333652570223</v>
      </c>
      <c r="P4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6" s="41">
        <f>ROW()</f>
        <v>46</v>
      </c>
      <c r="S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6" s="65">
        <f>IF(INDEX(TransTypes[],Transactions[[#This Row],[TTR]],TT_COL_GLFlag)=1,Transactions[[#This Row],[CalCashImpact]]+Transactions[[#This Row],[CostImpact]],0)</f>
        <v>0</v>
      </c>
      <c r="W46" s="66">
        <f>Transactions[[#This Row],[Amount]]*INDEX(TransTypes[],Transactions[[#This Row],[TTR]],TT_COL_AmntSign)</f>
        <v>-3.2</v>
      </c>
      <c r="X46" s="66">
        <f>IF(INDEX(TransTypes[],Transactions[[#This Row],[TTR]],TT_COL_LONGORSHORT)="S",
      IF( OR(INDEX(TransTypes[],Transactions[[#This Row],[TTR]],TT_COL_GLFlag)=1, INDEX(TransTypes[], Transactions[[#This Row],[TTR]], TT_COL_ShareTransferFlag)=1),
            Transactions[[#This Row],[CostImpact]]*-1,
            Transactions[[#This Row],[CalCashImpact]]
      ),
     0
)</f>
        <v>0</v>
      </c>
      <c r="Y46" s="67" t="str">
        <f>VLOOKUP(Transactions[[#This Row],[Symbol]],Symbols[], COLUMN(Symbols[Currency])-COLUMN(Symbols[])+1,FALSE)</f>
        <v>USD</v>
      </c>
    </row>
    <row r="47" spans="1:25">
      <c r="A47" s="55" t="s">
        <v>65</v>
      </c>
      <c r="B47" s="56">
        <v>43012</v>
      </c>
      <c r="C47" s="55" t="s">
        <v>121</v>
      </c>
      <c r="D47" s="55"/>
      <c r="E47" s="55" t="s">
        <v>208</v>
      </c>
      <c r="F47" s="57"/>
      <c r="G47" s="58"/>
      <c r="H47" s="57"/>
      <c r="I47" s="57"/>
      <c r="J47" s="68">
        <v>10</v>
      </c>
      <c r="K47" s="6" t="s">
        <v>349</v>
      </c>
      <c r="L47" s="20">
        <f>IF(ISNA(MATCH(Transactions[[#This Row],[TransType]],TransTypes[TransType],0)),1,MATCH(Transactions[[#This Row],[TransType]],TransTypes[TransType],0))</f>
        <v>6</v>
      </c>
      <c r="M47" s="60">
        <f>IF( AND( INDEX(TransTypes[],Transactions[[#This Row],[TTR]],TT_COL_GLFlag)=1, INDEX(TransTypes[],Transactions[[#This Row],[TTR]],TT_COL_LONGORSHORT)="S" ),
      Transactions[[#This Row],[PL]],
      IF(INDEX(TransTypes[],Transactions[[#This Row],[TTR]],TT_COL_LONGORSHORT)="S",0,Transactions[[#This Row],[CalCashImpact]])
)</f>
        <v>-10</v>
      </c>
      <c r="N47" s="61">
        <f>IF(VLOOKUP(Transactions[[#This Row],[Symbol]],Symbols[],COLUMN(Symbols[Currency])-COLUMN(Symbols[])+1,FALSE)=
       VLOOKUP(Transactions[[#This Row],[Account]],Accounts[],COLUMN(Accounts[Currency])-COLUMN(Accounts[])+1,FALSE),
     Transactions[[#This Row],[OrigCashImpact]],
     0
)</f>
        <v>-10</v>
      </c>
      <c r="O4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4094.2333652570223</v>
      </c>
      <c r="P4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7" s="41">
        <f>ROW()</f>
        <v>47</v>
      </c>
      <c r="S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7" s="65">
        <f>IF(INDEX(TransTypes[],Transactions[[#This Row],[TTR]],TT_COL_GLFlag)=1,Transactions[[#This Row],[CalCashImpact]]+Transactions[[#This Row],[CostImpact]],0)</f>
        <v>0</v>
      </c>
      <c r="W47" s="66">
        <f>Transactions[[#This Row],[Amount]]*INDEX(TransTypes[],Transactions[[#This Row],[TTR]],TT_COL_AmntSign)</f>
        <v>-10</v>
      </c>
      <c r="X47" s="66">
        <f>IF(INDEX(TransTypes[],Transactions[[#This Row],[TTR]],TT_COL_LONGORSHORT)="S",
      IF( OR(INDEX(TransTypes[],Transactions[[#This Row],[TTR]],TT_COL_GLFlag)=1, INDEX(TransTypes[], Transactions[[#This Row],[TTR]], TT_COL_ShareTransferFlag)=1),
            Transactions[[#This Row],[CostImpact]]*-1,
            Transactions[[#This Row],[CalCashImpact]]
      ),
     0
)</f>
        <v>0</v>
      </c>
      <c r="Y47" s="67" t="str">
        <f>VLOOKUP(Transactions[[#This Row],[Symbol]],Symbols[], COLUMN(Symbols[Currency])-COLUMN(Symbols[])+1,FALSE)</f>
        <v>USD</v>
      </c>
    </row>
    <row r="48" spans="1:25">
      <c r="A48" s="55" t="s">
        <v>65</v>
      </c>
      <c r="B48" s="56">
        <v>43012</v>
      </c>
      <c r="C48" s="55" t="s">
        <v>121</v>
      </c>
      <c r="D48" s="55"/>
      <c r="E48" s="55" t="s">
        <v>208</v>
      </c>
      <c r="F48" s="57"/>
      <c r="G48" s="58"/>
      <c r="H48" s="57"/>
      <c r="I48" s="57"/>
      <c r="J48" s="68">
        <v>-10</v>
      </c>
      <c r="K48" s="6" t="s">
        <v>349</v>
      </c>
      <c r="L48" s="20">
        <f>IF(ISNA(MATCH(Transactions[[#This Row],[TransType]],TransTypes[TransType],0)),1,MATCH(Transactions[[#This Row],[TransType]],TransTypes[TransType],0))</f>
        <v>6</v>
      </c>
      <c r="M48" s="60">
        <f>IF( AND( INDEX(TransTypes[],Transactions[[#This Row],[TTR]],TT_COL_GLFlag)=1, INDEX(TransTypes[],Transactions[[#This Row],[TTR]],TT_COL_LONGORSHORT)="S" ),
      Transactions[[#This Row],[PL]],
      IF(INDEX(TransTypes[],Transactions[[#This Row],[TTR]],TT_COL_LONGORSHORT)="S",0,Transactions[[#This Row],[CalCashImpact]])
)</f>
        <v>10</v>
      </c>
      <c r="N48" s="61">
        <f>IF(VLOOKUP(Transactions[[#This Row],[Symbol]],Symbols[],COLUMN(Symbols[Currency])-COLUMN(Symbols[])+1,FALSE)=
       VLOOKUP(Transactions[[#This Row],[Account]],Accounts[],COLUMN(Accounts[Currency])-COLUMN(Accounts[])+1,FALSE),
     Transactions[[#This Row],[OrigCashImpact]],
     0
)</f>
        <v>10</v>
      </c>
      <c r="O4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4104.2333652570223</v>
      </c>
      <c r="P4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8" s="41">
        <f>ROW()</f>
        <v>48</v>
      </c>
      <c r="S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8" s="65">
        <f>IF(INDEX(TransTypes[],Transactions[[#This Row],[TTR]],TT_COL_GLFlag)=1,Transactions[[#This Row],[CalCashImpact]]+Transactions[[#This Row],[CostImpact]],0)</f>
        <v>0</v>
      </c>
      <c r="W48" s="66">
        <f>Transactions[[#This Row],[Amount]]*INDEX(TransTypes[],Transactions[[#This Row],[TTR]],TT_COL_AmntSign)</f>
        <v>10</v>
      </c>
      <c r="X48" s="66">
        <f>IF(INDEX(TransTypes[],Transactions[[#This Row],[TTR]],TT_COL_LONGORSHORT)="S",
      IF( OR(INDEX(TransTypes[],Transactions[[#This Row],[TTR]],TT_COL_GLFlag)=1, INDEX(TransTypes[], Transactions[[#This Row],[TTR]], TT_COL_ShareTransferFlag)=1),
            Transactions[[#This Row],[CostImpact]]*-1,
            Transactions[[#This Row],[CalCashImpact]]
      ),
     0
)</f>
        <v>0</v>
      </c>
      <c r="Y48" s="67" t="str">
        <f>VLOOKUP(Transactions[[#This Row],[Symbol]],Symbols[], COLUMN(Symbols[Currency])-COLUMN(Symbols[])+1,FALSE)</f>
        <v>USD</v>
      </c>
    </row>
    <row r="49" spans="1:25">
      <c r="A49" s="55" t="s">
        <v>65</v>
      </c>
      <c r="B49" s="56">
        <v>43012</v>
      </c>
      <c r="C49" s="55" t="s">
        <v>241</v>
      </c>
      <c r="D49" s="55"/>
      <c r="E49" s="55" t="s">
        <v>210</v>
      </c>
      <c r="F49" s="57"/>
      <c r="G49" s="58"/>
      <c r="H49" s="57"/>
      <c r="I49" s="57"/>
      <c r="J49" s="68">
        <v>3.44</v>
      </c>
      <c r="K49" s="6" t="s">
        <v>350</v>
      </c>
      <c r="L49" s="20">
        <f>IF(ISNA(MATCH(Transactions[[#This Row],[TransType]],TransTypes[TransType],0)),1,MATCH(Transactions[[#This Row],[TransType]],TransTypes[TransType],0))</f>
        <v>9</v>
      </c>
      <c r="M49" s="60">
        <f>IF( AND( INDEX(TransTypes[],Transactions[[#This Row],[TTR]],TT_COL_GLFlag)=1, INDEX(TransTypes[],Transactions[[#This Row],[TTR]],TT_COL_LONGORSHORT)="S" ),
      Transactions[[#This Row],[PL]],
      IF(INDEX(TransTypes[],Transactions[[#This Row],[TTR]],TT_COL_LONGORSHORT)="S",0,Transactions[[#This Row],[CalCashImpact]])
)</f>
        <v>-3.44</v>
      </c>
      <c r="N49" s="61">
        <f>IF(VLOOKUP(Transactions[[#This Row],[Symbol]],Symbols[],COLUMN(Symbols[Currency])-COLUMN(Symbols[])+1,FALSE)=
       VLOOKUP(Transactions[[#This Row],[Account]],Accounts[],COLUMN(Accounts[Currency])-COLUMN(Accounts[])+1,FALSE),
     Transactions[[#This Row],[OrigCashImpact]],
     0
)</f>
        <v>0</v>
      </c>
      <c r="O4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4104.2333652570223</v>
      </c>
      <c r="P4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9" s="41">
        <f>ROW()</f>
        <v>49</v>
      </c>
      <c r="S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9" s="65">
        <f>IF(INDEX(TransTypes[],Transactions[[#This Row],[TTR]],TT_COL_GLFlag)=1,Transactions[[#This Row],[CalCashImpact]]+Transactions[[#This Row],[CostImpact]],0)</f>
        <v>0</v>
      </c>
      <c r="W49" s="66">
        <f>Transactions[[#This Row],[Amount]]*INDEX(TransTypes[],Transactions[[#This Row],[TTR]],TT_COL_AmntSign)</f>
        <v>-3.44</v>
      </c>
      <c r="X49" s="66">
        <f>IF(INDEX(TransTypes[],Transactions[[#This Row],[TTR]],TT_COL_LONGORSHORT)="S",
      IF( OR(INDEX(TransTypes[],Transactions[[#This Row],[TTR]],TT_COL_GLFlag)=1, INDEX(TransTypes[], Transactions[[#This Row],[TTR]], TT_COL_ShareTransferFlag)=1),
            Transactions[[#This Row],[CostImpact]]*-1,
            Transactions[[#This Row],[CalCashImpact]]
      ),
     0
)</f>
        <v>0</v>
      </c>
      <c r="Y49" s="67" t="str">
        <f>VLOOKUP(Transactions[[#This Row],[Symbol]],Symbols[], COLUMN(Symbols[Currency])-COLUMN(Symbols[])+1,FALSE)</f>
        <v>HKD</v>
      </c>
    </row>
    <row r="50" spans="1:25">
      <c r="A50" s="55" t="s">
        <v>65</v>
      </c>
      <c r="B50" s="56">
        <v>43012</v>
      </c>
      <c r="C50" s="55" t="s">
        <v>240</v>
      </c>
      <c r="D50" s="55"/>
      <c r="E50" s="55" t="s">
        <v>208</v>
      </c>
      <c r="F50" s="57"/>
      <c r="G50" s="58"/>
      <c r="H50" s="57"/>
      <c r="I50" s="57"/>
      <c r="J50" s="68">
        <v>71.760000000000005</v>
      </c>
      <c r="K50" s="6" t="s">
        <v>351</v>
      </c>
      <c r="L50" s="20">
        <f>IF(ISNA(MATCH(Transactions[[#This Row],[TransType]],TransTypes[TransType],0)),1,MATCH(Transactions[[#This Row],[TransType]],TransTypes[TransType],0))</f>
        <v>8</v>
      </c>
      <c r="M50" s="60">
        <f>IF( AND( INDEX(TransTypes[],Transactions[[#This Row],[TTR]],TT_COL_GLFlag)=1, INDEX(TransTypes[],Transactions[[#This Row],[TTR]],TT_COL_LONGORSHORT)="S" ),
      Transactions[[#This Row],[PL]],
      IF(INDEX(TransTypes[],Transactions[[#This Row],[TTR]],TT_COL_LONGORSHORT)="S",0,Transactions[[#This Row],[CalCashImpact]])
)</f>
        <v>71.760000000000005</v>
      </c>
      <c r="N50" s="61">
        <f>IF(VLOOKUP(Transactions[[#This Row],[Symbol]],Symbols[],COLUMN(Symbols[Currency])-COLUMN(Symbols[])+1,FALSE)=
       VLOOKUP(Transactions[[#This Row],[Account]],Accounts[],COLUMN(Accounts[Currency])-COLUMN(Accounts[])+1,FALSE),
     Transactions[[#This Row],[OrigCashImpact]],
     0
)</f>
        <v>71.760000000000005</v>
      </c>
      <c r="O5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4175.9933652570226</v>
      </c>
      <c r="P5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0" s="41">
        <f>ROW()</f>
        <v>50</v>
      </c>
      <c r="S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0" s="65">
        <f>IF(INDEX(TransTypes[],Transactions[[#This Row],[TTR]],TT_COL_GLFlag)=1,Transactions[[#This Row],[CalCashImpact]]+Transactions[[#This Row],[CostImpact]],0)</f>
        <v>0</v>
      </c>
      <c r="W50" s="66">
        <f>Transactions[[#This Row],[Amount]]*INDEX(TransTypes[],Transactions[[#This Row],[TTR]],TT_COL_AmntSign)</f>
        <v>71.760000000000005</v>
      </c>
      <c r="X50" s="66">
        <f>IF(INDEX(TransTypes[],Transactions[[#This Row],[TTR]],TT_COL_LONGORSHORT)="S",
      IF( OR(INDEX(TransTypes[],Transactions[[#This Row],[TTR]],TT_COL_GLFlag)=1, INDEX(TransTypes[], Transactions[[#This Row],[TTR]], TT_COL_ShareTransferFlag)=1),
            Transactions[[#This Row],[CostImpact]]*-1,
            Transactions[[#This Row],[CalCashImpact]]
      ),
     0
)</f>
        <v>0</v>
      </c>
      <c r="Y50" s="67" t="str">
        <f>VLOOKUP(Transactions[[#This Row],[Symbol]],Symbols[], COLUMN(Symbols[Currency])-COLUMN(Symbols[])+1,FALSE)</f>
        <v>USD</v>
      </c>
    </row>
    <row r="51" spans="1:25">
      <c r="A51" s="55" t="s">
        <v>65</v>
      </c>
      <c r="B51" s="56">
        <v>43012</v>
      </c>
      <c r="C51" s="55" t="s">
        <v>240</v>
      </c>
      <c r="D51" s="55"/>
      <c r="E51" s="55" t="s">
        <v>208</v>
      </c>
      <c r="F51" s="57"/>
      <c r="G51" s="58"/>
      <c r="H51" s="57"/>
      <c r="I51" s="57"/>
      <c r="J51" s="68">
        <v>6.58</v>
      </c>
      <c r="K51" s="6" t="s">
        <v>352</v>
      </c>
      <c r="L51" s="20">
        <f>IF(ISNA(MATCH(Transactions[[#This Row],[TransType]],TransTypes[TransType],0)),1,MATCH(Transactions[[#This Row],[TransType]],TransTypes[TransType],0))</f>
        <v>8</v>
      </c>
      <c r="M51" s="60">
        <f>IF( AND( INDEX(TransTypes[],Transactions[[#This Row],[TTR]],TT_COL_GLFlag)=1, INDEX(TransTypes[],Transactions[[#This Row],[TTR]],TT_COL_LONGORSHORT)="S" ),
      Transactions[[#This Row],[PL]],
      IF(INDEX(TransTypes[],Transactions[[#This Row],[TTR]],TT_COL_LONGORSHORT)="S",0,Transactions[[#This Row],[CalCashImpact]])
)</f>
        <v>6.58</v>
      </c>
      <c r="N51" s="61">
        <f>IF(VLOOKUP(Transactions[[#This Row],[Symbol]],Symbols[],COLUMN(Symbols[Currency])-COLUMN(Symbols[])+1,FALSE)=
       VLOOKUP(Transactions[[#This Row],[Account]],Accounts[],COLUMN(Accounts[Currency])-COLUMN(Accounts[])+1,FALSE),
     Transactions[[#This Row],[OrigCashImpact]],
     0
)</f>
        <v>6.58</v>
      </c>
      <c r="O5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4182.5733652570225</v>
      </c>
      <c r="P5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1" s="41">
        <f>ROW()</f>
        <v>51</v>
      </c>
      <c r="S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1" s="65">
        <f>IF(INDEX(TransTypes[],Transactions[[#This Row],[TTR]],TT_COL_GLFlag)=1,Transactions[[#This Row],[CalCashImpact]]+Transactions[[#This Row],[CostImpact]],0)</f>
        <v>0</v>
      </c>
      <c r="W51" s="66">
        <f>Transactions[[#This Row],[Amount]]*INDEX(TransTypes[],Transactions[[#This Row],[TTR]],TT_COL_AmntSign)</f>
        <v>6.58</v>
      </c>
      <c r="X51" s="66">
        <f>IF(INDEX(TransTypes[],Transactions[[#This Row],[TTR]],TT_COL_LONGORSHORT)="S",
      IF( OR(INDEX(TransTypes[],Transactions[[#This Row],[TTR]],TT_COL_GLFlag)=1, INDEX(TransTypes[], Transactions[[#This Row],[TTR]], TT_COL_ShareTransferFlag)=1),
            Transactions[[#This Row],[CostImpact]]*-1,
            Transactions[[#This Row],[CalCashImpact]]
      ),
     0
)</f>
        <v>0</v>
      </c>
      <c r="Y51" s="67" t="str">
        <f>VLOOKUP(Transactions[[#This Row],[Symbol]],Symbols[], COLUMN(Symbols[Currency])-COLUMN(Symbols[])+1,FALSE)</f>
        <v>USD</v>
      </c>
    </row>
    <row r="52" spans="1:25">
      <c r="A52" s="55" t="s">
        <v>65</v>
      </c>
      <c r="B52" s="56">
        <v>43013</v>
      </c>
      <c r="C52" s="55" t="s">
        <v>113</v>
      </c>
      <c r="D52" s="55"/>
      <c r="E52" s="55" t="s">
        <v>313</v>
      </c>
      <c r="F52" s="57">
        <v>12</v>
      </c>
      <c r="G52" s="58">
        <v>26.437899999999999</v>
      </c>
      <c r="H52" s="57">
        <v>1</v>
      </c>
      <c r="I52" s="57"/>
      <c r="J52" s="68">
        <v>318.25479999999999</v>
      </c>
      <c r="K52" s="6"/>
      <c r="L52" s="20">
        <f>IF(ISNA(MATCH(Transactions[[#This Row],[TransType]],TransTypes[TransType],0)),1,MATCH(Transactions[[#This Row],[TransType]],TransTypes[TransType],0))</f>
        <v>2</v>
      </c>
      <c r="M52" s="60">
        <f>IF( AND( INDEX(TransTypes[],Transactions[[#This Row],[TTR]],TT_COL_GLFlag)=1, INDEX(TransTypes[],Transactions[[#This Row],[TTR]],TT_COL_LONGORSHORT)="S" ),
      Transactions[[#This Row],[PL]],
      IF(INDEX(TransTypes[],Transactions[[#This Row],[TTR]],TT_COL_LONGORSHORT)="S",0,Transactions[[#This Row],[CalCashImpact]])
)</f>
        <v>-318.25479999999999</v>
      </c>
      <c r="N52" s="61">
        <f>IF(VLOOKUP(Transactions[[#This Row],[Symbol]],Symbols[],COLUMN(Symbols[Currency])-COLUMN(Symbols[])+1,FALSE)=
       VLOOKUP(Transactions[[#This Row],[Account]],Accounts[],COLUMN(Accounts[Currency])-COLUMN(Accounts[])+1,FALSE),
     Transactions[[#This Row],[OrigCashImpact]],
     0
)</f>
        <v>-318.25479999999999</v>
      </c>
      <c r="O5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3864.3185652570223</v>
      </c>
      <c r="P5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12</v>
      </c>
      <c r="Q5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1812</v>
      </c>
      <c r="R52" s="41">
        <f>ROW()</f>
        <v>52</v>
      </c>
      <c r="S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318.25479999999999</v>
      </c>
      <c r="T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47359.254800000002</v>
      </c>
      <c r="U5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1812</v>
      </c>
      <c r="V52" s="65">
        <f>IF(INDEX(TransTypes[],Transactions[[#This Row],[TTR]],TT_COL_GLFlag)=1,Transactions[[#This Row],[CalCashImpact]]+Transactions[[#This Row],[CostImpact]],0)</f>
        <v>0</v>
      </c>
      <c r="W52" s="66">
        <f>Transactions[[#This Row],[Amount]]*INDEX(TransTypes[],Transactions[[#This Row],[TTR]],TT_COL_AmntSign)</f>
        <v>-318.25479999999999</v>
      </c>
      <c r="X52" s="66">
        <f>IF(INDEX(TransTypes[],Transactions[[#This Row],[TTR]],TT_COL_LONGORSHORT)="S",
      IF( OR(INDEX(TransTypes[],Transactions[[#This Row],[TTR]],TT_COL_GLFlag)=1, INDEX(TransTypes[], Transactions[[#This Row],[TTR]], TT_COL_ShareTransferFlag)=1),
            Transactions[[#This Row],[CostImpact]]*-1,
            Transactions[[#This Row],[CalCashImpact]]
      ),
     0
)</f>
        <v>0</v>
      </c>
      <c r="Y52" s="67" t="str">
        <f>VLOOKUP(Transactions[[#This Row],[Symbol]],Symbols[], COLUMN(Symbols[Currency])-COLUMN(Symbols[])+1,FALSE)</f>
        <v>USD</v>
      </c>
    </row>
    <row r="53" spans="1:25">
      <c r="A53" s="55" t="s">
        <v>65</v>
      </c>
      <c r="B53" s="56">
        <v>43014</v>
      </c>
      <c r="C53" s="55" t="s">
        <v>118</v>
      </c>
      <c r="D53" s="55"/>
      <c r="E53" s="55" t="s">
        <v>292</v>
      </c>
      <c r="F53" s="57">
        <v>283</v>
      </c>
      <c r="G53" s="58"/>
      <c r="H53" s="57"/>
      <c r="I53" s="57"/>
      <c r="J53" s="68">
        <v>103.3</v>
      </c>
      <c r="K53" s="6" t="s">
        <v>353</v>
      </c>
      <c r="L53" s="20">
        <f>IF(ISNA(MATCH(Transactions[[#This Row],[TransType]],TransTypes[TransType],0)),1,MATCH(Transactions[[#This Row],[TransType]],TransTypes[TransType],0))</f>
        <v>4</v>
      </c>
      <c r="M53" s="60">
        <f>IF( AND( INDEX(TransTypes[],Transactions[[#This Row],[TTR]],TT_COL_GLFlag)=1, INDEX(TransTypes[],Transactions[[#This Row],[TTR]],TT_COL_LONGORSHORT)="S" ),
      Transactions[[#This Row],[PL]],
      IF(INDEX(TransTypes[],Transactions[[#This Row],[TTR]],TT_COL_LONGORSHORT)="S",0,Transactions[[#This Row],[CalCashImpact]])
)</f>
        <v>103.3</v>
      </c>
      <c r="N53" s="61">
        <f>IF(VLOOKUP(Transactions[[#This Row],[Symbol]],Symbols[],COLUMN(Symbols[Currency])-COLUMN(Symbols[])+1,FALSE)=
       VLOOKUP(Transactions[[#This Row],[Account]],Accounts[],COLUMN(Accounts[Currency])-COLUMN(Accounts[])+1,FALSE),
     Transactions[[#This Row],[OrigCashImpact]],
     0
)</f>
        <v>103.3</v>
      </c>
      <c r="O5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3967.6185652570225</v>
      </c>
      <c r="P5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283</v>
      </c>
      <c r="R53" s="41">
        <f>ROW()</f>
        <v>53</v>
      </c>
      <c r="S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24993.044999999998</v>
      </c>
      <c r="U5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283</v>
      </c>
      <c r="V53" s="65">
        <f>IF(INDEX(TransTypes[],Transactions[[#This Row],[TTR]],TT_COL_GLFlag)=1,Transactions[[#This Row],[CalCashImpact]]+Transactions[[#This Row],[CostImpact]],0)</f>
        <v>0</v>
      </c>
      <c r="W53" s="66">
        <f>Transactions[[#This Row],[Amount]]*INDEX(TransTypes[],Transactions[[#This Row],[TTR]],TT_COL_AmntSign)</f>
        <v>103.3</v>
      </c>
      <c r="X53" s="66">
        <f>IF(INDEX(TransTypes[],Transactions[[#This Row],[TTR]],TT_COL_LONGORSHORT)="S",
      IF( OR(INDEX(TransTypes[],Transactions[[#This Row],[TTR]],TT_COL_GLFlag)=1, INDEX(TransTypes[], Transactions[[#This Row],[TTR]], TT_COL_ShareTransferFlag)=1),
            Transactions[[#This Row],[CostImpact]]*-1,
            Transactions[[#This Row],[CalCashImpact]]
      ),
     0
)</f>
        <v>0</v>
      </c>
      <c r="Y53" s="67" t="str">
        <f>VLOOKUP(Transactions[[#This Row],[Symbol]],Symbols[], COLUMN(Symbols[Currency])-COLUMN(Symbols[])+1,FALSE)</f>
        <v>USD</v>
      </c>
    </row>
    <row r="54" spans="1:25">
      <c r="A54" s="55" t="s">
        <v>65</v>
      </c>
      <c r="B54" s="56">
        <v>43014</v>
      </c>
      <c r="C54" s="55" t="s">
        <v>118</v>
      </c>
      <c r="D54" s="55"/>
      <c r="E54" s="55" t="s">
        <v>20</v>
      </c>
      <c r="F54" s="57">
        <v>400</v>
      </c>
      <c r="G54" s="58"/>
      <c r="H54" s="57"/>
      <c r="I54" s="57"/>
      <c r="J54" s="68">
        <v>100.95</v>
      </c>
      <c r="K54" s="6" t="s">
        <v>354</v>
      </c>
      <c r="L54" s="20">
        <f>IF(ISNA(MATCH(Transactions[[#This Row],[TransType]],TransTypes[TransType],0)),1,MATCH(Transactions[[#This Row],[TransType]],TransTypes[TransType],0))</f>
        <v>4</v>
      </c>
      <c r="M54" s="60">
        <f>IF( AND( INDEX(TransTypes[],Transactions[[#This Row],[TTR]],TT_COL_GLFlag)=1, INDEX(TransTypes[],Transactions[[#This Row],[TTR]],TT_COL_LONGORSHORT)="S" ),
      Transactions[[#This Row],[PL]],
      IF(INDEX(TransTypes[],Transactions[[#This Row],[TTR]],TT_COL_LONGORSHORT)="S",0,Transactions[[#This Row],[CalCashImpact]])
)</f>
        <v>100.95</v>
      </c>
      <c r="N54" s="61">
        <f>IF(VLOOKUP(Transactions[[#This Row],[Symbol]],Symbols[],COLUMN(Symbols[Currency])-COLUMN(Symbols[])+1,FALSE)=
       VLOOKUP(Transactions[[#This Row],[Account]],Accounts[],COLUMN(Accounts[Currency])-COLUMN(Accounts[])+1,FALSE),
     Transactions[[#This Row],[OrigCashImpact]],
     0
)</f>
        <v>100.95</v>
      </c>
      <c r="O5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4068.5685652570223</v>
      </c>
      <c r="P5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54" s="41">
        <f>ROW()</f>
        <v>54</v>
      </c>
      <c r="S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5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54" s="65">
        <f>IF(INDEX(TransTypes[],Transactions[[#This Row],[TTR]],TT_COL_GLFlag)=1,Transactions[[#This Row],[CalCashImpact]]+Transactions[[#This Row],[CostImpact]],0)</f>
        <v>0</v>
      </c>
      <c r="W54" s="66">
        <f>Transactions[[#This Row],[Amount]]*INDEX(TransTypes[],Transactions[[#This Row],[TTR]],TT_COL_AmntSign)</f>
        <v>100.95</v>
      </c>
      <c r="X54" s="66">
        <f>IF(INDEX(TransTypes[],Transactions[[#This Row],[TTR]],TT_COL_LONGORSHORT)="S",
      IF( OR(INDEX(TransTypes[],Transactions[[#This Row],[TTR]],TT_COL_GLFlag)=1, INDEX(TransTypes[], Transactions[[#This Row],[TTR]], TT_COL_ShareTransferFlag)=1),
            Transactions[[#This Row],[CostImpact]]*-1,
            Transactions[[#This Row],[CalCashImpact]]
      ),
     0
)</f>
        <v>0</v>
      </c>
      <c r="Y54" s="67" t="str">
        <f>VLOOKUP(Transactions[[#This Row],[Symbol]],Symbols[], COLUMN(Symbols[Currency])-COLUMN(Symbols[])+1,FALSE)</f>
        <v>USD</v>
      </c>
    </row>
    <row r="55" spans="1:25">
      <c r="A55" s="55" t="s">
        <v>65</v>
      </c>
      <c r="B55" s="56">
        <v>43014</v>
      </c>
      <c r="C55" s="55" t="s">
        <v>123</v>
      </c>
      <c r="D55" s="55"/>
      <c r="E55" s="55" t="s">
        <v>292</v>
      </c>
      <c r="F55" s="57"/>
      <c r="G55" s="58"/>
      <c r="H55" s="57"/>
      <c r="I55" s="57"/>
      <c r="J55" s="68">
        <v>15.5</v>
      </c>
      <c r="K55" s="6" t="s">
        <v>355</v>
      </c>
      <c r="L55" s="20">
        <f>IF(ISNA(MATCH(Transactions[[#This Row],[TransType]],TransTypes[TransType],0)),1,MATCH(Transactions[[#This Row],[TransType]],TransTypes[TransType],0))</f>
        <v>7</v>
      </c>
      <c r="M55" s="60">
        <f>IF( AND( INDEX(TransTypes[],Transactions[[#This Row],[TTR]],TT_COL_GLFlag)=1, INDEX(TransTypes[],Transactions[[#This Row],[TTR]],TT_COL_LONGORSHORT)="S" ),
      Transactions[[#This Row],[PL]],
      IF(INDEX(TransTypes[],Transactions[[#This Row],[TTR]],TT_COL_LONGORSHORT)="S",0,Transactions[[#This Row],[CalCashImpact]])
)</f>
        <v>-15.5</v>
      </c>
      <c r="N55" s="61">
        <f>IF(VLOOKUP(Transactions[[#This Row],[Symbol]],Symbols[],COLUMN(Symbols[Currency])-COLUMN(Symbols[])+1,FALSE)=
       VLOOKUP(Transactions[[#This Row],[Account]],Accounts[],COLUMN(Accounts[Currency])-COLUMN(Accounts[])+1,FALSE),
     Transactions[[#This Row],[OrigCashImpact]],
     0
)</f>
        <v>-15.5</v>
      </c>
      <c r="O5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4053.0685652570223</v>
      </c>
      <c r="P5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283</v>
      </c>
      <c r="R55" s="41">
        <f>ROW()</f>
        <v>55</v>
      </c>
      <c r="S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24993.044999999998</v>
      </c>
      <c r="U5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283</v>
      </c>
      <c r="V55" s="65">
        <f>IF(INDEX(TransTypes[],Transactions[[#This Row],[TTR]],TT_COL_GLFlag)=1,Transactions[[#This Row],[CalCashImpact]]+Transactions[[#This Row],[CostImpact]],0)</f>
        <v>0</v>
      </c>
      <c r="W55" s="66">
        <f>Transactions[[#This Row],[Amount]]*INDEX(TransTypes[],Transactions[[#This Row],[TTR]],TT_COL_AmntSign)</f>
        <v>-15.5</v>
      </c>
      <c r="X55" s="66">
        <f>IF(INDEX(TransTypes[],Transactions[[#This Row],[TTR]],TT_COL_LONGORSHORT)="S",
      IF( OR(INDEX(TransTypes[],Transactions[[#This Row],[TTR]],TT_COL_GLFlag)=1, INDEX(TransTypes[], Transactions[[#This Row],[TTR]], TT_COL_ShareTransferFlag)=1),
            Transactions[[#This Row],[CostImpact]]*-1,
            Transactions[[#This Row],[CalCashImpact]]
      ),
     0
)</f>
        <v>0</v>
      </c>
      <c r="Y55" s="67" t="str">
        <f>VLOOKUP(Transactions[[#This Row],[Symbol]],Symbols[], COLUMN(Symbols[Currency])-COLUMN(Symbols[])+1,FALSE)</f>
        <v>USD</v>
      </c>
    </row>
    <row r="56" spans="1:25">
      <c r="A56" s="55" t="s">
        <v>65</v>
      </c>
      <c r="B56" s="56">
        <v>43014</v>
      </c>
      <c r="C56" s="55" t="s">
        <v>123</v>
      </c>
      <c r="D56" s="55"/>
      <c r="E56" s="55" t="s">
        <v>20</v>
      </c>
      <c r="F56" s="57"/>
      <c r="G56" s="58"/>
      <c r="H56" s="57"/>
      <c r="I56" s="57"/>
      <c r="J56" s="68">
        <v>15.14</v>
      </c>
      <c r="K56" s="6" t="s">
        <v>356</v>
      </c>
      <c r="L56" s="20">
        <f>IF(ISNA(MATCH(Transactions[[#This Row],[TransType]],TransTypes[TransType],0)),1,MATCH(Transactions[[#This Row],[TransType]],TransTypes[TransType],0))</f>
        <v>7</v>
      </c>
      <c r="M56" s="60">
        <f>IF( AND( INDEX(TransTypes[],Transactions[[#This Row],[TTR]],TT_COL_GLFlag)=1, INDEX(TransTypes[],Transactions[[#This Row],[TTR]],TT_COL_LONGORSHORT)="S" ),
      Transactions[[#This Row],[PL]],
      IF(INDEX(TransTypes[],Transactions[[#This Row],[TTR]],TT_COL_LONGORSHORT)="S",0,Transactions[[#This Row],[CalCashImpact]])
)</f>
        <v>-15.14</v>
      </c>
      <c r="N56" s="61">
        <f>IF(VLOOKUP(Transactions[[#This Row],[Symbol]],Symbols[],COLUMN(Symbols[Currency])-COLUMN(Symbols[])+1,FALSE)=
       VLOOKUP(Transactions[[#This Row],[Account]],Accounts[],COLUMN(Accounts[Currency])-COLUMN(Accounts[])+1,FALSE),
     Transactions[[#This Row],[OrigCashImpact]],
     0
)</f>
        <v>-15.14</v>
      </c>
      <c r="O5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4037.9285652570225</v>
      </c>
      <c r="P5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56" s="41">
        <f>ROW()</f>
        <v>56</v>
      </c>
      <c r="S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5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56" s="65">
        <f>IF(INDEX(TransTypes[],Transactions[[#This Row],[TTR]],TT_COL_GLFlag)=1,Transactions[[#This Row],[CalCashImpact]]+Transactions[[#This Row],[CostImpact]],0)</f>
        <v>0</v>
      </c>
      <c r="W56" s="66">
        <f>Transactions[[#This Row],[Amount]]*INDEX(TransTypes[],Transactions[[#This Row],[TTR]],TT_COL_AmntSign)</f>
        <v>-15.14</v>
      </c>
      <c r="X56" s="66">
        <f>IF(INDEX(TransTypes[],Transactions[[#This Row],[TTR]],TT_COL_LONGORSHORT)="S",
      IF( OR(INDEX(TransTypes[],Transactions[[#This Row],[TTR]],TT_COL_GLFlag)=1, INDEX(TransTypes[], Transactions[[#This Row],[TTR]], TT_COL_ShareTransferFlag)=1),
            Transactions[[#This Row],[CostImpact]]*-1,
            Transactions[[#This Row],[CalCashImpact]]
      ),
     0
)</f>
        <v>0</v>
      </c>
      <c r="Y56" s="67" t="str">
        <f>VLOOKUP(Transactions[[#This Row],[Symbol]],Symbols[], COLUMN(Symbols[Currency])-COLUMN(Symbols[])+1,FALSE)</f>
        <v>USD</v>
      </c>
    </row>
    <row r="57" spans="1:25">
      <c r="A57" s="55" t="s">
        <v>65</v>
      </c>
      <c r="B57" s="56">
        <v>43027</v>
      </c>
      <c r="C57" s="55" t="s">
        <v>115</v>
      </c>
      <c r="D57" s="55"/>
      <c r="E57" s="55" t="s">
        <v>278</v>
      </c>
      <c r="F57" s="57">
        <v>30</v>
      </c>
      <c r="G57" s="58">
        <v>986.20159999999998</v>
      </c>
      <c r="H57" s="57">
        <v>1.687007709</v>
      </c>
      <c r="I57" s="57"/>
      <c r="J57" s="68">
        <v>29584.360992291</v>
      </c>
      <c r="K57" s="6"/>
      <c r="L57" s="20">
        <f>IF(ISNA(MATCH(Transactions[[#This Row],[TransType]],TransTypes[TransType],0)),1,MATCH(Transactions[[#This Row],[TransType]],TransTypes[TransType],0))</f>
        <v>3</v>
      </c>
      <c r="M57" s="60">
        <f>IF( AND( INDEX(TransTypes[],Transactions[[#This Row],[TTR]],TT_COL_GLFlag)=1, INDEX(TransTypes[],Transactions[[#This Row],[TTR]],TT_COL_LONGORSHORT)="S" ),
      Transactions[[#This Row],[PL]],
      IF(INDEX(TransTypes[],Transactions[[#This Row],[TTR]],TT_COL_LONGORSHORT)="S",0,Transactions[[#This Row],[CalCashImpact]])
)</f>
        <v>29584.360992291</v>
      </c>
      <c r="N57" s="61">
        <f>IF(VLOOKUP(Transactions[[#This Row],[Symbol]],Symbols[],COLUMN(Symbols[Currency])-COLUMN(Symbols[])+1,FALSE)=
       VLOOKUP(Transactions[[#This Row],[Account]],Accounts[],COLUMN(Accounts[Currency])-COLUMN(Accounts[])+1,FALSE),
     Transactions[[#This Row],[OrigCashImpact]],
     0
)</f>
        <v>29584.360992291</v>
      </c>
      <c r="O5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33646.38955754802</v>
      </c>
      <c r="P5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v>
      </c>
      <c r="Q5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v>
      </c>
      <c r="R57" s="41">
        <f>ROW()</f>
        <v>57</v>
      </c>
      <c r="S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-28907.100000000002</v>
      </c>
      <c r="T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19271.399999999998</v>
      </c>
      <c r="U5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v>
      </c>
      <c r="V57" s="65">
        <f>IF(INDEX(TransTypes[],Transactions[[#This Row],[TTR]],TT_COL_GLFlag)=1,Transactions[[#This Row],[CalCashImpact]]+Transactions[[#This Row],[CostImpact]],0)</f>
        <v>677.26099229099782</v>
      </c>
      <c r="W57" s="66">
        <f>Transactions[[#This Row],[Amount]]*INDEX(TransTypes[],Transactions[[#This Row],[TTR]],TT_COL_AmntSign)</f>
        <v>29584.360992291</v>
      </c>
      <c r="X57" s="66">
        <f>IF(INDEX(TransTypes[],Transactions[[#This Row],[TTR]],TT_COL_LONGORSHORT)="S",
      IF( OR(INDEX(TransTypes[],Transactions[[#This Row],[TTR]],TT_COL_GLFlag)=1, INDEX(TransTypes[], Transactions[[#This Row],[TTR]], TT_COL_ShareTransferFlag)=1),
            Transactions[[#This Row],[CostImpact]]*-1,
            Transactions[[#This Row],[CalCashImpact]]
      ),
     0
)</f>
        <v>0</v>
      </c>
      <c r="Y57" s="67" t="str">
        <f>VLOOKUP(Transactions[[#This Row],[Symbol]],Symbols[], COLUMN(Symbols[Currency])-COLUMN(Symbols[])+1,FALSE)</f>
        <v>USD</v>
      </c>
    </row>
    <row r="58" spans="1:25">
      <c r="A58" s="55" t="s">
        <v>65</v>
      </c>
      <c r="B58" s="56">
        <v>43027</v>
      </c>
      <c r="C58" s="55" t="s">
        <v>113</v>
      </c>
      <c r="D58" s="55"/>
      <c r="E58" s="55" t="s">
        <v>322</v>
      </c>
      <c r="F58" s="57">
        <v>200</v>
      </c>
      <c r="G58" s="58">
        <v>107.87</v>
      </c>
      <c r="H58" s="57">
        <v>1</v>
      </c>
      <c r="I58" s="57"/>
      <c r="J58" s="68">
        <v>21575</v>
      </c>
      <c r="K58" s="6"/>
      <c r="L58" s="20">
        <f>IF(ISNA(MATCH(Transactions[[#This Row],[TransType]],TransTypes[TransType],0)),1,MATCH(Transactions[[#This Row],[TransType]],TransTypes[TransType],0))</f>
        <v>2</v>
      </c>
      <c r="M58" s="60">
        <f>IF( AND( INDEX(TransTypes[],Transactions[[#This Row],[TTR]],TT_COL_GLFlag)=1, INDEX(TransTypes[],Transactions[[#This Row],[TTR]],TT_COL_LONGORSHORT)="S" ),
      Transactions[[#This Row],[PL]],
      IF(INDEX(TransTypes[],Transactions[[#This Row],[TTR]],TT_COL_LONGORSHORT)="S",0,Transactions[[#This Row],[CalCashImpact]])
)</f>
        <v>-21575</v>
      </c>
      <c r="N58" s="61">
        <f>IF(VLOOKUP(Transactions[[#This Row],[Symbol]],Symbols[],COLUMN(Symbols[Currency])-COLUMN(Symbols[])+1,FALSE)=
       VLOOKUP(Transactions[[#This Row],[Account]],Accounts[],COLUMN(Accounts[Currency])-COLUMN(Accounts[])+1,FALSE),
     Transactions[[#This Row],[OrigCashImpact]],
     0
)</f>
        <v>-21575</v>
      </c>
      <c r="O5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12071.389557548022</v>
      </c>
      <c r="P5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5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58" s="41">
        <f>ROW()</f>
        <v>58</v>
      </c>
      <c r="S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21575</v>
      </c>
      <c r="T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21575</v>
      </c>
      <c r="U5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58" s="65">
        <f>IF(INDEX(TransTypes[],Transactions[[#This Row],[TTR]],TT_COL_GLFlag)=1,Transactions[[#This Row],[CalCashImpact]]+Transactions[[#This Row],[CostImpact]],0)</f>
        <v>0</v>
      </c>
      <c r="W58" s="66">
        <f>Transactions[[#This Row],[Amount]]*INDEX(TransTypes[],Transactions[[#This Row],[TTR]],TT_COL_AmntSign)</f>
        <v>-21575</v>
      </c>
      <c r="X58" s="66">
        <f>IF(INDEX(TransTypes[],Transactions[[#This Row],[TTR]],TT_COL_LONGORSHORT)="S",
      IF( OR(INDEX(TransTypes[],Transactions[[#This Row],[TTR]],TT_COL_GLFlag)=1, INDEX(TransTypes[], Transactions[[#This Row],[TTR]], TT_COL_ShareTransferFlag)=1),
            Transactions[[#This Row],[CostImpact]]*-1,
            Transactions[[#This Row],[CalCashImpact]]
      ),
     0
)</f>
        <v>0</v>
      </c>
      <c r="Y58" s="67" t="str">
        <f>VLOOKUP(Transactions[[#This Row],[Symbol]],Symbols[], COLUMN(Symbols[Currency])-COLUMN(Symbols[])+1,FALSE)</f>
        <v>USD</v>
      </c>
    </row>
    <row r="59" spans="1:25">
      <c r="A59" s="55" t="s">
        <v>65</v>
      </c>
      <c r="B59" s="56">
        <v>43028</v>
      </c>
      <c r="C59" s="55" t="s">
        <v>113</v>
      </c>
      <c r="D59" s="55"/>
      <c r="E59" s="55" t="s">
        <v>295</v>
      </c>
      <c r="F59" s="57">
        <v>30</v>
      </c>
      <c r="G59" s="58">
        <v>374.45666670000003</v>
      </c>
      <c r="H59" s="57">
        <v>1</v>
      </c>
      <c r="I59" s="57"/>
      <c r="J59" s="68">
        <v>11234.7</v>
      </c>
      <c r="K59" s="6"/>
      <c r="L59" s="20">
        <f>IF(ISNA(MATCH(Transactions[[#This Row],[TransType]],TransTypes[TransType],0)),1,MATCH(Transactions[[#This Row],[TransType]],TransTypes[TransType],0))</f>
        <v>2</v>
      </c>
      <c r="M59" s="60">
        <f>IF( AND( INDEX(TransTypes[],Transactions[[#This Row],[TTR]],TT_COL_GLFlag)=1, INDEX(TransTypes[],Transactions[[#This Row],[TTR]],TT_COL_LONGORSHORT)="S" ),
      Transactions[[#This Row],[PL]],
      IF(INDEX(TransTypes[],Transactions[[#This Row],[TTR]],TT_COL_LONGORSHORT)="S",0,Transactions[[#This Row],[CalCashImpact]])
)</f>
        <v>-11234.7</v>
      </c>
      <c r="N59" s="61">
        <f>IF(VLOOKUP(Transactions[[#This Row],[Symbol]],Symbols[],COLUMN(Symbols[Currency])-COLUMN(Symbols[])+1,FALSE)=
       VLOOKUP(Transactions[[#This Row],[Account]],Accounts[],COLUMN(Accounts[Currency])-COLUMN(Accounts[])+1,FALSE),
     Transactions[[#This Row],[OrigCashImpact]],
     0
)</f>
        <v>-11234.7</v>
      </c>
      <c r="O5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836.68955754801937</v>
      </c>
      <c r="P5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v>
      </c>
      <c r="Q5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v>
      </c>
      <c r="R59" s="41">
        <f>ROW()</f>
        <v>59</v>
      </c>
      <c r="S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11234.7</v>
      </c>
      <c r="T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11234.7</v>
      </c>
      <c r="U5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v>
      </c>
      <c r="V59" s="65">
        <f>IF(INDEX(TransTypes[],Transactions[[#This Row],[TTR]],TT_COL_GLFlag)=1,Transactions[[#This Row],[CalCashImpact]]+Transactions[[#This Row],[CostImpact]],0)</f>
        <v>0</v>
      </c>
      <c r="W59" s="66">
        <f>Transactions[[#This Row],[Amount]]*INDEX(TransTypes[],Transactions[[#This Row],[TTR]],TT_COL_AmntSign)</f>
        <v>-11234.7</v>
      </c>
      <c r="X59" s="66">
        <f>IF(INDEX(TransTypes[],Transactions[[#This Row],[TTR]],TT_COL_LONGORSHORT)="S",
      IF( OR(INDEX(TransTypes[],Transactions[[#This Row],[TTR]],TT_COL_GLFlag)=1, INDEX(TransTypes[], Transactions[[#This Row],[TTR]], TT_COL_ShareTransferFlag)=1),
            Transactions[[#This Row],[CostImpact]]*-1,
            Transactions[[#This Row],[CalCashImpact]]
      ),
     0
)</f>
        <v>0</v>
      </c>
      <c r="Y59" s="67" t="str">
        <f>VLOOKUP(Transactions[[#This Row],[Symbol]],Symbols[], COLUMN(Symbols[Currency])-COLUMN(Symbols[])+1,FALSE)</f>
        <v>USD</v>
      </c>
    </row>
    <row r="60" spans="1:25">
      <c r="A60" s="55" t="s">
        <v>65</v>
      </c>
      <c r="B60" s="56">
        <v>43033</v>
      </c>
      <c r="C60" s="55" t="s">
        <v>113</v>
      </c>
      <c r="D60" s="55"/>
      <c r="E60" s="55" t="s">
        <v>273</v>
      </c>
      <c r="F60" s="57">
        <v>15000</v>
      </c>
      <c r="G60" s="58">
        <v>25.3</v>
      </c>
      <c r="H60" s="57">
        <v>1098.0929999999901</v>
      </c>
      <c r="I60" s="57"/>
      <c r="J60" s="68">
        <v>380598.09299999999</v>
      </c>
      <c r="K60" s="6"/>
      <c r="L60" s="20">
        <f>IF(ISNA(MATCH(Transactions[[#This Row],[TransType]],TransTypes[TransType],0)),1,MATCH(Transactions[[#This Row],[TransType]],TransTypes[TransType],0))</f>
        <v>2</v>
      </c>
      <c r="M60" s="60">
        <f>IF( AND( INDEX(TransTypes[],Transactions[[#This Row],[TTR]],TT_COL_GLFlag)=1, INDEX(TransTypes[],Transactions[[#This Row],[TTR]],TT_COL_LONGORSHORT)="S" ),
      Transactions[[#This Row],[PL]],
      IF(INDEX(TransTypes[],Transactions[[#This Row],[TTR]],TT_COL_LONGORSHORT)="S",0,Transactions[[#This Row],[CalCashImpact]])
)</f>
        <v>-380598.09299999999</v>
      </c>
      <c r="N60" s="61">
        <f>IF(VLOOKUP(Transactions[[#This Row],[Symbol]],Symbols[],COLUMN(Symbols[Currency])-COLUMN(Symbols[])+1,FALSE)=
       VLOOKUP(Transactions[[#This Row],[Account]],Accounts[],COLUMN(Accounts[Currency])-COLUMN(Accounts[])+1,FALSE),
     Transactions[[#This Row],[OrigCashImpact]],
     0
)</f>
        <v>0</v>
      </c>
      <c r="O6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836.68955754802084</v>
      </c>
      <c r="P6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15000</v>
      </c>
      <c r="Q6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15000</v>
      </c>
      <c r="R60" s="41">
        <f>ROW()</f>
        <v>60</v>
      </c>
      <c r="S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380598.09299999999</v>
      </c>
      <c r="T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380598.09299999999</v>
      </c>
      <c r="U6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15000</v>
      </c>
      <c r="V60" s="65">
        <f>IF(INDEX(TransTypes[],Transactions[[#This Row],[TTR]],TT_COL_GLFlag)=1,Transactions[[#This Row],[CalCashImpact]]+Transactions[[#This Row],[CostImpact]],0)</f>
        <v>0</v>
      </c>
      <c r="W60" s="66">
        <f>Transactions[[#This Row],[Amount]]*INDEX(TransTypes[],Transactions[[#This Row],[TTR]],TT_COL_AmntSign)</f>
        <v>-380598.09299999999</v>
      </c>
      <c r="X60" s="66">
        <f>IF(INDEX(TransTypes[],Transactions[[#This Row],[TTR]],TT_COL_LONGORSHORT)="S",
      IF( OR(INDEX(TransTypes[],Transactions[[#This Row],[TTR]],TT_COL_GLFlag)=1, INDEX(TransTypes[], Transactions[[#This Row],[TTR]], TT_COL_ShareTransferFlag)=1),
            Transactions[[#This Row],[CostImpact]]*-1,
            Transactions[[#This Row],[CalCashImpact]]
      ),
     0
)</f>
        <v>0</v>
      </c>
      <c r="Y60" s="67" t="str">
        <f>VLOOKUP(Transactions[[#This Row],[Symbol]],Symbols[], COLUMN(Symbols[Currency])-COLUMN(Symbols[])+1,FALSE)</f>
        <v>HKD</v>
      </c>
    </row>
    <row r="61" spans="1:25">
      <c r="A61" s="55" t="s">
        <v>65</v>
      </c>
      <c r="B61" s="56">
        <v>43033</v>
      </c>
      <c r="C61" s="55" t="s">
        <v>115</v>
      </c>
      <c r="D61" s="55"/>
      <c r="E61" s="55" t="s">
        <v>322</v>
      </c>
      <c r="F61" s="57">
        <v>200</v>
      </c>
      <c r="G61" s="58">
        <v>99.584999999999994</v>
      </c>
      <c r="H61" s="57">
        <v>1.4838827000000001</v>
      </c>
      <c r="I61" s="57"/>
      <c r="J61" s="68">
        <v>19915.516117300001</v>
      </c>
      <c r="K61" s="6"/>
      <c r="L61" s="20">
        <f>IF(ISNA(MATCH(Transactions[[#This Row],[TransType]],TransTypes[TransType],0)),1,MATCH(Transactions[[#This Row],[TransType]],TransTypes[TransType],0))</f>
        <v>3</v>
      </c>
      <c r="M61" s="60">
        <f>IF( AND( INDEX(TransTypes[],Transactions[[#This Row],[TTR]],TT_COL_GLFlag)=1, INDEX(TransTypes[],Transactions[[#This Row],[TTR]],TT_COL_LONGORSHORT)="S" ),
      Transactions[[#This Row],[PL]],
      IF(INDEX(TransTypes[],Transactions[[#This Row],[TTR]],TT_COL_LONGORSHORT)="S",0,Transactions[[#This Row],[CalCashImpact]])
)</f>
        <v>19915.516117300001</v>
      </c>
      <c r="N61" s="61">
        <f>IF(VLOOKUP(Transactions[[#This Row],[Symbol]],Symbols[],COLUMN(Symbols[Currency])-COLUMN(Symbols[])+1,FALSE)=
       VLOOKUP(Transactions[[#This Row],[Account]],Accounts[],COLUMN(Accounts[Currency])-COLUMN(Accounts[])+1,FALSE),
     Transactions[[#This Row],[OrigCashImpact]],
     0
)</f>
        <v>19915.516117300001</v>
      </c>
      <c r="O6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20752.205674848021</v>
      </c>
      <c r="P6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6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1" s="41">
        <f>ROW()</f>
        <v>61</v>
      </c>
      <c r="S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-21575</v>
      </c>
      <c r="T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61" s="65">
        <f>IF(INDEX(TransTypes[],Transactions[[#This Row],[TTR]],TT_COL_GLFlag)=1,Transactions[[#This Row],[CalCashImpact]]+Transactions[[#This Row],[CostImpact]],0)</f>
        <v>-1659.4838826999985</v>
      </c>
      <c r="W61" s="66">
        <f>Transactions[[#This Row],[Amount]]*INDEX(TransTypes[],Transactions[[#This Row],[TTR]],TT_COL_AmntSign)</f>
        <v>19915.516117300001</v>
      </c>
      <c r="X61" s="66">
        <f>IF(INDEX(TransTypes[],Transactions[[#This Row],[TTR]],TT_COL_LONGORSHORT)="S",
      IF( OR(INDEX(TransTypes[],Transactions[[#This Row],[TTR]],TT_COL_GLFlag)=1, INDEX(TransTypes[], Transactions[[#This Row],[TTR]], TT_COL_ShareTransferFlag)=1),
            Transactions[[#This Row],[CostImpact]]*-1,
            Transactions[[#This Row],[CalCashImpact]]
      ),
     0
)</f>
        <v>0</v>
      </c>
      <c r="Y61" s="67" t="str">
        <f>VLOOKUP(Transactions[[#This Row],[Symbol]],Symbols[], COLUMN(Symbols[Currency])-COLUMN(Symbols[])+1,FALSE)</f>
        <v>USD</v>
      </c>
    </row>
    <row r="62" spans="1:25">
      <c r="A62" s="55" t="s">
        <v>65</v>
      </c>
      <c r="B62" s="56">
        <v>43037</v>
      </c>
      <c r="C62" s="55" t="s">
        <v>113</v>
      </c>
      <c r="D62" s="55"/>
      <c r="E62" s="55" t="s">
        <v>258</v>
      </c>
      <c r="F62" s="57">
        <v>6000</v>
      </c>
      <c r="G62" s="58">
        <v>39.200000000000003</v>
      </c>
      <c r="H62" s="57">
        <v>672.86080000000004</v>
      </c>
      <c r="I62" s="57"/>
      <c r="J62" s="68">
        <v>235872.86079999999</v>
      </c>
      <c r="K62" s="6"/>
      <c r="L62" s="20">
        <f>IF(ISNA(MATCH(Transactions[[#This Row],[TransType]],TransTypes[TransType],0)),1,MATCH(Transactions[[#This Row],[TransType]],TransTypes[TransType],0))</f>
        <v>2</v>
      </c>
      <c r="M62" s="60">
        <f>IF( AND( INDEX(TransTypes[],Transactions[[#This Row],[TTR]],TT_COL_GLFlag)=1, INDEX(TransTypes[],Transactions[[#This Row],[TTR]],TT_COL_LONGORSHORT)="S" ),
      Transactions[[#This Row],[PL]],
      IF(INDEX(TransTypes[],Transactions[[#This Row],[TTR]],TT_COL_LONGORSHORT)="S",0,Transactions[[#This Row],[CalCashImpact]])
)</f>
        <v>-235872.86079999999</v>
      </c>
      <c r="N62" s="61">
        <f>IF(VLOOKUP(Transactions[[#This Row],[Symbol]],Symbols[],COLUMN(Symbols[Currency])-COLUMN(Symbols[])+1,FALSE)=
       VLOOKUP(Transactions[[#This Row],[Account]],Accounts[],COLUMN(Accounts[Currency])-COLUMN(Accounts[])+1,FALSE),
     Transactions[[#This Row],[OrigCashImpact]],
     0
)</f>
        <v>0</v>
      </c>
      <c r="O6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20752.205674848021</v>
      </c>
      <c r="P6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6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62" s="41">
        <f>ROW()</f>
        <v>62</v>
      </c>
      <c r="S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235872.86079999999</v>
      </c>
      <c r="T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235872.86079999999</v>
      </c>
      <c r="U6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62" s="65">
        <f>IF(INDEX(TransTypes[],Transactions[[#This Row],[TTR]],TT_COL_GLFlag)=1,Transactions[[#This Row],[CalCashImpact]]+Transactions[[#This Row],[CostImpact]],0)</f>
        <v>0</v>
      </c>
      <c r="W62" s="66">
        <f>Transactions[[#This Row],[Amount]]*INDEX(TransTypes[],Transactions[[#This Row],[TTR]],TT_COL_AmntSign)</f>
        <v>-235872.86079999999</v>
      </c>
      <c r="X62" s="66">
        <f>IF(INDEX(TransTypes[],Transactions[[#This Row],[TTR]],TT_COL_LONGORSHORT)="S",
      IF( OR(INDEX(TransTypes[],Transactions[[#This Row],[TTR]],TT_COL_GLFlag)=1, INDEX(TransTypes[], Transactions[[#This Row],[TTR]], TT_COL_ShareTransferFlag)=1),
            Transactions[[#This Row],[CostImpact]]*-1,
            Transactions[[#This Row],[CalCashImpact]]
      ),
     0
)</f>
        <v>0</v>
      </c>
      <c r="Y62" s="67" t="str">
        <f>VLOOKUP(Transactions[[#This Row],[Symbol]],Symbols[], COLUMN(Symbols[Currency])-COLUMN(Symbols[])+1,FALSE)</f>
        <v>HKD</v>
      </c>
    </row>
    <row r="63" spans="1:25">
      <c r="A63" s="55" t="s">
        <v>65</v>
      </c>
      <c r="B63" s="56">
        <v>43037</v>
      </c>
      <c r="C63" s="55" t="s">
        <v>115</v>
      </c>
      <c r="D63" s="55"/>
      <c r="E63" s="55" t="s">
        <v>268</v>
      </c>
      <c r="F63" s="57">
        <v>27500</v>
      </c>
      <c r="G63" s="58">
        <v>10.02254546</v>
      </c>
      <c r="H63" s="57">
        <v>793.37947999999994</v>
      </c>
      <c r="I63" s="57"/>
      <c r="J63" s="68">
        <v>274826.62052</v>
      </c>
      <c r="K63" s="6"/>
      <c r="L63" s="20">
        <f>IF(ISNA(MATCH(Transactions[[#This Row],[TransType]],TransTypes[TransType],0)),1,MATCH(Transactions[[#This Row],[TransType]],TransTypes[TransType],0))</f>
        <v>3</v>
      </c>
      <c r="M63" s="60">
        <f>IF( AND( INDEX(TransTypes[],Transactions[[#This Row],[TTR]],TT_COL_GLFlag)=1, INDEX(TransTypes[],Transactions[[#This Row],[TTR]],TT_COL_LONGORSHORT)="S" ),
      Transactions[[#This Row],[PL]],
      IF(INDEX(TransTypes[],Transactions[[#This Row],[TTR]],TT_COL_LONGORSHORT)="S",0,Transactions[[#This Row],[CalCashImpact]])
)</f>
        <v>274826.62052</v>
      </c>
      <c r="N63" s="61">
        <f>IF(VLOOKUP(Transactions[[#This Row],[Symbol]],Symbols[],COLUMN(Symbols[Currency])-COLUMN(Symbols[])+1,FALSE)=
       VLOOKUP(Transactions[[#This Row],[Account]],Accounts[],COLUMN(Accounts[Currency])-COLUMN(Accounts[])+1,FALSE),
     Transactions[[#This Row],[OrigCashImpact]],
     0
)</f>
        <v>0</v>
      </c>
      <c r="O6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20752.205674848021</v>
      </c>
      <c r="P6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-27500</v>
      </c>
      <c r="Q6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3" s="41">
        <f>ROW()</f>
        <v>63</v>
      </c>
      <c r="S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-268479.62433999998</v>
      </c>
      <c r="T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27500</v>
      </c>
      <c r="V63" s="65">
        <f>IF(INDEX(TransTypes[],Transactions[[#This Row],[TTR]],TT_COL_GLFlag)=1,Transactions[[#This Row],[CalCashImpact]]+Transactions[[#This Row],[CostImpact]],0)</f>
        <v>6346.9961800000165</v>
      </c>
      <c r="W63" s="66">
        <f>Transactions[[#This Row],[Amount]]*INDEX(TransTypes[],Transactions[[#This Row],[TTR]],TT_COL_AmntSign)</f>
        <v>274826.62052</v>
      </c>
      <c r="X63" s="66">
        <f>IF(INDEX(TransTypes[],Transactions[[#This Row],[TTR]],TT_COL_LONGORSHORT)="S",
      IF( OR(INDEX(TransTypes[],Transactions[[#This Row],[TTR]],TT_COL_GLFlag)=1, INDEX(TransTypes[], Transactions[[#This Row],[TTR]], TT_COL_ShareTransferFlag)=1),
            Transactions[[#This Row],[CostImpact]]*-1,
            Transactions[[#This Row],[CalCashImpact]]
      ),
     0
)</f>
        <v>0</v>
      </c>
      <c r="Y63" s="67" t="str">
        <f>VLOOKUP(Transactions[[#This Row],[Symbol]],Symbols[], COLUMN(Symbols[Currency])-COLUMN(Symbols[])+1,FALSE)</f>
        <v>HKD</v>
      </c>
    </row>
    <row r="64" spans="1:25">
      <c r="A64" s="55" t="s">
        <v>65</v>
      </c>
      <c r="B64" s="56">
        <v>43039</v>
      </c>
      <c r="C64" s="55" t="s">
        <v>113</v>
      </c>
      <c r="D64" s="55"/>
      <c r="E64" s="55" t="s">
        <v>303</v>
      </c>
      <c r="F64" s="57">
        <v>4000</v>
      </c>
      <c r="G64" s="58">
        <v>2.6697350000000002</v>
      </c>
      <c r="H64" s="57">
        <v>16</v>
      </c>
      <c r="I64" s="57"/>
      <c r="J64" s="68">
        <v>10694.94</v>
      </c>
      <c r="K64" s="6"/>
      <c r="L64" s="20">
        <f>IF(ISNA(MATCH(Transactions[[#This Row],[TransType]],TransTypes[TransType],0)),1,MATCH(Transactions[[#This Row],[TransType]],TransTypes[TransType],0))</f>
        <v>2</v>
      </c>
      <c r="M64" s="60">
        <f>IF( AND( INDEX(TransTypes[],Transactions[[#This Row],[TTR]],TT_COL_GLFlag)=1, INDEX(TransTypes[],Transactions[[#This Row],[TTR]],TT_COL_LONGORSHORT)="S" ),
      Transactions[[#This Row],[PL]],
      IF(INDEX(TransTypes[],Transactions[[#This Row],[TTR]],TT_COL_LONGORSHORT)="S",0,Transactions[[#This Row],[CalCashImpact]])
)</f>
        <v>-10694.94</v>
      </c>
      <c r="N64" s="61">
        <f>IF(VLOOKUP(Transactions[[#This Row],[Symbol]],Symbols[],COLUMN(Symbols[Currency])-COLUMN(Symbols[])+1,FALSE)=
       VLOOKUP(Transactions[[#This Row],[Account]],Accounts[],COLUMN(Accounts[Currency])-COLUMN(Accounts[])+1,FALSE),
     Transactions[[#This Row],[OrigCashImpact]],
     0
)</f>
        <v>-10694.94</v>
      </c>
      <c r="O6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10057.26567484802</v>
      </c>
      <c r="P6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6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64" s="41">
        <f>ROW()</f>
        <v>64</v>
      </c>
      <c r="S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10694.94</v>
      </c>
      <c r="T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10694.94</v>
      </c>
      <c r="U6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64" s="65">
        <f>IF(INDEX(TransTypes[],Transactions[[#This Row],[TTR]],TT_COL_GLFlag)=1,Transactions[[#This Row],[CalCashImpact]]+Transactions[[#This Row],[CostImpact]],0)</f>
        <v>0</v>
      </c>
      <c r="W64" s="66">
        <f>Transactions[[#This Row],[Amount]]*INDEX(TransTypes[],Transactions[[#This Row],[TTR]],TT_COL_AmntSign)</f>
        <v>-10694.94</v>
      </c>
      <c r="X64" s="66">
        <f>IF(INDEX(TransTypes[],Transactions[[#This Row],[TTR]],TT_COL_LONGORSHORT)="S",
      IF( OR(INDEX(TransTypes[],Transactions[[#This Row],[TTR]],TT_COL_GLFlag)=1, INDEX(TransTypes[], Transactions[[#This Row],[TTR]], TT_COL_ShareTransferFlag)=1),
            Transactions[[#This Row],[CostImpact]]*-1,
            Transactions[[#This Row],[CalCashImpact]]
      ),
     0
)</f>
        <v>0</v>
      </c>
      <c r="Y64" s="67" t="str">
        <f>VLOOKUP(Transactions[[#This Row],[Symbol]],Symbols[], COLUMN(Symbols[Currency])-COLUMN(Symbols[])+1,FALSE)</f>
        <v>USD</v>
      </c>
    </row>
    <row r="65" spans="1:25">
      <c r="A65" s="55" t="s">
        <v>65</v>
      </c>
      <c r="B65" s="56">
        <v>43039</v>
      </c>
      <c r="C65" s="55" t="s">
        <v>115</v>
      </c>
      <c r="D65" s="55"/>
      <c r="E65" s="55" t="s">
        <v>305</v>
      </c>
      <c r="F65" s="57">
        <v>50</v>
      </c>
      <c r="G65" s="58">
        <v>139.30000000000001</v>
      </c>
      <c r="H65" s="57">
        <v>1.1668415000000001</v>
      </c>
      <c r="I65" s="57"/>
      <c r="J65" s="68">
        <v>6963.8331584999996</v>
      </c>
      <c r="K65" s="6"/>
      <c r="L65" s="20">
        <f>IF(ISNA(MATCH(Transactions[[#This Row],[TransType]],TransTypes[TransType],0)),1,MATCH(Transactions[[#This Row],[TransType]],TransTypes[TransType],0))</f>
        <v>3</v>
      </c>
      <c r="M65" s="60">
        <f>IF( AND( INDEX(TransTypes[],Transactions[[#This Row],[TTR]],TT_COL_GLFlag)=1, INDEX(TransTypes[],Transactions[[#This Row],[TTR]],TT_COL_LONGORSHORT)="S" ),
      Transactions[[#This Row],[PL]],
      IF(INDEX(TransTypes[],Transactions[[#This Row],[TTR]],TT_COL_LONGORSHORT)="S",0,Transactions[[#This Row],[CalCashImpact]])
)</f>
        <v>6963.8331584999996</v>
      </c>
      <c r="N65" s="61">
        <f>IF(VLOOKUP(Transactions[[#This Row],[Symbol]],Symbols[],COLUMN(Symbols[Currency])-COLUMN(Symbols[])+1,FALSE)=
       VLOOKUP(Transactions[[#This Row],[Account]],Accounts[],COLUMN(Accounts[Currency])-COLUMN(Accounts[])+1,FALSE),
     Transactions[[#This Row],[OrigCashImpact]],
     0
)</f>
        <v>6963.8331584999996</v>
      </c>
      <c r="O6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17021.09883334802</v>
      </c>
      <c r="P6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v>
      </c>
      <c r="Q6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v>
      </c>
      <c r="R65" s="41">
        <f>ROW()</f>
        <v>65</v>
      </c>
      <c r="S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-6539.2342105263151</v>
      </c>
      <c r="T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18309.855789473684</v>
      </c>
      <c r="U6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190</v>
      </c>
      <c r="V65" s="65">
        <f>IF(INDEX(TransTypes[],Transactions[[#This Row],[TTR]],TT_COL_GLFlag)=1,Transactions[[#This Row],[CalCashImpact]]+Transactions[[#This Row],[CostImpact]],0)</f>
        <v>424.59894797368452</v>
      </c>
      <c r="W65" s="66">
        <f>Transactions[[#This Row],[Amount]]*INDEX(TransTypes[],Transactions[[#This Row],[TTR]],TT_COL_AmntSign)</f>
        <v>6963.8331584999996</v>
      </c>
      <c r="X65" s="66">
        <f>IF(INDEX(TransTypes[],Transactions[[#This Row],[TTR]],TT_COL_LONGORSHORT)="S",
      IF( OR(INDEX(TransTypes[],Transactions[[#This Row],[TTR]],TT_COL_GLFlag)=1, INDEX(TransTypes[], Transactions[[#This Row],[TTR]], TT_COL_ShareTransferFlag)=1),
            Transactions[[#This Row],[CostImpact]]*-1,
            Transactions[[#This Row],[CalCashImpact]]
      ),
     0
)</f>
        <v>0</v>
      </c>
      <c r="Y65" s="67" t="str">
        <f>VLOOKUP(Transactions[[#This Row],[Symbol]],Symbols[], COLUMN(Symbols[Currency])-COLUMN(Symbols[])+1,FALSE)</f>
        <v>USD</v>
      </c>
    </row>
    <row r="66" spans="1:25">
      <c r="A66" s="55" t="s">
        <v>65</v>
      </c>
      <c r="B66" s="56">
        <v>43039</v>
      </c>
      <c r="C66" s="55" t="s">
        <v>113</v>
      </c>
      <c r="D66" s="55"/>
      <c r="E66" s="55" t="s">
        <v>325</v>
      </c>
      <c r="F66" s="57">
        <v>2000</v>
      </c>
      <c r="G66" s="58">
        <v>89.688800000000001</v>
      </c>
      <c r="H66" s="57">
        <v>9.5</v>
      </c>
      <c r="I66" s="57"/>
      <c r="J66" s="68">
        <v>179387.1</v>
      </c>
      <c r="K66" s="6"/>
      <c r="L66" s="20">
        <f>IF(ISNA(MATCH(Transactions[[#This Row],[TransType]],TransTypes[TransType],0)),1,MATCH(Transactions[[#This Row],[TransType]],TransTypes[TransType],0))</f>
        <v>2</v>
      </c>
      <c r="M66" s="60">
        <f>IF( AND( INDEX(TransTypes[],Transactions[[#This Row],[TTR]],TT_COL_GLFlag)=1, INDEX(TransTypes[],Transactions[[#This Row],[TTR]],TT_COL_LONGORSHORT)="S" ),
      Transactions[[#This Row],[PL]],
      IF(INDEX(TransTypes[],Transactions[[#This Row],[TTR]],TT_COL_LONGORSHORT)="S",0,Transactions[[#This Row],[CalCashImpact]])
)</f>
        <v>-179387.1</v>
      </c>
      <c r="N66" s="61">
        <f>IF(VLOOKUP(Transactions[[#This Row],[Symbol]],Symbols[],COLUMN(Symbols[Currency])-COLUMN(Symbols[])+1,FALSE)=
       VLOOKUP(Transactions[[#This Row],[Account]],Accounts[],COLUMN(Accounts[Currency])-COLUMN(Accounts[])+1,FALSE),
     Transactions[[#This Row],[OrigCashImpact]],
     0
)</f>
        <v>-179387.1</v>
      </c>
      <c r="O6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-162366.00116665199</v>
      </c>
      <c r="P6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6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2300</v>
      </c>
      <c r="R66" s="41">
        <f>ROW()</f>
        <v>66</v>
      </c>
      <c r="S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179387.1</v>
      </c>
      <c r="T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203082.22</v>
      </c>
      <c r="U6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2300</v>
      </c>
      <c r="V66" s="65">
        <f>IF(INDEX(TransTypes[],Transactions[[#This Row],[TTR]],TT_COL_GLFlag)=1,Transactions[[#This Row],[CalCashImpact]]+Transactions[[#This Row],[CostImpact]],0)</f>
        <v>0</v>
      </c>
      <c r="W66" s="66">
        <f>Transactions[[#This Row],[Amount]]*INDEX(TransTypes[],Transactions[[#This Row],[TTR]],TT_COL_AmntSign)</f>
        <v>-179387.1</v>
      </c>
      <c r="X66" s="66">
        <f>IF(INDEX(TransTypes[],Transactions[[#This Row],[TTR]],TT_COL_LONGORSHORT)="S",
      IF( OR(INDEX(TransTypes[],Transactions[[#This Row],[TTR]],TT_COL_GLFlag)=1, INDEX(TransTypes[], Transactions[[#This Row],[TTR]], TT_COL_ShareTransferFlag)=1),
            Transactions[[#This Row],[CostImpact]]*-1,
            Transactions[[#This Row],[CalCashImpact]]
      ),
     0
)</f>
        <v>0</v>
      </c>
      <c r="Y66" s="67" t="str">
        <f>VLOOKUP(Transactions[[#This Row],[Symbol]],Symbols[], COLUMN(Symbols[Currency])-COLUMN(Symbols[])+1,FALSE)</f>
        <v>USD</v>
      </c>
    </row>
    <row r="67" spans="1:25">
      <c r="A67" s="55" t="s">
        <v>65</v>
      </c>
      <c r="B67" s="56">
        <v>43039</v>
      </c>
      <c r="C67" s="55" t="s">
        <v>115</v>
      </c>
      <c r="D67" s="55"/>
      <c r="E67" s="55" t="s">
        <v>325</v>
      </c>
      <c r="F67" s="57">
        <v>1600</v>
      </c>
      <c r="G67" s="58">
        <v>89.739424999999997</v>
      </c>
      <c r="H67" s="57">
        <v>9.9071691479999995</v>
      </c>
      <c r="I67" s="57"/>
      <c r="J67" s="68">
        <v>143573.17283085099</v>
      </c>
      <c r="K67" s="6"/>
      <c r="L67" s="20">
        <f>IF(ISNA(MATCH(Transactions[[#This Row],[TransType]],TransTypes[TransType],0)),1,MATCH(Transactions[[#This Row],[TransType]],TransTypes[TransType],0))</f>
        <v>3</v>
      </c>
      <c r="M67" s="60">
        <f>IF( AND( INDEX(TransTypes[],Transactions[[#This Row],[TTR]],TT_COL_GLFlag)=1, INDEX(TransTypes[],Transactions[[#This Row],[TTR]],TT_COL_LONGORSHORT)="S" ),
      Transactions[[#This Row],[PL]],
      IF(INDEX(TransTypes[],Transactions[[#This Row],[TTR]],TT_COL_LONGORSHORT)="S",0,Transactions[[#This Row],[CalCashImpact]])
)</f>
        <v>143573.17283085099</v>
      </c>
      <c r="N67" s="61">
        <f>IF(VLOOKUP(Transactions[[#This Row],[Symbol]],Symbols[],COLUMN(Symbols[Currency])-COLUMN(Symbols[])+1,FALSE)=
       VLOOKUP(Transactions[[#This Row],[Account]],Accounts[],COLUMN(Accounts[Currency])-COLUMN(Accounts[])+1,FALSE),
     Transactions[[#This Row],[OrigCashImpact]],
     0
)</f>
        <v>143573.17283085099</v>
      </c>
      <c r="O6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-18792.828335800998</v>
      </c>
      <c r="P6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-1600</v>
      </c>
      <c r="Q6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67" s="41">
        <f>ROW()</f>
        <v>67</v>
      </c>
      <c r="S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-141274.58782608696</v>
      </c>
      <c r="T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61807.632173913036</v>
      </c>
      <c r="U6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2300</v>
      </c>
      <c r="V67" s="65">
        <f>IF(INDEX(TransTypes[],Transactions[[#This Row],[TTR]],TT_COL_GLFlag)=1,Transactions[[#This Row],[CalCashImpact]]+Transactions[[#This Row],[CostImpact]],0)</f>
        <v>2298.585004764027</v>
      </c>
      <c r="W67" s="66">
        <f>Transactions[[#This Row],[Amount]]*INDEX(TransTypes[],Transactions[[#This Row],[TTR]],TT_COL_AmntSign)</f>
        <v>143573.17283085099</v>
      </c>
      <c r="X67" s="66">
        <f>IF(INDEX(TransTypes[],Transactions[[#This Row],[TTR]],TT_COL_LONGORSHORT)="S",
      IF( OR(INDEX(TransTypes[],Transactions[[#This Row],[TTR]],TT_COL_GLFlag)=1, INDEX(TransTypes[], Transactions[[#This Row],[TTR]], TT_COL_ShareTransferFlag)=1),
            Transactions[[#This Row],[CostImpact]]*-1,
            Transactions[[#This Row],[CalCashImpact]]
      ),
     0
)</f>
        <v>0</v>
      </c>
      <c r="Y67" s="67" t="str">
        <f>VLOOKUP(Transactions[[#This Row],[Symbol]],Symbols[], COLUMN(Symbols[Currency])-COLUMN(Symbols[])+1,FALSE)</f>
        <v>USD</v>
      </c>
    </row>
    <row r="68" spans="1:25">
      <c r="A68" s="55" t="s">
        <v>65</v>
      </c>
      <c r="B68" s="56">
        <v>43039</v>
      </c>
      <c r="C68" s="55" t="s">
        <v>115</v>
      </c>
      <c r="D68" s="55"/>
      <c r="E68" s="55" t="s">
        <v>325</v>
      </c>
      <c r="F68" s="57">
        <v>200</v>
      </c>
      <c r="G68" s="58">
        <v>89.802499999999995</v>
      </c>
      <c r="H68" s="57">
        <v>1.43868755</v>
      </c>
      <c r="I68" s="57"/>
      <c r="J68" s="68">
        <v>17959.061312450001</v>
      </c>
      <c r="K68" s="6"/>
      <c r="L68" s="20">
        <f>IF(ISNA(MATCH(Transactions[[#This Row],[TransType]],TransTypes[TransType],0)),1,MATCH(Transactions[[#This Row],[TransType]],TransTypes[TransType],0))</f>
        <v>3</v>
      </c>
      <c r="M68" s="60">
        <f>IF( AND( INDEX(TransTypes[],Transactions[[#This Row],[TTR]],TT_COL_GLFlag)=1, INDEX(TransTypes[],Transactions[[#This Row],[TTR]],TT_COL_LONGORSHORT)="S" ),
      Transactions[[#This Row],[PL]],
      IF(INDEX(TransTypes[],Transactions[[#This Row],[TTR]],TT_COL_LONGORSHORT)="S",0,Transactions[[#This Row],[CalCashImpact]])
)</f>
        <v>17959.061312450001</v>
      </c>
      <c r="N68" s="61">
        <f>IF(VLOOKUP(Transactions[[#This Row],[Symbol]],Symbols[],COLUMN(Symbols[Currency])-COLUMN(Symbols[])+1,FALSE)=
       VLOOKUP(Transactions[[#This Row],[Account]],Accounts[],COLUMN(Accounts[Currency])-COLUMN(Accounts[])+1,FALSE),
     Transactions[[#This Row],[OrigCashImpact]],
     0
)</f>
        <v>17959.061312450001</v>
      </c>
      <c r="O6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-833.76702335099617</v>
      </c>
      <c r="P6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6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68" s="41">
        <f>ROW()</f>
        <v>68</v>
      </c>
      <c r="S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-17659.323478260867</v>
      </c>
      <c r="T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44148.308695652173</v>
      </c>
      <c r="U6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68" s="65">
        <f>IF(INDEX(TransTypes[],Transactions[[#This Row],[TTR]],TT_COL_GLFlag)=1,Transactions[[#This Row],[CalCashImpact]]+Transactions[[#This Row],[CostImpact]],0)</f>
        <v>299.73783418913445</v>
      </c>
      <c r="W68" s="66">
        <f>Transactions[[#This Row],[Amount]]*INDEX(TransTypes[],Transactions[[#This Row],[TTR]],TT_COL_AmntSign)</f>
        <v>17959.061312450001</v>
      </c>
      <c r="X68" s="66">
        <f>IF(INDEX(TransTypes[],Transactions[[#This Row],[TTR]],TT_COL_LONGORSHORT)="S",
      IF( OR(INDEX(TransTypes[],Transactions[[#This Row],[TTR]],TT_COL_GLFlag)=1, INDEX(TransTypes[], Transactions[[#This Row],[TTR]], TT_COL_ShareTransferFlag)=1),
            Transactions[[#This Row],[CostImpact]]*-1,
            Transactions[[#This Row],[CalCashImpact]]
      ),
     0
)</f>
        <v>0</v>
      </c>
      <c r="Y68" s="67" t="str">
        <f>VLOOKUP(Transactions[[#This Row],[Symbol]],Symbols[], COLUMN(Symbols[Currency])-COLUMN(Symbols[])+1,FALSE)</f>
        <v>USD</v>
      </c>
    </row>
    <row r="69" spans="1:25">
      <c r="A69" s="55" t="s">
        <v>65</v>
      </c>
      <c r="B69" s="56">
        <v>43040</v>
      </c>
      <c r="C69" s="55" t="s">
        <v>113</v>
      </c>
      <c r="D69" s="55"/>
      <c r="E69" s="55" t="s">
        <v>258</v>
      </c>
      <c r="F69" s="57">
        <v>6000</v>
      </c>
      <c r="G69" s="58">
        <v>38</v>
      </c>
      <c r="H69" s="57">
        <v>650.71199999999999</v>
      </c>
      <c r="I69" s="57"/>
      <c r="J69" s="68">
        <v>228650.712</v>
      </c>
      <c r="K69" s="6"/>
      <c r="L69" s="20">
        <f>IF(ISNA(MATCH(Transactions[[#This Row],[TransType]],TransTypes[TransType],0)),1,MATCH(Transactions[[#This Row],[TransType]],TransTypes[TransType],0))</f>
        <v>2</v>
      </c>
      <c r="M69" s="60">
        <f>IF( AND( INDEX(TransTypes[],Transactions[[#This Row],[TTR]],TT_COL_GLFlag)=1, INDEX(TransTypes[],Transactions[[#This Row],[TTR]],TT_COL_LONGORSHORT)="S" ),
      Transactions[[#This Row],[PL]],
      IF(INDEX(TransTypes[],Transactions[[#This Row],[TTR]],TT_COL_LONGORSHORT)="S",0,Transactions[[#This Row],[CalCashImpact]])
)</f>
        <v>-228650.712</v>
      </c>
      <c r="N69" s="61">
        <f>IF(VLOOKUP(Transactions[[#This Row],[Symbol]],Symbols[],COLUMN(Symbols[Currency])-COLUMN(Symbols[])+1,FALSE)=
       VLOOKUP(Transactions[[#This Row],[Account]],Accounts[],COLUMN(Accounts[Currency])-COLUMN(Accounts[])+1,FALSE),
     Transactions[[#This Row],[OrigCashImpact]],
     0
)</f>
        <v>0</v>
      </c>
      <c r="O6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-833.76702335099833</v>
      </c>
      <c r="P6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6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69" s="41">
        <f>ROW()</f>
        <v>69</v>
      </c>
      <c r="S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228650.712</v>
      </c>
      <c r="T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464523.57279999997</v>
      </c>
      <c r="U6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69" s="65">
        <f>IF(INDEX(TransTypes[],Transactions[[#This Row],[TTR]],TT_COL_GLFlag)=1,Transactions[[#This Row],[CalCashImpact]]+Transactions[[#This Row],[CostImpact]],0)</f>
        <v>0</v>
      </c>
      <c r="W69" s="66">
        <f>Transactions[[#This Row],[Amount]]*INDEX(TransTypes[],Transactions[[#This Row],[TTR]],TT_COL_AmntSign)</f>
        <v>-228650.712</v>
      </c>
      <c r="X69" s="66">
        <f>IF(INDEX(TransTypes[],Transactions[[#This Row],[TTR]],TT_COL_LONGORSHORT)="S",
      IF( OR(INDEX(TransTypes[],Transactions[[#This Row],[TTR]],TT_COL_GLFlag)=1, INDEX(TransTypes[], Transactions[[#This Row],[TTR]], TT_COL_ShareTransferFlag)=1),
            Transactions[[#This Row],[CostImpact]]*-1,
            Transactions[[#This Row],[CalCashImpact]]
      ),
     0
)</f>
        <v>0</v>
      </c>
      <c r="Y69" s="67" t="str">
        <f>VLOOKUP(Transactions[[#This Row],[Symbol]],Symbols[], COLUMN(Symbols[Currency])-COLUMN(Symbols[])+1,FALSE)</f>
        <v>HKD</v>
      </c>
    </row>
    <row r="70" spans="1:25">
      <c r="A70" s="55" t="s">
        <v>65</v>
      </c>
      <c r="B70" s="56">
        <v>43040</v>
      </c>
      <c r="C70" s="55" t="s">
        <v>113</v>
      </c>
      <c r="D70" s="55"/>
      <c r="E70" s="55" t="s">
        <v>258</v>
      </c>
      <c r="F70" s="57">
        <v>6000</v>
      </c>
      <c r="G70" s="58">
        <v>38.15</v>
      </c>
      <c r="H70" s="57">
        <v>653.48059999999998</v>
      </c>
      <c r="I70" s="57"/>
      <c r="J70" s="68">
        <v>229553.48060000001</v>
      </c>
      <c r="K70" s="6"/>
      <c r="L70" s="20">
        <f>IF(ISNA(MATCH(Transactions[[#This Row],[TransType]],TransTypes[TransType],0)),1,MATCH(Transactions[[#This Row],[TransType]],TransTypes[TransType],0))</f>
        <v>2</v>
      </c>
      <c r="M70" s="60">
        <f>IF( AND( INDEX(TransTypes[],Transactions[[#This Row],[TTR]],TT_COL_GLFlag)=1, INDEX(TransTypes[],Transactions[[#This Row],[TTR]],TT_COL_LONGORSHORT)="S" ),
      Transactions[[#This Row],[PL]],
      IF(INDEX(TransTypes[],Transactions[[#This Row],[TTR]],TT_COL_LONGORSHORT)="S",0,Transactions[[#This Row],[CalCashImpact]])
)</f>
        <v>-229553.48060000001</v>
      </c>
      <c r="N70" s="61">
        <f>IF(VLOOKUP(Transactions[[#This Row],[Symbol]],Symbols[],COLUMN(Symbols[Currency])-COLUMN(Symbols[])+1,FALSE)=
       VLOOKUP(Transactions[[#This Row],[Account]],Accounts[],COLUMN(Accounts[Currency])-COLUMN(Accounts[])+1,FALSE),
     Transactions[[#This Row],[OrigCashImpact]],
     0
)</f>
        <v>0</v>
      </c>
      <c r="O7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-833.76702335099833</v>
      </c>
      <c r="P7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7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18000</v>
      </c>
      <c r="R70" s="41">
        <f>ROW()</f>
        <v>70</v>
      </c>
      <c r="S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229553.48060000001</v>
      </c>
      <c r="T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694077.05339999998</v>
      </c>
      <c r="U7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70" s="65">
        <f>IF(INDEX(TransTypes[],Transactions[[#This Row],[TTR]],TT_COL_GLFlag)=1,Transactions[[#This Row],[CalCashImpact]]+Transactions[[#This Row],[CostImpact]],0)</f>
        <v>0</v>
      </c>
      <c r="W70" s="66">
        <f>Transactions[[#This Row],[Amount]]*INDEX(TransTypes[],Transactions[[#This Row],[TTR]],TT_COL_AmntSign)</f>
        <v>-229553.48060000001</v>
      </c>
      <c r="X70" s="66">
        <f>IF(INDEX(TransTypes[],Transactions[[#This Row],[TTR]],TT_COL_LONGORSHORT)="S",
      IF( OR(INDEX(TransTypes[],Transactions[[#This Row],[TTR]],TT_COL_GLFlag)=1, INDEX(TransTypes[], Transactions[[#This Row],[TTR]], TT_COL_ShareTransferFlag)=1),
            Transactions[[#This Row],[CostImpact]]*-1,
            Transactions[[#This Row],[CalCashImpact]]
      ),
     0
)</f>
        <v>0</v>
      </c>
      <c r="Y70" s="67" t="str">
        <f>VLOOKUP(Transactions[[#This Row],[Symbol]],Symbols[], COLUMN(Symbols[Currency])-COLUMN(Symbols[])+1,FALSE)</f>
        <v>HKD</v>
      </c>
    </row>
    <row r="71" spans="1:25">
      <c r="A71" s="55" t="s">
        <v>65</v>
      </c>
      <c r="B71" s="56">
        <v>43040</v>
      </c>
      <c r="C71" s="55" t="s">
        <v>115</v>
      </c>
      <c r="D71" s="55"/>
      <c r="E71" s="55" t="s">
        <v>199</v>
      </c>
      <c r="F71" s="57">
        <v>1000</v>
      </c>
      <c r="G71" s="58">
        <v>354.4</v>
      </c>
      <c r="H71" s="57">
        <v>1012.6576</v>
      </c>
      <c r="I71" s="57"/>
      <c r="J71" s="68">
        <v>353387.34240000002</v>
      </c>
      <c r="K71" s="6"/>
      <c r="L71" s="20">
        <f>IF(ISNA(MATCH(Transactions[[#This Row],[TransType]],TransTypes[TransType],0)),1,MATCH(Transactions[[#This Row],[TransType]],TransTypes[TransType],0))</f>
        <v>3</v>
      </c>
      <c r="M71" s="60">
        <f>IF( AND( INDEX(TransTypes[],Transactions[[#This Row],[TTR]],TT_COL_GLFlag)=1, INDEX(TransTypes[],Transactions[[#This Row],[TTR]],TT_COL_LONGORSHORT)="S" ),
      Transactions[[#This Row],[PL]],
      IF(INDEX(TransTypes[],Transactions[[#This Row],[TTR]],TT_COL_LONGORSHORT)="S",0,Transactions[[#This Row],[CalCashImpact]])
)</f>
        <v>353387.34240000002</v>
      </c>
      <c r="N71" s="61">
        <f>IF(VLOOKUP(Transactions[[#This Row],[Symbol]],Symbols[],COLUMN(Symbols[Currency])-COLUMN(Symbols[])+1,FALSE)=
       VLOOKUP(Transactions[[#This Row],[Account]],Accounts[],COLUMN(Accounts[Currency])-COLUMN(Accounts[])+1,FALSE),
     Transactions[[#This Row],[OrigCashImpact]],
     0
)</f>
        <v>0</v>
      </c>
      <c r="O7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-833.76702335099833</v>
      </c>
      <c r="P7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71" s="41">
        <f>ROW()</f>
        <v>71</v>
      </c>
      <c r="S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-327398.40025599999</v>
      </c>
      <c r="T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982195.20076799998</v>
      </c>
      <c r="U7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71" s="65">
        <f>IF(INDEX(TransTypes[],Transactions[[#This Row],[TTR]],TT_COL_GLFlag)=1,Transactions[[#This Row],[CalCashImpact]]+Transactions[[#This Row],[CostImpact]],0)</f>
        <v>25988.94214400003</v>
      </c>
      <c r="W71" s="66">
        <f>Transactions[[#This Row],[Amount]]*INDEX(TransTypes[],Transactions[[#This Row],[TTR]],TT_COL_AmntSign)</f>
        <v>353387.34240000002</v>
      </c>
      <c r="X71" s="66">
        <f>IF(INDEX(TransTypes[],Transactions[[#This Row],[TTR]],TT_COL_LONGORSHORT)="S",
      IF( OR(INDEX(TransTypes[],Transactions[[#This Row],[TTR]],TT_COL_GLFlag)=1, INDEX(TransTypes[], Transactions[[#This Row],[TTR]], TT_COL_ShareTransferFlag)=1),
            Transactions[[#This Row],[CostImpact]]*-1,
            Transactions[[#This Row],[CalCashImpact]]
      ),
     0
)</f>
        <v>0</v>
      </c>
      <c r="Y71" s="67" t="str">
        <f>VLOOKUP(Transactions[[#This Row],[Symbol]],Symbols[], COLUMN(Symbols[Currency])-COLUMN(Symbols[])+1,FALSE)</f>
        <v>HKD</v>
      </c>
    </row>
    <row r="72" spans="1:25">
      <c r="A72" s="55" t="s">
        <v>65</v>
      </c>
      <c r="B72" s="56">
        <v>43040</v>
      </c>
      <c r="C72" s="55" t="s">
        <v>115</v>
      </c>
      <c r="D72" s="55"/>
      <c r="E72" s="55" t="s">
        <v>199</v>
      </c>
      <c r="F72" s="57">
        <v>1000</v>
      </c>
      <c r="G72" s="58">
        <v>354.6</v>
      </c>
      <c r="H72" s="57">
        <v>1012.8284</v>
      </c>
      <c r="I72" s="57"/>
      <c r="J72" s="68">
        <v>353587.1716</v>
      </c>
      <c r="K72" s="6"/>
      <c r="L72" s="20">
        <f>IF(ISNA(MATCH(Transactions[[#This Row],[TransType]],TransTypes[TransType],0)),1,MATCH(Transactions[[#This Row],[TransType]],TransTypes[TransType],0))</f>
        <v>3</v>
      </c>
      <c r="M72" s="60">
        <f>IF( AND( INDEX(TransTypes[],Transactions[[#This Row],[TTR]],TT_COL_GLFlag)=1, INDEX(TransTypes[],Transactions[[#This Row],[TTR]],TT_COL_LONGORSHORT)="S" ),
      Transactions[[#This Row],[PL]],
      IF(INDEX(TransTypes[],Transactions[[#This Row],[TTR]],TT_COL_LONGORSHORT)="S",0,Transactions[[#This Row],[CalCashImpact]])
)</f>
        <v>353587.1716</v>
      </c>
      <c r="N72" s="61">
        <f>IF(VLOOKUP(Transactions[[#This Row],[Symbol]],Symbols[],COLUMN(Symbols[Currency])-COLUMN(Symbols[])+1,FALSE)=
       VLOOKUP(Transactions[[#This Row],[Account]],Accounts[],COLUMN(Accounts[Currency])-COLUMN(Accounts[])+1,FALSE),
     Transactions[[#This Row],[OrigCashImpact]],
     0
)</f>
        <v>0</v>
      </c>
      <c r="O7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-833.76702335099833</v>
      </c>
      <c r="P7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2" s="41">
        <f>ROW()</f>
        <v>72</v>
      </c>
      <c r="S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-327398.40025599999</v>
      </c>
      <c r="T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654796.80051199999</v>
      </c>
      <c r="U7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72" s="65">
        <f>IF(INDEX(TransTypes[],Transactions[[#This Row],[TTR]],TT_COL_GLFlag)=1,Transactions[[#This Row],[CalCashImpact]]+Transactions[[#This Row],[CostImpact]],0)</f>
        <v>26188.771344000008</v>
      </c>
      <c r="W72" s="66">
        <f>Transactions[[#This Row],[Amount]]*INDEX(TransTypes[],Transactions[[#This Row],[TTR]],TT_COL_AmntSign)</f>
        <v>353587.1716</v>
      </c>
      <c r="X72" s="66">
        <f>IF(INDEX(TransTypes[],Transactions[[#This Row],[TTR]],TT_COL_LONGORSHORT)="S",
      IF( OR(INDEX(TransTypes[],Transactions[[#This Row],[TTR]],TT_COL_GLFlag)=1, INDEX(TransTypes[], Transactions[[#This Row],[TTR]], TT_COL_ShareTransferFlag)=1),
            Transactions[[#This Row],[CostImpact]]*-1,
            Transactions[[#This Row],[CalCashImpact]]
      ),
     0
)</f>
        <v>0</v>
      </c>
      <c r="Y72" s="67" t="str">
        <f>VLOOKUP(Transactions[[#This Row],[Symbol]],Symbols[], COLUMN(Symbols[Currency])-COLUMN(Symbols[])+1,FALSE)</f>
        <v>HKD</v>
      </c>
    </row>
    <row r="73" spans="1:25">
      <c r="A73" s="55" t="s">
        <v>65</v>
      </c>
      <c r="B73" s="56">
        <v>43040</v>
      </c>
      <c r="C73" s="55" t="s">
        <v>118</v>
      </c>
      <c r="D73" s="55"/>
      <c r="E73" s="55" t="s">
        <v>313</v>
      </c>
      <c r="F73" s="57">
        <v>1812</v>
      </c>
      <c r="G73" s="58"/>
      <c r="H73" s="57"/>
      <c r="I73" s="57"/>
      <c r="J73" s="68">
        <v>344.28</v>
      </c>
      <c r="K73" s="6" t="s">
        <v>344</v>
      </c>
      <c r="L73" s="20">
        <f>IF(ISNA(MATCH(Transactions[[#This Row],[TransType]],TransTypes[TransType],0)),1,MATCH(Transactions[[#This Row],[TransType]],TransTypes[TransType],0))</f>
        <v>4</v>
      </c>
      <c r="M73" s="60">
        <f>IF( AND( INDEX(TransTypes[],Transactions[[#This Row],[TTR]],TT_COL_GLFlag)=1, INDEX(TransTypes[],Transactions[[#This Row],[TTR]],TT_COL_LONGORSHORT)="S" ),
      Transactions[[#This Row],[PL]],
      IF(INDEX(TransTypes[],Transactions[[#This Row],[TTR]],TT_COL_LONGORSHORT)="S",0,Transactions[[#This Row],[CalCashImpact]])
)</f>
        <v>344.28</v>
      </c>
      <c r="N73" s="61">
        <f>IF(VLOOKUP(Transactions[[#This Row],[Symbol]],Symbols[],COLUMN(Symbols[Currency])-COLUMN(Symbols[])+1,FALSE)=
       VLOOKUP(Transactions[[#This Row],[Account]],Accounts[],COLUMN(Accounts[Currency])-COLUMN(Accounts[])+1,FALSE),
     Transactions[[#This Row],[OrigCashImpact]],
     0
)</f>
        <v>344.28</v>
      </c>
      <c r="O7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-489.48702335099836</v>
      </c>
      <c r="P7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1812</v>
      </c>
      <c r="R73" s="41">
        <f>ROW()</f>
        <v>73</v>
      </c>
      <c r="S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47359.254800000002</v>
      </c>
      <c r="U7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1812</v>
      </c>
      <c r="V73" s="65">
        <f>IF(INDEX(TransTypes[],Transactions[[#This Row],[TTR]],TT_COL_GLFlag)=1,Transactions[[#This Row],[CalCashImpact]]+Transactions[[#This Row],[CostImpact]],0)</f>
        <v>0</v>
      </c>
      <c r="W73" s="66">
        <f>Transactions[[#This Row],[Amount]]*INDEX(TransTypes[],Transactions[[#This Row],[TTR]],TT_COL_AmntSign)</f>
        <v>344.28</v>
      </c>
      <c r="X73" s="66">
        <f>IF(INDEX(TransTypes[],Transactions[[#This Row],[TTR]],TT_COL_LONGORSHORT)="S",
      IF( OR(INDEX(TransTypes[],Transactions[[#This Row],[TTR]],TT_COL_GLFlag)=1, INDEX(TransTypes[], Transactions[[#This Row],[TTR]], TT_COL_ShareTransferFlag)=1),
            Transactions[[#This Row],[CostImpact]]*-1,
            Transactions[[#This Row],[CalCashImpact]]
      ),
     0
)</f>
        <v>0</v>
      </c>
      <c r="Y73" s="67" t="str">
        <f>VLOOKUP(Transactions[[#This Row],[Symbol]],Symbols[], COLUMN(Symbols[Currency])-COLUMN(Symbols[])+1,FALSE)</f>
        <v>USD</v>
      </c>
    </row>
    <row r="74" spans="1:25">
      <c r="A74" s="55" t="s">
        <v>65</v>
      </c>
      <c r="B74" s="56">
        <v>43040</v>
      </c>
      <c r="C74" s="55" t="s">
        <v>123</v>
      </c>
      <c r="D74" s="55"/>
      <c r="E74" s="55" t="s">
        <v>313</v>
      </c>
      <c r="F74" s="57"/>
      <c r="G74" s="58"/>
      <c r="H74" s="57"/>
      <c r="I74" s="57"/>
      <c r="J74" s="68">
        <v>51.64</v>
      </c>
      <c r="K74" s="6" t="s">
        <v>345</v>
      </c>
      <c r="L74" s="20">
        <f>IF(ISNA(MATCH(Transactions[[#This Row],[TransType]],TransTypes[TransType],0)),1,MATCH(Transactions[[#This Row],[TransType]],TransTypes[TransType],0))</f>
        <v>7</v>
      </c>
      <c r="M74" s="60">
        <f>IF( AND( INDEX(TransTypes[],Transactions[[#This Row],[TTR]],TT_COL_GLFlag)=1, INDEX(TransTypes[],Transactions[[#This Row],[TTR]],TT_COL_LONGORSHORT)="S" ),
      Transactions[[#This Row],[PL]],
      IF(INDEX(TransTypes[],Transactions[[#This Row],[TTR]],TT_COL_LONGORSHORT)="S",0,Transactions[[#This Row],[CalCashImpact]])
)</f>
        <v>-51.64</v>
      </c>
      <c r="N74" s="61">
        <f>IF(VLOOKUP(Transactions[[#This Row],[Symbol]],Symbols[],COLUMN(Symbols[Currency])-COLUMN(Symbols[])+1,FALSE)=
       VLOOKUP(Transactions[[#This Row],[Account]],Accounts[],COLUMN(Accounts[Currency])-COLUMN(Accounts[])+1,FALSE),
     Transactions[[#This Row],[OrigCashImpact]],
     0
)</f>
        <v>-51.64</v>
      </c>
      <c r="O7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-541.12702335099834</v>
      </c>
      <c r="P7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1812</v>
      </c>
      <c r="R74" s="41">
        <f>ROW()</f>
        <v>74</v>
      </c>
      <c r="S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47359.254800000002</v>
      </c>
      <c r="U7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1812</v>
      </c>
      <c r="V74" s="65">
        <f>IF(INDEX(TransTypes[],Transactions[[#This Row],[TTR]],TT_COL_GLFlag)=1,Transactions[[#This Row],[CalCashImpact]]+Transactions[[#This Row],[CostImpact]],0)</f>
        <v>0</v>
      </c>
      <c r="W74" s="66">
        <f>Transactions[[#This Row],[Amount]]*INDEX(TransTypes[],Transactions[[#This Row],[TTR]],TT_COL_AmntSign)</f>
        <v>-51.64</v>
      </c>
      <c r="X74" s="66">
        <f>IF(INDEX(TransTypes[],Transactions[[#This Row],[TTR]],TT_COL_LONGORSHORT)="S",
      IF( OR(INDEX(TransTypes[],Transactions[[#This Row],[TTR]],TT_COL_GLFlag)=1, INDEX(TransTypes[], Transactions[[#This Row],[TTR]], TT_COL_ShareTransferFlag)=1),
            Transactions[[#This Row],[CostImpact]]*-1,
            Transactions[[#This Row],[CalCashImpact]]
      ),
     0
)</f>
        <v>0</v>
      </c>
      <c r="Y74" s="67" t="str">
        <f>VLOOKUP(Transactions[[#This Row],[Symbol]],Symbols[], COLUMN(Symbols[Currency])-COLUMN(Symbols[])+1,FALSE)</f>
        <v>USD</v>
      </c>
    </row>
    <row r="75" spans="1:25">
      <c r="A75" s="55" t="s">
        <v>65</v>
      </c>
      <c r="B75" s="56">
        <v>43041</v>
      </c>
      <c r="C75" s="55" t="s">
        <v>113</v>
      </c>
      <c r="D75" s="55"/>
      <c r="E75" s="55" t="s">
        <v>313</v>
      </c>
      <c r="F75" s="57">
        <v>11</v>
      </c>
      <c r="G75" s="58">
        <v>26.14</v>
      </c>
      <c r="H75" s="57">
        <v>1</v>
      </c>
      <c r="I75" s="57"/>
      <c r="J75" s="68">
        <v>288.54000000000002</v>
      </c>
      <c r="K75" s="6"/>
      <c r="L75" s="20">
        <f>IF(ISNA(MATCH(Transactions[[#This Row],[TransType]],TransTypes[TransType],0)),1,MATCH(Transactions[[#This Row],[TransType]],TransTypes[TransType],0))</f>
        <v>2</v>
      </c>
      <c r="M75" s="60">
        <f>IF( AND( INDEX(TransTypes[],Transactions[[#This Row],[TTR]],TT_COL_GLFlag)=1, INDEX(TransTypes[],Transactions[[#This Row],[TTR]],TT_COL_LONGORSHORT)="S" ),
      Transactions[[#This Row],[PL]],
      IF(INDEX(TransTypes[],Transactions[[#This Row],[TTR]],TT_COL_LONGORSHORT)="S",0,Transactions[[#This Row],[CalCashImpact]])
)</f>
        <v>-288.54000000000002</v>
      </c>
      <c r="N75" s="61">
        <f>IF(VLOOKUP(Transactions[[#This Row],[Symbol]],Symbols[],COLUMN(Symbols[Currency])-COLUMN(Symbols[])+1,FALSE)=
       VLOOKUP(Transactions[[#This Row],[Account]],Accounts[],COLUMN(Accounts[Currency])-COLUMN(Accounts[])+1,FALSE),
     Transactions[[#This Row],[OrigCashImpact]],
     0
)</f>
        <v>-288.54000000000002</v>
      </c>
      <c r="O7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-829.66702335099831</v>
      </c>
      <c r="P7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v>
      </c>
      <c r="Q7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1823</v>
      </c>
      <c r="R75" s="41">
        <f>ROW()</f>
        <v>75</v>
      </c>
      <c r="S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288.54000000000002</v>
      </c>
      <c r="T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47647.794800000003</v>
      </c>
      <c r="U7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1823</v>
      </c>
      <c r="V75" s="65">
        <f>IF(INDEX(TransTypes[],Transactions[[#This Row],[TTR]],TT_COL_GLFlag)=1,Transactions[[#This Row],[CalCashImpact]]+Transactions[[#This Row],[CostImpact]],0)</f>
        <v>0</v>
      </c>
      <c r="W75" s="66">
        <f>Transactions[[#This Row],[Amount]]*INDEX(TransTypes[],Transactions[[#This Row],[TTR]],TT_COL_AmntSign)</f>
        <v>-288.54000000000002</v>
      </c>
      <c r="X75" s="66">
        <f>IF(INDEX(TransTypes[],Transactions[[#This Row],[TTR]],TT_COL_LONGORSHORT)="S",
      IF( OR(INDEX(TransTypes[],Transactions[[#This Row],[TTR]],TT_COL_GLFlag)=1, INDEX(TransTypes[], Transactions[[#This Row],[TTR]], TT_COL_ShareTransferFlag)=1),
            Transactions[[#This Row],[CostImpact]]*-1,
            Transactions[[#This Row],[CalCashImpact]]
      ),
     0
)</f>
        <v>0</v>
      </c>
      <c r="Y75" s="67" t="str">
        <f>VLOOKUP(Transactions[[#This Row],[Symbol]],Symbols[], COLUMN(Symbols[Currency])-COLUMN(Symbols[])+1,FALSE)</f>
        <v>USD</v>
      </c>
    </row>
    <row r="76" spans="1:25">
      <c r="A76" s="55" t="s">
        <v>65</v>
      </c>
      <c r="B76" s="56">
        <v>43041</v>
      </c>
      <c r="C76" s="55" t="s">
        <v>121</v>
      </c>
      <c r="D76" s="55"/>
      <c r="E76" s="55" t="s">
        <v>208</v>
      </c>
      <c r="F76" s="57"/>
      <c r="G76" s="58"/>
      <c r="H76" s="57"/>
      <c r="I76" s="57"/>
      <c r="J76" s="68">
        <v>4.5</v>
      </c>
      <c r="K76" s="6" t="s">
        <v>357</v>
      </c>
      <c r="L76" s="20">
        <f>IF(ISNA(MATCH(Transactions[[#This Row],[TransType]],TransTypes[TransType],0)),1,MATCH(Transactions[[#This Row],[TransType]],TransTypes[TransType],0))</f>
        <v>6</v>
      </c>
      <c r="M76" s="60">
        <f>IF( AND( INDEX(TransTypes[],Transactions[[#This Row],[TTR]],TT_COL_GLFlag)=1, INDEX(TransTypes[],Transactions[[#This Row],[TTR]],TT_COL_LONGORSHORT)="S" ),
      Transactions[[#This Row],[PL]],
      IF(INDEX(TransTypes[],Transactions[[#This Row],[TTR]],TT_COL_LONGORSHORT)="S",0,Transactions[[#This Row],[CalCashImpact]])
)</f>
        <v>-4.5</v>
      </c>
      <c r="N76" s="61">
        <f>IF(VLOOKUP(Transactions[[#This Row],[Symbol]],Symbols[],COLUMN(Symbols[Currency])-COLUMN(Symbols[])+1,FALSE)=
       VLOOKUP(Transactions[[#This Row],[Account]],Accounts[],COLUMN(Accounts[Currency])-COLUMN(Accounts[])+1,FALSE),
     Transactions[[#This Row],[OrigCashImpact]],
     0
)</f>
        <v>-4.5</v>
      </c>
      <c r="O7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-834.16702335099831</v>
      </c>
      <c r="P7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6" s="41">
        <f>ROW()</f>
        <v>76</v>
      </c>
      <c r="S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6" s="65">
        <f>IF(INDEX(TransTypes[],Transactions[[#This Row],[TTR]],TT_COL_GLFlag)=1,Transactions[[#This Row],[CalCashImpact]]+Transactions[[#This Row],[CostImpact]],0)</f>
        <v>0</v>
      </c>
      <c r="W76" s="66">
        <f>Transactions[[#This Row],[Amount]]*INDEX(TransTypes[],Transactions[[#This Row],[TTR]],TT_COL_AmntSign)</f>
        <v>-4.5</v>
      </c>
      <c r="X76" s="66">
        <f>IF(INDEX(TransTypes[],Transactions[[#This Row],[TTR]],TT_COL_LONGORSHORT)="S",
      IF( OR(INDEX(TransTypes[],Transactions[[#This Row],[TTR]],TT_COL_GLFlag)=1, INDEX(TransTypes[], Transactions[[#This Row],[TTR]], TT_COL_ShareTransferFlag)=1),
            Transactions[[#This Row],[CostImpact]]*-1,
            Transactions[[#This Row],[CalCashImpact]]
      ),
     0
)</f>
        <v>0</v>
      </c>
      <c r="Y76" s="67" t="str">
        <f>VLOOKUP(Transactions[[#This Row],[Symbol]],Symbols[], COLUMN(Symbols[Currency])-COLUMN(Symbols[])+1,FALSE)</f>
        <v>USD</v>
      </c>
    </row>
    <row r="77" spans="1:25">
      <c r="A77" s="55" t="s">
        <v>65</v>
      </c>
      <c r="B77" s="56">
        <v>43041</v>
      </c>
      <c r="C77" s="55" t="s">
        <v>121</v>
      </c>
      <c r="D77" s="55"/>
      <c r="E77" s="55" t="s">
        <v>208</v>
      </c>
      <c r="F77" s="57"/>
      <c r="G77" s="58"/>
      <c r="H77" s="57"/>
      <c r="I77" s="57"/>
      <c r="J77" s="68">
        <v>16.66</v>
      </c>
      <c r="K77" s="6" t="s">
        <v>358</v>
      </c>
      <c r="L77" s="20">
        <f>IF(ISNA(MATCH(Transactions[[#This Row],[TransType]],TransTypes[TransType],0)),1,MATCH(Transactions[[#This Row],[TransType]],TransTypes[TransType],0))</f>
        <v>6</v>
      </c>
      <c r="M77" s="60">
        <f>IF( AND( INDEX(TransTypes[],Transactions[[#This Row],[TTR]],TT_COL_GLFlag)=1, INDEX(TransTypes[],Transactions[[#This Row],[TTR]],TT_COL_LONGORSHORT)="S" ),
      Transactions[[#This Row],[PL]],
      IF(INDEX(TransTypes[],Transactions[[#This Row],[TTR]],TT_COL_LONGORSHORT)="S",0,Transactions[[#This Row],[CalCashImpact]])
)</f>
        <v>-16.66</v>
      </c>
      <c r="N77" s="61">
        <f>IF(VLOOKUP(Transactions[[#This Row],[Symbol]],Symbols[],COLUMN(Symbols[Currency])-COLUMN(Symbols[])+1,FALSE)=
       VLOOKUP(Transactions[[#This Row],[Account]],Accounts[],COLUMN(Accounts[Currency])-COLUMN(Accounts[])+1,FALSE),
     Transactions[[#This Row],[OrigCashImpact]],
     0
)</f>
        <v>-16.66</v>
      </c>
      <c r="O7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-850.82702335099839</v>
      </c>
      <c r="P7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7" s="41">
        <f>ROW()</f>
        <v>77</v>
      </c>
      <c r="S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7" s="65">
        <f>IF(INDEX(TransTypes[],Transactions[[#This Row],[TTR]],TT_COL_GLFlag)=1,Transactions[[#This Row],[CalCashImpact]]+Transactions[[#This Row],[CostImpact]],0)</f>
        <v>0</v>
      </c>
      <c r="W77" s="66">
        <f>Transactions[[#This Row],[Amount]]*INDEX(TransTypes[],Transactions[[#This Row],[TTR]],TT_COL_AmntSign)</f>
        <v>-16.66</v>
      </c>
      <c r="X77" s="66">
        <f>IF(INDEX(TransTypes[],Transactions[[#This Row],[TTR]],TT_COL_LONGORSHORT)="S",
      IF( OR(INDEX(TransTypes[],Transactions[[#This Row],[TTR]],TT_COL_GLFlag)=1, INDEX(TransTypes[], Transactions[[#This Row],[TTR]], TT_COL_ShareTransferFlag)=1),
            Transactions[[#This Row],[CostImpact]]*-1,
            Transactions[[#This Row],[CalCashImpact]]
      ),
     0
)</f>
        <v>0</v>
      </c>
      <c r="Y77" s="67" t="str">
        <f>VLOOKUP(Transactions[[#This Row],[Symbol]],Symbols[], COLUMN(Symbols[Currency])-COLUMN(Symbols[])+1,FALSE)</f>
        <v>USD</v>
      </c>
    </row>
    <row r="78" spans="1:25">
      <c r="A78" s="55" t="s">
        <v>65</v>
      </c>
      <c r="B78" s="56">
        <v>43041</v>
      </c>
      <c r="C78" s="55" t="s">
        <v>121</v>
      </c>
      <c r="D78" s="55"/>
      <c r="E78" s="55" t="s">
        <v>208</v>
      </c>
      <c r="F78" s="57"/>
      <c r="G78" s="58"/>
      <c r="H78" s="57"/>
      <c r="I78" s="57"/>
      <c r="J78" s="68">
        <v>3.2</v>
      </c>
      <c r="K78" s="6" t="s">
        <v>359</v>
      </c>
      <c r="L78" s="20">
        <f>IF(ISNA(MATCH(Transactions[[#This Row],[TransType]],TransTypes[TransType],0)),1,MATCH(Transactions[[#This Row],[TransType]],TransTypes[TransType],0))</f>
        <v>6</v>
      </c>
      <c r="M78" s="60">
        <f>IF( AND( INDEX(TransTypes[],Transactions[[#This Row],[TTR]],TT_COL_GLFlag)=1, INDEX(TransTypes[],Transactions[[#This Row],[TTR]],TT_COL_LONGORSHORT)="S" ),
      Transactions[[#This Row],[PL]],
      IF(INDEX(TransTypes[],Transactions[[#This Row],[TTR]],TT_COL_LONGORSHORT)="S",0,Transactions[[#This Row],[CalCashImpact]])
)</f>
        <v>-3.2</v>
      </c>
      <c r="N78" s="61">
        <f>IF(VLOOKUP(Transactions[[#This Row],[Symbol]],Symbols[],COLUMN(Symbols[Currency])-COLUMN(Symbols[])+1,FALSE)=
       VLOOKUP(Transactions[[#This Row],[Account]],Accounts[],COLUMN(Accounts[Currency])-COLUMN(Accounts[])+1,FALSE),
     Transactions[[#This Row],[OrigCashImpact]],
     0
)</f>
        <v>-3.2</v>
      </c>
      <c r="O7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-854.02702335099843</v>
      </c>
      <c r="P7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8" s="41">
        <f>ROW()</f>
        <v>78</v>
      </c>
      <c r="S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8" s="65">
        <f>IF(INDEX(TransTypes[],Transactions[[#This Row],[TTR]],TT_COL_GLFlag)=1,Transactions[[#This Row],[CalCashImpact]]+Transactions[[#This Row],[CostImpact]],0)</f>
        <v>0</v>
      </c>
      <c r="W78" s="66">
        <f>Transactions[[#This Row],[Amount]]*INDEX(TransTypes[],Transactions[[#This Row],[TTR]],TT_COL_AmntSign)</f>
        <v>-3.2</v>
      </c>
      <c r="X78" s="66">
        <f>IF(INDEX(TransTypes[],Transactions[[#This Row],[TTR]],TT_COL_LONGORSHORT)="S",
      IF( OR(INDEX(TransTypes[],Transactions[[#This Row],[TTR]],TT_COL_GLFlag)=1, INDEX(TransTypes[], Transactions[[#This Row],[TTR]], TT_COL_ShareTransferFlag)=1),
            Transactions[[#This Row],[CostImpact]]*-1,
            Transactions[[#This Row],[CalCashImpact]]
      ),
     0
)</f>
        <v>0</v>
      </c>
      <c r="Y78" s="67" t="str">
        <f>VLOOKUP(Transactions[[#This Row],[Symbol]],Symbols[], COLUMN(Symbols[Currency])-COLUMN(Symbols[])+1,FALSE)</f>
        <v>USD</v>
      </c>
    </row>
    <row r="79" spans="1:25">
      <c r="A79" s="55" t="s">
        <v>65</v>
      </c>
      <c r="B79" s="56">
        <v>43041</v>
      </c>
      <c r="C79" s="55" t="s">
        <v>121</v>
      </c>
      <c r="D79" s="55"/>
      <c r="E79" s="55" t="s">
        <v>208</v>
      </c>
      <c r="F79" s="57"/>
      <c r="G79" s="58"/>
      <c r="H79" s="57"/>
      <c r="I79" s="57"/>
      <c r="J79" s="68">
        <v>10</v>
      </c>
      <c r="K79" s="6" t="s">
        <v>360</v>
      </c>
      <c r="L79" s="20">
        <f>IF(ISNA(MATCH(Transactions[[#This Row],[TransType]],TransTypes[TransType],0)),1,MATCH(Transactions[[#This Row],[TransType]],TransTypes[TransType],0))</f>
        <v>6</v>
      </c>
      <c r="M79" s="60">
        <f>IF( AND( INDEX(TransTypes[],Transactions[[#This Row],[TTR]],TT_COL_GLFlag)=1, INDEX(TransTypes[],Transactions[[#This Row],[TTR]],TT_COL_LONGORSHORT)="S" ),
      Transactions[[#This Row],[PL]],
      IF(INDEX(TransTypes[],Transactions[[#This Row],[TTR]],TT_COL_LONGORSHORT)="S",0,Transactions[[#This Row],[CalCashImpact]])
)</f>
        <v>-10</v>
      </c>
      <c r="N79" s="61">
        <f>IF(VLOOKUP(Transactions[[#This Row],[Symbol]],Symbols[],COLUMN(Symbols[Currency])-COLUMN(Symbols[])+1,FALSE)=
       VLOOKUP(Transactions[[#This Row],[Account]],Accounts[],COLUMN(Accounts[Currency])-COLUMN(Accounts[])+1,FALSE),
     Transactions[[#This Row],[OrigCashImpact]],
     0
)</f>
        <v>-10</v>
      </c>
      <c r="O7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-864.02702335099843</v>
      </c>
      <c r="P7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9" s="41">
        <f>ROW()</f>
        <v>79</v>
      </c>
      <c r="S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9" s="65">
        <f>IF(INDEX(TransTypes[],Transactions[[#This Row],[TTR]],TT_COL_GLFlag)=1,Transactions[[#This Row],[CalCashImpact]]+Transactions[[#This Row],[CostImpact]],0)</f>
        <v>0</v>
      </c>
      <c r="W79" s="66">
        <f>Transactions[[#This Row],[Amount]]*INDEX(TransTypes[],Transactions[[#This Row],[TTR]],TT_COL_AmntSign)</f>
        <v>-10</v>
      </c>
      <c r="X79" s="66">
        <f>IF(INDEX(TransTypes[],Transactions[[#This Row],[TTR]],TT_COL_LONGORSHORT)="S",
      IF( OR(INDEX(TransTypes[],Transactions[[#This Row],[TTR]],TT_COL_GLFlag)=1, INDEX(TransTypes[], Transactions[[#This Row],[TTR]], TT_COL_ShareTransferFlag)=1),
            Transactions[[#This Row],[CostImpact]]*-1,
            Transactions[[#This Row],[CalCashImpact]]
      ),
     0
)</f>
        <v>0</v>
      </c>
      <c r="Y79" s="67" t="str">
        <f>VLOOKUP(Transactions[[#This Row],[Symbol]],Symbols[], COLUMN(Symbols[Currency])-COLUMN(Symbols[])+1,FALSE)</f>
        <v>USD</v>
      </c>
    </row>
    <row r="80" spans="1:25">
      <c r="A80" s="55" t="s">
        <v>65</v>
      </c>
      <c r="B80" s="56">
        <v>43041</v>
      </c>
      <c r="C80" s="55" t="s">
        <v>121</v>
      </c>
      <c r="D80" s="55"/>
      <c r="E80" s="55" t="s">
        <v>208</v>
      </c>
      <c r="F80" s="57"/>
      <c r="G80" s="58"/>
      <c r="H80" s="57"/>
      <c r="I80" s="57"/>
      <c r="J80" s="68">
        <v>-10</v>
      </c>
      <c r="K80" s="6" t="s">
        <v>360</v>
      </c>
      <c r="L80" s="20">
        <f>IF(ISNA(MATCH(Transactions[[#This Row],[TransType]],TransTypes[TransType],0)),1,MATCH(Transactions[[#This Row],[TransType]],TransTypes[TransType],0))</f>
        <v>6</v>
      </c>
      <c r="M80" s="60">
        <f>IF( AND( INDEX(TransTypes[],Transactions[[#This Row],[TTR]],TT_COL_GLFlag)=1, INDEX(TransTypes[],Transactions[[#This Row],[TTR]],TT_COL_LONGORSHORT)="S" ),
      Transactions[[#This Row],[PL]],
      IF(INDEX(TransTypes[],Transactions[[#This Row],[TTR]],TT_COL_LONGORSHORT)="S",0,Transactions[[#This Row],[CalCashImpact]])
)</f>
        <v>10</v>
      </c>
      <c r="N80" s="61">
        <f>IF(VLOOKUP(Transactions[[#This Row],[Symbol]],Symbols[],COLUMN(Symbols[Currency])-COLUMN(Symbols[])+1,FALSE)=
       VLOOKUP(Transactions[[#This Row],[Account]],Accounts[],COLUMN(Accounts[Currency])-COLUMN(Accounts[])+1,FALSE),
     Transactions[[#This Row],[OrigCashImpact]],
     0
)</f>
        <v>10</v>
      </c>
      <c r="O8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-854.02702335099843</v>
      </c>
      <c r="P8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0" s="41">
        <f>ROW()</f>
        <v>80</v>
      </c>
      <c r="S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0" s="65">
        <f>IF(INDEX(TransTypes[],Transactions[[#This Row],[TTR]],TT_COL_GLFlag)=1,Transactions[[#This Row],[CalCashImpact]]+Transactions[[#This Row],[CostImpact]],0)</f>
        <v>0</v>
      </c>
      <c r="W80" s="66">
        <f>Transactions[[#This Row],[Amount]]*INDEX(TransTypes[],Transactions[[#This Row],[TTR]],TT_COL_AmntSign)</f>
        <v>10</v>
      </c>
      <c r="X80" s="66">
        <f>IF(INDEX(TransTypes[],Transactions[[#This Row],[TTR]],TT_COL_LONGORSHORT)="S",
      IF( OR(INDEX(TransTypes[],Transactions[[#This Row],[TTR]],TT_COL_GLFlag)=1, INDEX(TransTypes[], Transactions[[#This Row],[TTR]], TT_COL_ShareTransferFlag)=1),
            Transactions[[#This Row],[CostImpact]]*-1,
            Transactions[[#This Row],[CalCashImpact]]
      ),
     0
)</f>
        <v>0</v>
      </c>
      <c r="Y80" s="67" t="str">
        <f>VLOOKUP(Transactions[[#This Row],[Symbol]],Symbols[], COLUMN(Symbols[Currency])-COLUMN(Symbols[])+1,FALSE)</f>
        <v>USD</v>
      </c>
    </row>
    <row r="81" spans="1:25">
      <c r="A81" s="55" t="s">
        <v>65</v>
      </c>
      <c r="B81" s="56">
        <v>43042</v>
      </c>
      <c r="C81" s="55" t="s">
        <v>241</v>
      </c>
      <c r="D81" s="55"/>
      <c r="E81" s="55" t="s">
        <v>210</v>
      </c>
      <c r="F81" s="57"/>
      <c r="G81" s="58"/>
      <c r="H81" s="57"/>
      <c r="I81" s="57"/>
      <c r="J81" s="68">
        <v>172.42</v>
      </c>
      <c r="K81" s="6" t="s">
        <v>361</v>
      </c>
      <c r="L81" s="20">
        <f>IF(ISNA(MATCH(Transactions[[#This Row],[TransType]],TransTypes[TransType],0)),1,MATCH(Transactions[[#This Row],[TransType]],TransTypes[TransType],0))</f>
        <v>9</v>
      </c>
      <c r="M81" s="60">
        <f>IF( AND( INDEX(TransTypes[],Transactions[[#This Row],[TTR]],TT_COL_GLFlag)=1, INDEX(TransTypes[],Transactions[[#This Row],[TTR]],TT_COL_LONGORSHORT)="S" ),
      Transactions[[#This Row],[PL]],
      IF(INDEX(TransTypes[],Transactions[[#This Row],[TTR]],TT_COL_LONGORSHORT)="S",0,Transactions[[#This Row],[CalCashImpact]])
)</f>
        <v>-172.42</v>
      </c>
      <c r="N81" s="61">
        <f>IF(VLOOKUP(Transactions[[#This Row],[Symbol]],Symbols[],COLUMN(Symbols[Currency])-COLUMN(Symbols[])+1,FALSE)=
       VLOOKUP(Transactions[[#This Row],[Account]],Accounts[],COLUMN(Accounts[Currency])-COLUMN(Accounts[])+1,FALSE),
     Transactions[[#This Row],[OrigCashImpact]],
     0
)</f>
        <v>0</v>
      </c>
      <c r="O8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-854.02702335099843</v>
      </c>
      <c r="P8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1" s="41">
        <f>ROW()</f>
        <v>81</v>
      </c>
      <c r="S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1" s="65">
        <f>IF(INDEX(TransTypes[],Transactions[[#This Row],[TTR]],TT_COL_GLFlag)=1,Transactions[[#This Row],[CalCashImpact]]+Transactions[[#This Row],[CostImpact]],0)</f>
        <v>0</v>
      </c>
      <c r="W81" s="66">
        <f>Transactions[[#This Row],[Amount]]*INDEX(TransTypes[],Transactions[[#This Row],[TTR]],TT_COL_AmntSign)</f>
        <v>-172.42</v>
      </c>
      <c r="X81" s="66">
        <f>IF(INDEX(TransTypes[],Transactions[[#This Row],[TTR]],TT_COL_LONGORSHORT)="S",
      IF( OR(INDEX(TransTypes[],Transactions[[#This Row],[TTR]],TT_COL_GLFlag)=1, INDEX(TransTypes[], Transactions[[#This Row],[TTR]], TT_COL_ShareTransferFlag)=1),
            Transactions[[#This Row],[CostImpact]]*-1,
            Transactions[[#This Row],[CalCashImpact]]
      ),
     0
)</f>
        <v>0</v>
      </c>
      <c r="Y81" s="67" t="str">
        <f>VLOOKUP(Transactions[[#This Row],[Symbol]],Symbols[], COLUMN(Symbols[Currency])-COLUMN(Symbols[])+1,FALSE)</f>
        <v>HKD</v>
      </c>
    </row>
    <row r="82" spans="1:25">
      <c r="A82" s="55" t="s">
        <v>65</v>
      </c>
      <c r="B82" s="56">
        <v>43042</v>
      </c>
      <c r="C82" s="55" t="s">
        <v>240</v>
      </c>
      <c r="D82" s="55"/>
      <c r="E82" s="55" t="s">
        <v>208</v>
      </c>
      <c r="F82" s="57"/>
      <c r="G82" s="58"/>
      <c r="H82" s="57"/>
      <c r="I82" s="57"/>
      <c r="J82" s="68">
        <v>1.01</v>
      </c>
      <c r="K82" s="6" t="s">
        <v>362</v>
      </c>
      <c r="L82" s="20">
        <f>IF(ISNA(MATCH(Transactions[[#This Row],[TransType]],TransTypes[TransType],0)),1,MATCH(Transactions[[#This Row],[TransType]],TransTypes[TransType],0))</f>
        <v>8</v>
      </c>
      <c r="M82" s="60">
        <f>IF( AND( INDEX(TransTypes[],Transactions[[#This Row],[TTR]],TT_COL_GLFlag)=1, INDEX(TransTypes[],Transactions[[#This Row],[TTR]],TT_COL_LONGORSHORT)="S" ),
      Transactions[[#This Row],[PL]],
      IF(INDEX(TransTypes[],Transactions[[#This Row],[TTR]],TT_COL_LONGORSHORT)="S",0,Transactions[[#This Row],[CalCashImpact]])
)</f>
        <v>1.01</v>
      </c>
      <c r="N82" s="61">
        <f>IF(VLOOKUP(Transactions[[#This Row],[Symbol]],Symbols[],COLUMN(Symbols[Currency])-COLUMN(Symbols[])+1,FALSE)=
       VLOOKUP(Transactions[[#This Row],[Account]],Accounts[],COLUMN(Accounts[Currency])-COLUMN(Accounts[])+1,FALSE),
     Transactions[[#This Row],[OrigCashImpact]],
     0
)</f>
        <v>1.01</v>
      </c>
      <c r="O8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-853.01702335099844</v>
      </c>
      <c r="P8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2" s="41">
        <f>ROW()</f>
        <v>82</v>
      </c>
      <c r="S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2" s="65">
        <f>IF(INDEX(TransTypes[],Transactions[[#This Row],[TTR]],TT_COL_GLFlag)=1,Transactions[[#This Row],[CalCashImpact]]+Transactions[[#This Row],[CostImpact]],0)</f>
        <v>0</v>
      </c>
      <c r="W82" s="66">
        <f>Transactions[[#This Row],[Amount]]*INDEX(TransTypes[],Transactions[[#This Row],[TTR]],TT_COL_AmntSign)</f>
        <v>1.01</v>
      </c>
      <c r="X82" s="66">
        <f>IF(INDEX(TransTypes[],Transactions[[#This Row],[TTR]],TT_COL_LONGORSHORT)="S",
      IF( OR(INDEX(TransTypes[],Transactions[[#This Row],[TTR]],TT_COL_GLFlag)=1, INDEX(TransTypes[], Transactions[[#This Row],[TTR]], TT_COL_ShareTransferFlag)=1),
            Transactions[[#This Row],[CostImpact]]*-1,
            Transactions[[#This Row],[CalCashImpact]]
      ),
     0
)</f>
        <v>0</v>
      </c>
      <c r="Y82" s="67" t="str">
        <f>VLOOKUP(Transactions[[#This Row],[Symbol]],Symbols[], COLUMN(Symbols[Currency])-COLUMN(Symbols[])+1,FALSE)</f>
        <v>USD</v>
      </c>
    </row>
    <row r="83" spans="1:25">
      <c r="A83" s="55" t="s">
        <v>65</v>
      </c>
      <c r="B83" s="56">
        <v>43042</v>
      </c>
      <c r="C83" s="55" t="s">
        <v>240</v>
      </c>
      <c r="D83" s="55"/>
      <c r="E83" s="55" t="s">
        <v>208</v>
      </c>
      <c r="F83" s="57"/>
      <c r="G83" s="58"/>
      <c r="H83" s="57"/>
      <c r="I83" s="57"/>
      <c r="J83" s="68">
        <v>5.62</v>
      </c>
      <c r="K83" s="6" t="s">
        <v>363</v>
      </c>
      <c r="L83" s="20">
        <f>IF(ISNA(MATCH(Transactions[[#This Row],[TransType]],TransTypes[TransType],0)),1,MATCH(Transactions[[#This Row],[TransType]],TransTypes[TransType],0))</f>
        <v>8</v>
      </c>
      <c r="M83" s="60">
        <f>IF( AND( INDEX(TransTypes[],Transactions[[#This Row],[TTR]],TT_COL_GLFlag)=1, INDEX(TransTypes[],Transactions[[#This Row],[TTR]],TT_COL_LONGORSHORT)="S" ),
      Transactions[[#This Row],[PL]],
      IF(INDEX(TransTypes[],Transactions[[#This Row],[TTR]],TT_COL_LONGORSHORT)="S",0,Transactions[[#This Row],[CalCashImpact]])
)</f>
        <v>5.62</v>
      </c>
      <c r="N83" s="61">
        <f>IF(VLOOKUP(Transactions[[#This Row],[Symbol]],Symbols[],COLUMN(Symbols[Currency])-COLUMN(Symbols[])+1,FALSE)=
       VLOOKUP(Transactions[[#This Row],[Account]],Accounts[],COLUMN(Accounts[Currency])-COLUMN(Accounts[])+1,FALSE),
     Transactions[[#This Row],[OrigCashImpact]],
     0
)</f>
        <v>5.62</v>
      </c>
      <c r="O8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-847.39702335099844</v>
      </c>
      <c r="P8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3" s="41">
        <f>ROW()</f>
        <v>83</v>
      </c>
      <c r="S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3" s="65">
        <f>IF(INDEX(TransTypes[],Transactions[[#This Row],[TTR]],TT_COL_GLFlag)=1,Transactions[[#This Row],[CalCashImpact]]+Transactions[[#This Row],[CostImpact]],0)</f>
        <v>0</v>
      </c>
      <c r="W83" s="66">
        <f>Transactions[[#This Row],[Amount]]*INDEX(TransTypes[],Transactions[[#This Row],[TTR]],TT_COL_AmntSign)</f>
        <v>5.62</v>
      </c>
      <c r="X83" s="66">
        <f>IF(INDEX(TransTypes[],Transactions[[#This Row],[TTR]],TT_COL_LONGORSHORT)="S",
      IF( OR(INDEX(TransTypes[],Transactions[[#This Row],[TTR]],TT_COL_GLFlag)=1, INDEX(TransTypes[], Transactions[[#This Row],[TTR]], TT_COL_ShareTransferFlag)=1),
            Transactions[[#This Row],[CostImpact]]*-1,
            Transactions[[#This Row],[CalCashImpact]]
      ),
     0
)</f>
        <v>0</v>
      </c>
      <c r="Y83" s="67" t="str">
        <f>VLOOKUP(Transactions[[#This Row],[Symbol]],Symbols[], COLUMN(Symbols[Currency])-COLUMN(Symbols[])+1,FALSE)</f>
        <v>USD</v>
      </c>
    </row>
    <row r="84" spans="1:25">
      <c r="A84" s="55" t="s">
        <v>65</v>
      </c>
      <c r="B84" s="56">
        <v>43045</v>
      </c>
      <c r="C84" s="55" t="s">
        <v>115</v>
      </c>
      <c r="D84" s="55"/>
      <c r="E84" s="55" t="s">
        <v>258</v>
      </c>
      <c r="F84" s="57">
        <v>18000</v>
      </c>
      <c r="G84" s="58">
        <v>34.630555559999998</v>
      </c>
      <c r="H84" s="57">
        <v>1784.3408999999999</v>
      </c>
      <c r="I84" s="57"/>
      <c r="J84" s="68">
        <v>621565.65910000005</v>
      </c>
      <c r="K84" s="6"/>
      <c r="L84" s="20">
        <f>IF(ISNA(MATCH(Transactions[[#This Row],[TransType]],TransTypes[TransType],0)),1,MATCH(Transactions[[#This Row],[TransType]],TransTypes[TransType],0))</f>
        <v>3</v>
      </c>
      <c r="M84" s="60">
        <f>IF( AND( INDEX(TransTypes[],Transactions[[#This Row],[TTR]],TT_COL_GLFlag)=1, INDEX(TransTypes[],Transactions[[#This Row],[TTR]],TT_COL_LONGORSHORT)="S" ),
      Transactions[[#This Row],[PL]],
      IF(INDEX(TransTypes[],Transactions[[#This Row],[TTR]],TT_COL_LONGORSHORT)="S",0,Transactions[[#This Row],[CalCashImpact]])
)</f>
        <v>621565.65910000005</v>
      </c>
      <c r="N84" s="61">
        <f>IF(VLOOKUP(Transactions[[#This Row],[Symbol]],Symbols[],COLUMN(Symbols[Currency])-COLUMN(Symbols[])+1,FALSE)=
       VLOOKUP(Transactions[[#This Row],[Account]],Accounts[],COLUMN(Accounts[Currency])-COLUMN(Accounts[])+1,FALSE),
     Transactions[[#This Row],[OrigCashImpact]],
     0
)</f>
        <v>0</v>
      </c>
      <c r="O8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-847.39702335099844</v>
      </c>
      <c r="P8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-18000</v>
      </c>
      <c r="Q8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4" s="41">
        <f>ROW()</f>
        <v>84</v>
      </c>
      <c r="S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-694077.05339999998</v>
      </c>
      <c r="T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84" s="65">
        <f>IF(INDEX(TransTypes[],Transactions[[#This Row],[TTR]],TT_COL_GLFlag)=1,Transactions[[#This Row],[CalCashImpact]]+Transactions[[#This Row],[CostImpact]],0)</f>
        <v>-72511.394299999927</v>
      </c>
      <c r="W84" s="66">
        <f>Transactions[[#This Row],[Amount]]*INDEX(TransTypes[],Transactions[[#This Row],[TTR]],TT_COL_AmntSign)</f>
        <v>621565.65910000005</v>
      </c>
      <c r="X84" s="66">
        <f>IF(INDEX(TransTypes[],Transactions[[#This Row],[TTR]],TT_COL_LONGORSHORT)="S",
      IF( OR(INDEX(TransTypes[],Transactions[[#This Row],[TTR]],TT_COL_GLFlag)=1, INDEX(TransTypes[], Transactions[[#This Row],[TTR]], TT_COL_ShareTransferFlag)=1),
            Transactions[[#This Row],[CostImpact]]*-1,
            Transactions[[#This Row],[CalCashImpact]]
      ),
     0
)</f>
        <v>0</v>
      </c>
      <c r="Y84" s="67" t="str">
        <f>VLOOKUP(Transactions[[#This Row],[Symbol]],Symbols[], COLUMN(Symbols[Currency])-COLUMN(Symbols[])+1,FALSE)</f>
        <v>HKD</v>
      </c>
    </row>
    <row r="85" spans="1:25">
      <c r="A85" s="55" t="s">
        <v>65</v>
      </c>
      <c r="B85" s="56">
        <v>43045</v>
      </c>
      <c r="C85" s="55" t="s">
        <v>115</v>
      </c>
      <c r="D85" s="55"/>
      <c r="E85" s="55" t="s">
        <v>295</v>
      </c>
      <c r="F85" s="57">
        <v>30</v>
      </c>
      <c r="G85" s="58">
        <v>383.55099999999999</v>
      </c>
      <c r="H85" s="57">
        <v>1.2693708429999999</v>
      </c>
      <c r="I85" s="57"/>
      <c r="J85" s="68">
        <v>11505.260629156999</v>
      </c>
      <c r="K85" s="6"/>
      <c r="L85" s="20">
        <f>IF(ISNA(MATCH(Transactions[[#This Row],[TransType]],TransTypes[TransType],0)),1,MATCH(Transactions[[#This Row],[TransType]],TransTypes[TransType],0))</f>
        <v>3</v>
      </c>
      <c r="M85" s="60">
        <f>IF( AND( INDEX(TransTypes[],Transactions[[#This Row],[TTR]],TT_COL_GLFlag)=1, INDEX(TransTypes[],Transactions[[#This Row],[TTR]],TT_COL_LONGORSHORT)="S" ),
      Transactions[[#This Row],[PL]],
      IF(INDEX(TransTypes[],Transactions[[#This Row],[TTR]],TT_COL_LONGORSHORT)="S",0,Transactions[[#This Row],[CalCashImpact]])
)</f>
        <v>11505.260629156999</v>
      </c>
      <c r="N85" s="61">
        <f>IF(VLOOKUP(Transactions[[#This Row],[Symbol]],Symbols[],COLUMN(Symbols[Currency])-COLUMN(Symbols[])+1,FALSE)=
       VLOOKUP(Transactions[[#This Row],[Account]],Accounts[],COLUMN(Accounts[Currency])-COLUMN(Accounts[])+1,FALSE),
     Transactions[[#This Row],[OrigCashImpact]],
     0
)</f>
        <v>11505.260629156999</v>
      </c>
      <c r="O8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10657.863605806</v>
      </c>
      <c r="P8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v>
      </c>
      <c r="Q8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5" s="41">
        <f>ROW()</f>
        <v>85</v>
      </c>
      <c r="S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-11234.7</v>
      </c>
      <c r="T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v>
      </c>
      <c r="V85" s="65">
        <f>IF(INDEX(TransTypes[],Transactions[[#This Row],[TTR]],TT_COL_GLFlag)=1,Transactions[[#This Row],[CalCashImpact]]+Transactions[[#This Row],[CostImpact]],0)</f>
        <v>270.5606291569984</v>
      </c>
      <c r="W85" s="66">
        <f>Transactions[[#This Row],[Amount]]*INDEX(TransTypes[],Transactions[[#This Row],[TTR]],TT_COL_AmntSign)</f>
        <v>11505.260629156999</v>
      </c>
      <c r="X85" s="66">
        <f>IF(INDEX(TransTypes[],Transactions[[#This Row],[TTR]],TT_COL_LONGORSHORT)="S",
      IF( OR(INDEX(TransTypes[],Transactions[[#This Row],[TTR]],TT_COL_GLFlag)=1, INDEX(TransTypes[], Transactions[[#This Row],[TTR]], TT_COL_ShareTransferFlag)=1),
            Transactions[[#This Row],[CostImpact]]*-1,
            Transactions[[#This Row],[CalCashImpact]]
      ),
     0
)</f>
        <v>0</v>
      </c>
      <c r="Y85" s="67" t="str">
        <f>VLOOKUP(Transactions[[#This Row],[Symbol]],Symbols[], COLUMN(Symbols[Currency])-COLUMN(Symbols[])+1,FALSE)</f>
        <v>USD</v>
      </c>
    </row>
    <row r="86" spans="1:25">
      <c r="A86" s="55" t="s">
        <v>65</v>
      </c>
      <c r="B86" s="56">
        <v>43045</v>
      </c>
      <c r="C86" s="55" t="s">
        <v>113</v>
      </c>
      <c r="D86" s="55"/>
      <c r="E86" s="55" t="s">
        <v>298</v>
      </c>
      <c r="F86" s="57">
        <v>270</v>
      </c>
      <c r="G86" s="58">
        <v>38.746296299999997</v>
      </c>
      <c r="H86" s="57">
        <v>1.35</v>
      </c>
      <c r="I86" s="57"/>
      <c r="J86" s="68">
        <v>10462.85</v>
      </c>
      <c r="K86" s="6"/>
      <c r="L86" s="20">
        <f>IF(ISNA(MATCH(Transactions[[#This Row],[TransType]],TransTypes[TransType],0)),1,MATCH(Transactions[[#This Row],[TransType]],TransTypes[TransType],0))</f>
        <v>2</v>
      </c>
      <c r="M86" s="60">
        <f>IF( AND( INDEX(TransTypes[],Transactions[[#This Row],[TTR]],TT_COL_GLFlag)=1, INDEX(TransTypes[],Transactions[[#This Row],[TTR]],TT_COL_LONGORSHORT)="S" ),
      Transactions[[#This Row],[PL]],
      IF(INDEX(TransTypes[],Transactions[[#This Row],[TTR]],TT_COL_LONGORSHORT)="S",0,Transactions[[#This Row],[CalCashImpact]])
)</f>
        <v>-10462.85</v>
      </c>
      <c r="N86" s="61">
        <f>IF(VLOOKUP(Transactions[[#This Row],[Symbol]],Symbols[],COLUMN(Symbols[Currency])-COLUMN(Symbols[])+1,FALSE)=
       VLOOKUP(Transactions[[#This Row],[Account]],Accounts[],COLUMN(Accounts[Currency])-COLUMN(Accounts[])+1,FALSE),
     Transactions[[#This Row],[OrigCashImpact]],
     0
)</f>
        <v>-10462.85</v>
      </c>
      <c r="O8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195.01360580600033</v>
      </c>
      <c r="P8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270</v>
      </c>
      <c r="Q8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270</v>
      </c>
      <c r="R86" s="41">
        <f>ROW()</f>
        <v>86</v>
      </c>
      <c r="S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10462.85</v>
      </c>
      <c r="T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10462.85</v>
      </c>
      <c r="U8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270</v>
      </c>
      <c r="V86" s="65">
        <f>IF(INDEX(TransTypes[],Transactions[[#This Row],[TTR]],TT_COL_GLFlag)=1,Transactions[[#This Row],[CalCashImpact]]+Transactions[[#This Row],[CostImpact]],0)</f>
        <v>0</v>
      </c>
      <c r="W86" s="66">
        <f>Transactions[[#This Row],[Amount]]*INDEX(TransTypes[],Transactions[[#This Row],[TTR]],TT_COL_AmntSign)</f>
        <v>-10462.85</v>
      </c>
      <c r="X86" s="66">
        <f>IF(INDEX(TransTypes[],Transactions[[#This Row],[TTR]],TT_COL_LONGORSHORT)="S",
      IF( OR(INDEX(TransTypes[],Transactions[[#This Row],[TTR]],TT_COL_GLFlag)=1, INDEX(TransTypes[], Transactions[[#This Row],[TTR]], TT_COL_ShareTransferFlag)=1),
            Transactions[[#This Row],[CostImpact]]*-1,
            Transactions[[#This Row],[CalCashImpact]]
      ),
     0
)</f>
        <v>0</v>
      </c>
      <c r="Y86" s="67" t="str">
        <f>VLOOKUP(Transactions[[#This Row],[Symbol]],Symbols[], COLUMN(Symbols[Currency])-COLUMN(Symbols[])+1,FALSE)</f>
        <v>USD</v>
      </c>
    </row>
    <row r="87" spans="1:25">
      <c r="A87" s="55" t="s">
        <v>65</v>
      </c>
      <c r="B87" s="56">
        <v>43045</v>
      </c>
      <c r="C87" s="55" t="s">
        <v>113</v>
      </c>
      <c r="D87" s="55"/>
      <c r="E87" s="55" t="s">
        <v>316</v>
      </c>
      <c r="F87" s="57">
        <v>36</v>
      </c>
      <c r="G87" s="58">
        <v>300.19</v>
      </c>
      <c r="H87" s="57">
        <v>1</v>
      </c>
      <c r="I87" s="57"/>
      <c r="J87" s="68">
        <v>10807.84</v>
      </c>
      <c r="K87" s="6"/>
      <c r="L87" s="20">
        <f>IF(ISNA(MATCH(Transactions[[#This Row],[TransType]],TransTypes[TransType],0)),1,MATCH(Transactions[[#This Row],[TransType]],TransTypes[TransType],0))</f>
        <v>2</v>
      </c>
      <c r="M87" s="60">
        <f>IF( AND( INDEX(TransTypes[],Transactions[[#This Row],[TTR]],TT_COL_GLFlag)=1, INDEX(TransTypes[],Transactions[[#This Row],[TTR]],TT_COL_LONGORSHORT)="S" ),
      Transactions[[#This Row],[PL]],
      IF(INDEX(TransTypes[],Transactions[[#This Row],[TTR]],TT_COL_LONGORSHORT)="S",0,Transactions[[#This Row],[CalCashImpact]])
)</f>
        <v>-10807.84</v>
      </c>
      <c r="N87" s="61">
        <f>IF(VLOOKUP(Transactions[[#This Row],[Symbol]],Symbols[],COLUMN(Symbols[Currency])-COLUMN(Symbols[])+1,FALSE)=
       VLOOKUP(Transactions[[#This Row],[Account]],Accounts[],COLUMN(Accounts[Currency])-COLUMN(Accounts[])+1,FALSE),
     Transactions[[#This Row],[OrigCashImpact]],
     0
)</f>
        <v>-10807.84</v>
      </c>
      <c r="O8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-10612.826394194</v>
      </c>
      <c r="P8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36</v>
      </c>
      <c r="Q8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36</v>
      </c>
      <c r="R87" s="41">
        <f>ROW()</f>
        <v>87</v>
      </c>
      <c r="S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10807.84</v>
      </c>
      <c r="T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10807.84</v>
      </c>
      <c r="U8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36</v>
      </c>
      <c r="V87" s="65">
        <f>IF(INDEX(TransTypes[],Transactions[[#This Row],[TTR]],TT_COL_GLFlag)=1,Transactions[[#This Row],[CalCashImpact]]+Transactions[[#This Row],[CostImpact]],0)</f>
        <v>0</v>
      </c>
      <c r="W87" s="66">
        <f>Transactions[[#This Row],[Amount]]*INDEX(TransTypes[],Transactions[[#This Row],[TTR]],TT_COL_AmntSign)</f>
        <v>-10807.84</v>
      </c>
      <c r="X87" s="66">
        <f>IF(INDEX(TransTypes[],Transactions[[#This Row],[TTR]],TT_COL_LONGORSHORT)="S",
      IF( OR(INDEX(TransTypes[],Transactions[[#This Row],[TTR]],TT_COL_GLFlag)=1, INDEX(TransTypes[], Transactions[[#This Row],[TTR]], TT_COL_ShareTransferFlag)=1),
            Transactions[[#This Row],[CostImpact]]*-1,
            Transactions[[#This Row],[CalCashImpact]]
      ),
     0
)</f>
        <v>0</v>
      </c>
      <c r="Y87" s="67" t="str">
        <f>VLOOKUP(Transactions[[#This Row],[Symbol]],Symbols[], COLUMN(Symbols[Currency])-COLUMN(Symbols[])+1,FALSE)</f>
        <v>USD</v>
      </c>
    </row>
    <row r="88" spans="1:25">
      <c r="A88" s="55" t="s">
        <v>65</v>
      </c>
      <c r="B88" s="56">
        <v>43045</v>
      </c>
      <c r="C88" s="55" t="s">
        <v>156</v>
      </c>
      <c r="D88" s="55"/>
      <c r="E88" s="55" t="s">
        <v>210</v>
      </c>
      <c r="F88" s="57">
        <v>10642</v>
      </c>
      <c r="G88" s="58">
        <v>7.8030499999999998</v>
      </c>
      <c r="H88" s="57"/>
      <c r="I88" s="57"/>
      <c r="J88" s="68">
        <v>83040.058099999995</v>
      </c>
      <c r="K88" s="6"/>
      <c r="L88" s="20">
        <f>IF(ISNA(MATCH(Transactions[[#This Row],[TransType]],TransTypes[TransType],0)),1,MATCH(Transactions[[#This Row],[TransType]],TransTypes[TransType],0))</f>
        <v>17</v>
      </c>
      <c r="M88" s="60">
        <f>IF( AND( INDEX(TransTypes[],Transactions[[#This Row],[TTR]],TT_COL_GLFlag)=1, INDEX(TransTypes[],Transactions[[#This Row],[TTR]],TT_COL_LONGORSHORT)="S" ),
      Transactions[[#This Row],[PL]],
      IF(INDEX(TransTypes[],Transactions[[#This Row],[TTR]],TT_COL_LONGORSHORT)="S",0,Transactions[[#This Row],[CalCashImpact]])
)</f>
        <v>-83040.058099999995</v>
      </c>
      <c r="N88" s="61">
        <f>IF(VLOOKUP(Transactions[[#This Row],[Symbol]],Symbols[],COLUMN(Symbols[Currency])-COLUMN(Symbols[])+1,FALSE)=
       VLOOKUP(Transactions[[#This Row],[Account]],Accounts[],COLUMN(Accounts[Currency])-COLUMN(Accounts[])+1,FALSE),
     Transactions[[#This Row],[OrigCashImpact]],
     0
)</f>
        <v>0</v>
      </c>
      <c r="O8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-10612.826394194</v>
      </c>
      <c r="P8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8" s="41">
        <f>ROW()</f>
        <v>88</v>
      </c>
      <c r="S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8" s="65">
        <f>IF(INDEX(TransTypes[],Transactions[[#This Row],[TTR]],TT_COL_GLFlag)=1,Transactions[[#This Row],[CalCashImpact]]+Transactions[[#This Row],[CostImpact]],0)</f>
        <v>0</v>
      </c>
      <c r="W88" s="66">
        <f>Transactions[[#This Row],[Amount]]*INDEX(TransTypes[],Transactions[[#This Row],[TTR]],TT_COL_AmntSign)</f>
        <v>-83040.058099999995</v>
      </c>
      <c r="X88" s="66">
        <f>IF(INDEX(TransTypes[],Transactions[[#This Row],[TTR]],TT_COL_LONGORSHORT)="S",
      IF( OR(INDEX(TransTypes[],Transactions[[#This Row],[TTR]],TT_COL_GLFlag)=1, INDEX(TransTypes[], Transactions[[#This Row],[TTR]], TT_COL_ShareTransferFlag)=1),
            Transactions[[#This Row],[CostImpact]]*-1,
            Transactions[[#This Row],[CalCashImpact]]
      ),
     0
)</f>
        <v>0</v>
      </c>
      <c r="Y88" s="67" t="str">
        <f>VLOOKUP(Transactions[[#This Row],[Symbol]],Symbols[], COLUMN(Symbols[Currency])-COLUMN(Symbols[])+1,FALSE)</f>
        <v>HKD</v>
      </c>
    </row>
    <row r="89" spans="1:25">
      <c r="A89" s="55" t="s">
        <v>65</v>
      </c>
      <c r="B89" s="56">
        <v>43045</v>
      </c>
      <c r="C89" s="55" t="s">
        <v>239</v>
      </c>
      <c r="D89" s="55"/>
      <c r="E89" s="55" t="s">
        <v>208</v>
      </c>
      <c r="F89" s="57">
        <v>10642</v>
      </c>
      <c r="G89" s="58">
        <v>1</v>
      </c>
      <c r="H89" s="57">
        <v>2</v>
      </c>
      <c r="I89" s="57"/>
      <c r="J89" s="68">
        <v>10644</v>
      </c>
      <c r="K89" s="6" t="s">
        <v>364</v>
      </c>
      <c r="L89" s="20">
        <f>IF(ISNA(MATCH(Transactions[[#This Row],[TransType]],TransTypes[TransType],0)),1,MATCH(Transactions[[#This Row],[TransType]],TransTypes[TransType],0))</f>
        <v>18</v>
      </c>
      <c r="M89" s="60">
        <f>IF( AND( INDEX(TransTypes[],Transactions[[#This Row],[TTR]],TT_COL_GLFlag)=1, INDEX(TransTypes[],Transactions[[#This Row],[TTR]],TT_COL_LONGORSHORT)="S" ),
      Transactions[[#This Row],[PL]],
      IF(INDEX(TransTypes[],Transactions[[#This Row],[TTR]],TT_COL_LONGORSHORT)="S",0,Transactions[[#This Row],[CalCashImpact]])
)</f>
        <v>10644</v>
      </c>
      <c r="N89" s="61">
        <f>IF(VLOOKUP(Transactions[[#This Row],[Symbol]],Symbols[],COLUMN(Symbols[Currency])-COLUMN(Symbols[])+1,FALSE)=
       VLOOKUP(Transactions[[#This Row],[Account]],Accounts[],COLUMN(Accounts[Currency])-COLUMN(Accounts[])+1,FALSE),
     Transactions[[#This Row],[OrigCashImpact]],
     0
)</f>
        <v>10644</v>
      </c>
      <c r="O8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31.173605806000182</v>
      </c>
      <c r="P8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9" s="41">
        <f>ROW()</f>
        <v>89</v>
      </c>
      <c r="S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9" s="65">
        <f>IF(INDEX(TransTypes[],Transactions[[#This Row],[TTR]],TT_COL_GLFlag)=1,Transactions[[#This Row],[CalCashImpact]]+Transactions[[#This Row],[CostImpact]],0)</f>
        <v>0</v>
      </c>
      <c r="W89" s="66">
        <f>Transactions[[#This Row],[Amount]]*INDEX(TransTypes[],Transactions[[#This Row],[TTR]],TT_COL_AmntSign)</f>
        <v>10644</v>
      </c>
      <c r="X89" s="66">
        <f>IF(INDEX(TransTypes[],Transactions[[#This Row],[TTR]],TT_COL_LONGORSHORT)="S",
      IF( OR(INDEX(TransTypes[],Transactions[[#This Row],[TTR]],TT_COL_GLFlag)=1, INDEX(TransTypes[], Transactions[[#This Row],[TTR]], TT_COL_ShareTransferFlag)=1),
            Transactions[[#This Row],[CostImpact]]*-1,
            Transactions[[#This Row],[CalCashImpact]]
      ),
     0
)</f>
        <v>0</v>
      </c>
      <c r="Y89" s="67" t="str">
        <f>VLOOKUP(Transactions[[#This Row],[Symbol]],Symbols[], COLUMN(Symbols[Currency])-COLUMN(Symbols[])+1,FALSE)</f>
        <v>USD</v>
      </c>
    </row>
    <row r="90" spans="1:25">
      <c r="A90" s="55" t="s">
        <v>65</v>
      </c>
      <c r="B90" s="56">
        <v>43046</v>
      </c>
      <c r="C90" s="55" t="s">
        <v>113</v>
      </c>
      <c r="D90" s="55"/>
      <c r="E90" s="55" t="s">
        <v>266</v>
      </c>
      <c r="F90" s="57">
        <v>5000</v>
      </c>
      <c r="G90" s="58">
        <v>38.799999999999997</v>
      </c>
      <c r="H90" s="57">
        <v>559.67599999999902</v>
      </c>
      <c r="I90" s="57"/>
      <c r="J90" s="68">
        <v>194559.67600000001</v>
      </c>
      <c r="K90" s="6"/>
      <c r="L90" s="20">
        <f>IF(ISNA(MATCH(Transactions[[#This Row],[TransType]],TransTypes[TransType],0)),1,MATCH(Transactions[[#This Row],[TransType]],TransTypes[TransType],0))</f>
        <v>2</v>
      </c>
      <c r="M90" s="60">
        <f>IF( AND( INDEX(TransTypes[],Transactions[[#This Row],[TTR]],TT_COL_GLFlag)=1, INDEX(TransTypes[],Transactions[[#This Row],[TTR]],TT_COL_LONGORSHORT)="S" ),
      Transactions[[#This Row],[PL]],
      IF(INDEX(TransTypes[],Transactions[[#This Row],[TTR]],TT_COL_LONGORSHORT)="S",0,Transactions[[#This Row],[CalCashImpact]])
)</f>
        <v>-194559.67600000001</v>
      </c>
      <c r="N90" s="61">
        <f>IF(VLOOKUP(Transactions[[#This Row],[Symbol]],Symbols[],COLUMN(Symbols[Currency])-COLUMN(Symbols[])+1,FALSE)=
       VLOOKUP(Transactions[[#This Row],[Account]],Accounts[],COLUMN(Accounts[Currency])-COLUMN(Accounts[])+1,FALSE),
     Transactions[[#This Row],[OrigCashImpact]],
     0
)</f>
        <v>0</v>
      </c>
      <c r="O9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31.173605806001071</v>
      </c>
      <c r="P9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9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90" s="41">
        <f>ROW()</f>
        <v>90</v>
      </c>
      <c r="S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194559.67600000001</v>
      </c>
      <c r="T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194559.67600000001</v>
      </c>
      <c r="U9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90" s="65">
        <f>IF(INDEX(TransTypes[],Transactions[[#This Row],[TTR]],TT_COL_GLFlag)=1,Transactions[[#This Row],[CalCashImpact]]+Transactions[[#This Row],[CostImpact]],0)</f>
        <v>0</v>
      </c>
      <c r="W90" s="66">
        <f>Transactions[[#This Row],[Amount]]*INDEX(TransTypes[],Transactions[[#This Row],[TTR]],TT_COL_AmntSign)</f>
        <v>-194559.67600000001</v>
      </c>
      <c r="X90" s="66">
        <f>IF(INDEX(TransTypes[],Transactions[[#This Row],[TTR]],TT_COL_LONGORSHORT)="S",
      IF( OR(INDEX(TransTypes[],Transactions[[#This Row],[TTR]],TT_COL_GLFlag)=1, INDEX(TransTypes[], Transactions[[#This Row],[TTR]], TT_COL_ShareTransferFlag)=1),
            Transactions[[#This Row],[CostImpact]]*-1,
            Transactions[[#This Row],[CalCashImpact]]
      ),
     0
)</f>
        <v>0</v>
      </c>
      <c r="Y90" s="67" t="str">
        <f>VLOOKUP(Transactions[[#This Row],[Symbol]],Symbols[], COLUMN(Symbols[Currency])-COLUMN(Symbols[])+1,FALSE)</f>
        <v>HKD</v>
      </c>
    </row>
    <row r="91" spans="1:25">
      <c r="A91" s="55" t="s">
        <v>65</v>
      </c>
      <c r="B91" s="56">
        <v>43046</v>
      </c>
      <c r="C91" s="55" t="s">
        <v>113</v>
      </c>
      <c r="D91" s="55"/>
      <c r="E91" s="55" t="s">
        <v>273</v>
      </c>
      <c r="F91" s="57">
        <v>5000</v>
      </c>
      <c r="G91" s="58">
        <v>27.8</v>
      </c>
      <c r="H91" s="57">
        <v>396.70600000000002</v>
      </c>
      <c r="I91" s="57"/>
      <c r="J91" s="68">
        <v>139396.70600000001</v>
      </c>
      <c r="K91" s="6"/>
      <c r="L91" s="20">
        <f>IF(ISNA(MATCH(Transactions[[#This Row],[TransType]],TransTypes[TransType],0)),1,MATCH(Transactions[[#This Row],[TransType]],TransTypes[TransType],0))</f>
        <v>2</v>
      </c>
      <c r="M91" s="60">
        <f>IF( AND( INDEX(TransTypes[],Transactions[[#This Row],[TTR]],TT_COL_GLFlag)=1, INDEX(TransTypes[],Transactions[[#This Row],[TTR]],TT_COL_LONGORSHORT)="S" ),
      Transactions[[#This Row],[PL]],
      IF(INDEX(TransTypes[],Transactions[[#This Row],[TTR]],TT_COL_LONGORSHORT)="S",0,Transactions[[#This Row],[CalCashImpact]])
)</f>
        <v>-139396.70600000001</v>
      </c>
      <c r="N91" s="61">
        <f>IF(VLOOKUP(Transactions[[#This Row],[Symbol]],Symbols[],COLUMN(Symbols[Currency])-COLUMN(Symbols[])+1,FALSE)=
       VLOOKUP(Transactions[[#This Row],[Account]],Accounts[],COLUMN(Accounts[Currency])-COLUMN(Accounts[])+1,FALSE),
     Transactions[[#This Row],[OrigCashImpact]],
     0
)</f>
        <v>0</v>
      </c>
      <c r="O9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31.173605806001071</v>
      </c>
      <c r="P9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9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91" s="41">
        <f>ROW()</f>
        <v>91</v>
      </c>
      <c r="S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139396.70600000001</v>
      </c>
      <c r="T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519994.799</v>
      </c>
      <c r="U9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91" s="65">
        <f>IF(INDEX(TransTypes[],Transactions[[#This Row],[TTR]],TT_COL_GLFlag)=1,Transactions[[#This Row],[CalCashImpact]]+Transactions[[#This Row],[CostImpact]],0)</f>
        <v>0</v>
      </c>
      <c r="W91" s="66">
        <f>Transactions[[#This Row],[Amount]]*INDEX(TransTypes[],Transactions[[#This Row],[TTR]],TT_COL_AmntSign)</f>
        <v>-139396.70600000001</v>
      </c>
      <c r="X91" s="66">
        <f>IF(INDEX(TransTypes[],Transactions[[#This Row],[TTR]],TT_COL_LONGORSHORT)="S",
      IF( OR(INDEX(TransTypes[],Transactions[[#This Row],[TTR]],TT_COL_GLFlag)=1, INDEX(TransTypes[], Transactions[[#This Row],[TTR]], TT_COL_ShareTransferFlag)=1),
            Transactions[[#This Row],[CostImpact]]*-1,
            Transactions[[#This Row],[CalCashImpact]]
      ),
     0
)</f>
        <v>0</v>
      </c>
      <c r="Y91" s="67" t="str">
        <f>VLOOKUP(Transactions[[#This Row],[Symbol]],Symbols[], COLUMN(Symbols[Currency])-COLUMN(Symbols[])+1,FALSE)</f>
        <v>HKD</v>
      </c>
    </row>
    <row r="92" spans="1:25">
      <c r="A92" s="55" t="s">
        <v>65</v>
      </c>
      <c r="B92" s="56">
        <v>43046</v>
      </c>
      <c r="C92" s="55" t="s">
        <v>115</v>
      </c>
      <c r="D92" s="55"/>
      <c r="E92" s="55" t="s">
        <v>303</v>
      </c>
      <c r="F92" s="57">
        <v>4000</v>
      </c>
      <c r="G92" s="58">
        <v>3.0502799999999999</v>
      </c>
      <c r="H92" s="57">
        <v>19.357845869999998</v>
      </c>
      <c r="I92" s="57"/>
      <c r="J92" s="68">
        <v>12181.76215413</v>
      </c>
      <c r="K92" s="6"/>
      <c r="L92" s="20">
        <f>IF(ISNA(MATCH(Transactions[[#This Row],[TransType]],TransTypes[TransType],0)),1,MATCH(Transactions[[#This Row],[TransType]],TransTypes[TransType],0))</f>
        <v>3</v>
      </c>
      <c r="M92" s="60">
        <f>IF( AND( INDEX(TransTypes[],Transactions[[#This Row],[TTR]],TT_COL_GLFlag)=1, INDEX(TransTypes[],Transactions[[#This Row],[TTR]],TT_COL_LONGORSHORT)="S" ),
      Transactions[[#This Row],[PL]],
      IF(INDEX(TransTypes[],Transactions[[#This Row],[TTR]],TT_COL_LONGORSHORT)="S",0,Transactions[[#This Row],[CalCashImpact]])
)</f>
        <v>12181.76215413</v>
      </c>
      <c r="N92" s="61">
        <f>IF(VLOOKUP(Transactions[[#This Row],[Symbol]],Symbols[],COLUMN(Symbols[Currency])-COLUMN(Symbols[])+1,FALSE)=
       VLOOKUP(Transactions[[#This Row],[Account]],Accounts[],COLUMN(Accounts[Currency])-COLUMN(Accounts[])+1,FALSE),
     Transactions[[#This Row],[OrigCashImpact]],
     0
)</f>
        <v>12181.76215413</v>
      </c>
      <c r="O9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12212.935759936001</v>
      </c>
      <c r="P9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9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2" s="41">
        <f>ROW()</f>
        <v>92</v>
      </c>
      <c r="S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-10694.94</v>
      </c>
      <c r="T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92" s="65">
        <f>IF(INDEX(TransTypes[],Transactions[[#This Row],[TTR]],TT_COL_GLFlag)=1,Transactions[[#This Row],[CalCashImpact]]+Transactions[[#This Row],[CostImpact]],0)</f>
        <v>1486.822154129999</v>
      </c>
      <c r="W92" s="66">
        <f>Transactions[[#This Row],[Amount]]*INDEX(TransTypes[],Transactions[[#This Row],[TTR]],TT_COL_AmntSign)</f>
        <v>12181.76215413</v>
      </c>
      <c r="X92" s="66">
        <f>IF(INDEX(TransTypes[],Transactions[[#This Row],[TTR]],TT_COL_LONGORSHORT)="S",
      IF( OR(INDEX(TransTypes[],Transactions[[#This Row],[TTR]],TT_COL_GLFlag)=1, INDEX(TransTypes[], Transactions[[#This Row],[TTR]], TT_COL_ShareTransferFlag)=1),
            Transactions[[#This Row],[CostImpact]]*-1,
            Transactions[[#This Row],[CalCashImpact]]
      ),
     0
)</f>
        <v>0</v>
      </c>
      <c r="Y92" s="67" t="str">
        <f>VLOOKUP(Transactions[[#This Row],[Symbol]],Symbols[], COLUMN(Symbols[Currency])-COLUMN(Symbols[])+1,FALSE)</f>
        <v>USD</v>
      </c>
    </row>
    <row r="93" spans="1:25">
      <c r="A93" s="55" t="s">
        <v>65</v>
      </c>
      <c r="B93" s="56">
        <v>43046</v>
      </c>
      <c r="C93" s="55" t="s">
        <v>118</v>
      </c>
      <c r="D93" s="55"/>
      <c r="E93" s="55" t="s">
        <v>292</v>
      </c>
      <c r="F93" s="57">
        <v>283</v>
      </c>
      <c r="G93" s="58"/>
      <c r="H93" s="57"/>
      <c r="I93" s="57"/>
      <c r="J93" s="68">
        <v>103.46</v>
      </c>
      <c r="K93" s="6" t="s">
        <v>365</v>
      </c>
      <c r="L93" s="20">
        <f>IF(ISNA(MATCH(Transactions[[#This Row],[TransType]],TransTypes[TransType],0)),1,MATCH(Transactions[[#This Row],[TransType]],TransTypes[TransType],0))</f>
        <v>4</v>
      </c>
      <c r="M93" s="60">
        <f>IF( AND( INDEX(TransTypes[],Transactions[[#This Row],[TTR]],TT_COL_GLFlag)=1, INDEX(TransTypes[],Transactions[[#This Row],[TTR]],TT_COL_LONGORSHORT)="S" ),
      Transactions[[#This Row],[PL]],
      IF(INDEX(TransTypes[],Transactions[[#This Row],[TTR]],TT_COL_LONGORSHORT)="S",0,Transactions[[#This Row],[CalCashImpact]])
)</f>
        <v>103.46</v>
      </c>
      <c r="N93" s="61">
        <f>IF(VLOOKUP(Transactions[[#This Row],[Symbol]],Symbols[],COLUMN(Symbols[Currency])-COLUMN(Symbols[])+1,FALSE)=
       VLOOKUP(Transactions[[#This Row],[Account]],Accounts[],COLUMN(Accounts[Currency])-COLUMN(Accounts[])+1,FALSE),
     Transactions[[#This Row],[OrigCashImpact]],
     0
)</f>
        <v>103.46</v>
      </c>
      <c r="O9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12316.395759936</v>
      </c>
      <c r="P9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283</v>
      </c>
      <c r="R93" s="41">
        <f>ROW()</f>
        <v>93</v>
      </c>
      <c r="S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24993.044999999998</v>
      </c>
      <c r="U9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283</v>
      </c>
      <c r="V93" s="65">
        <f>IF(INDEX(TransTypes[],Transactions[[#This Row],[TTR]],TT_COL_GLFlag)=1,Transactions[[#This Row],[CalCashImpact]]+Transactions[[#This Row],[CostImpact]],0)</f>
        <v>0</v>
      </c>
      <c r="W93" s="66">
        <f>Transactions[[#This Row],[Amount]]*INDEX(TransTypes[],Transactions[[#This Row],[TTR]],TT_COL_AmntSign)</f>
        <v>103.46</v>
      </c>
      <c r="X93" s="66">
        <f>IF(INDEX(TransTypes[],Transactions[[#This Row],[TTR]],TT_COL_LONGORSHORT)="S",
      IF( OR(INDEX(TransTypes[],Transactions[[#This Row],[TTR]],TT_COL_GLFlag)=1, INDEX(TransTypes[], Transactions[[#This Row],[TTR]], TT_COL_ShareTransferFlag)=1),
            Transactions[[#This Row],[CostImpact]]*-1,
            Transactions[[#This Row],[CalCashImpact]]
      ),
     0
)</f>
        <v>0</v>
      </c>
      <c r="Y93" s="67" t="str">
        <f>VLOOKUP(Transactions[[#This Row],[Symbol]],Symbols[], COLUMN(Symbols[Currency])-COLUMN(Symbols[])+1,FALSE)</f>
        <v>USD</v>
      </c>
    </row>
    <row r="94" spans="1:25">
      <c r="A94" s="55" t="s">
        <v>65</v>
      </c>
      <c r="B94" s="56">
        <v>43046</v>
      </c>
      <c r="C94" s="55" t="s">
        <v>118</v>
      </c>
      <c r="D94" s="55"/>
      <c r="E94" s="55" t="s">
        <v>20</v>
      </c>
      <c r="F94" s="57"/>
      <c r="G94" s="58"/>
      <c r="H94" s="57"/>
      <c r="I94" s="57"/>
      <c r="J94" s="68">
        <v>10.79</v>
      </c>
      <c r="K94" s="6" t="s">
        <v>366</v>
      </c>
      <c r="L94" s="20">
        <f>IF(ISNA(MATCH(Transactions[[#This Row],[TransType]],TransTypes[TransType],0)),1,MATCH(Transactions[[#This Row],[TransType]],TransTypes[TransType],0))</f>
        <v>4</v>
      </c>
      <c r="M94" s="60">
        <f>IF( AND( INDEX(TransTypes[],Transactions[[#This Row],[TTR]],TT_COL_GLFlag)=1, INDEX(TransTypes[],Transactions[[#This Row],[TTR]],TT_COL_LONGORSHORT)="S" ),
      Transactions[[#This Row],[PL]],
      IF(INDEX(TransTypes[],Transactions[[#This Row],[TTR]],TT_COL_LONGORSHORT)="S",0,Transactions[[#This Row],[CalCashImpact]])
)</f>
        <v>10.79</v>
      </c>
      <c r="N94" s="61">
        <f>IF(VLOOKUP(Transactions[[#This Row],[Symbol]],Symbols[],COLUMN(Symbols[Currency])-COLUMN(Symbols[])+1,FALSE)=
       VLOOKUP(Transactions[[#This Row],[Account]],Accounts[],COLUMN(Accounts[Currency])-COLUMN(Accounts[])+1,FALSE),
     Transactions[[#This Row],[OrigCashImpact]],
     0
)</f>
        <v>10.79</v>
      </c>
      <c r="O9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12327.185759936001</v>
      </c>
      <c r="P9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94" s="41">
        <f>ROW()</f>
        <v>94</v>
      </c>
      <c r="S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9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94" s="65">
        <f>IF(INDEX(TransTypes[],Transactions[[#This Row],[TTR]],TT_COL_GLFlag)=1,Transactions[[#This Row],[CalCashImpact]]+Transactions[[#This Row],[CostImpact]],0)</f>
        <v>0</v>
      </c>
      <c r="W94" s="66">
        <f>Transactions[[#This Row],[Amount]]*INDEX(TransTypes[],Transactions[[#This Row],[TTR]],TT_COL_AmntSign)</f>
        <v>10.79</v>
      </c>
      <c r="X94" s="66">
        <f>IF(INDEX(TransTypes[],Transactions[[#This Row],[TTR]],TT_COL_LONGORSHORT)="S",
      IF( OR(INDEX(TransTypes[],Transactions[[#This Row],[TTR]],TT_COL_GLFlag)=1, INDEX(TransTypes[], Transactions[[#This Row],[TTR]], TT_COL_ShareTransferFlag)=1),
            Transactions[[#This Row],[CostImpact]]*-1,
            Transactions[[#This Row],[CalCashImpact]]
      ),
     0
)</f>
        <v>0</v>
      </c>
      <c r="Y94" s="67" t="str">
        <f>VLOOKUP(Transactions[[#This Row],[Symbol]],Symbols[], COLUMN(Symbols[Currency])-COLUMN(Symbols[])+1,FALSE)</f>
        <v>USD</v>
      </c>
    </row>
    <row r="95" spans="1:25">
      <c r="A95" s="55" t="s">
        <v>65</v>
      </c>
      <c r="B95" s="56">
        <v>43046</v>
      </c>
      <c r="C95" s="55" t="s">
        <v>118</v>
      </c>
      <c r="D95" s="55"/>
      <c r="E95" s="55" t="s">
        <v>20</v>
      </c>
      <c r="F95" s="57"/>
      <c r="G95" s="58"/>
      <c r="H95" s="57"/>
      <c r="I95" s="57"/>
      <c r="J95" s="68">
        <v>94.45</v>
      </c>
      <c r="K95" s="6" t="s">
        <v>367</v>
      </c>
      <c r="L95" s="20">
        <f>IF(ISNA(MATCH(Transactions[[#This Row],[TransType]],TransTypes[TransType],0)),1,MATCH(Transactions[[#This Row],[TransType]],TransTypes[TransType],0))</f>
        <v>4</v>
      </c>
      <c r="M95" s="60">
        <f>IF( AND( INDEX(TransTypes[],Transactions[[#This Row],[TTR]],TT_COL_GLFlag)=1, INDEX(TransTypes[],Transactions[[#This Row],[TTR]],TT_COL_LONGORSHORT)="S" ),
      Transactions[[#This Row],[PL]],
      IF(INDEX(TransTypes[],Transactions[[#This Row],[TTR]],TT_COL_LONGORSHORT)="S",0,Transactions[[#This Row],[CalCashImpact]])
)</f>
        <v>94.45</v>
      </c>
      <c r="N95" s="61">
        <f>IF(VLOOKUP(Transactions[[#This Row],[Symbol]],Symbols[],COLUMN(Symbols[Currency])-COLUMN(Symbols[])+1,FALSE)=
       VLOOKUP(Transactions[[#This Row],[Account]],Accounts[],COLUMN(Accounts[Currency])-COLUMN(Accounts[])+1,FALSE),
     Transactions[[#This Row],[OrigCashImpact]],
     0
)</f>
        <v>94.45</v>
      </c>
      <c r="O9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12421.635759936002</v>
      </c>
      <c r="P9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95" s="41">
        <f>ROW()</f>
        <v>95</v>
      </c>
      <c r="S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9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95" s="65">
        <f>IF(INDEX(TransTypes[],Transactions[[#This Row],[TTR]],TT_COL_GLFlag)=1,Transactions[[#This Row],[CalCashImpact]]+Transactions[[#This Row],[CostImpact]],0)</f>
        <v>0</v>
      </c>
      <c r="W95" s="66">
        <f>Transactions[[#This Row],[Amount]]*INDEX(TransTypes[],Transactions[[#This Row],[TTR]],TT_COL_AmntSign)</f>
        <v>94.45</v>
      </c>
      <c r="X95" s="66">
        <f>IF(INDEX(TransTypes[],Transactions[[#This Row],[TTR]],TT_COL_LONGORSHORT)="S",
      IF( OR(INDEX(TransTypes[],Transactions[[#This Row],[TTR]],TT_COL_GLFlag)=1, INDEX(TransTypes[], Transactions[[#This Row],[TTR]], TT_COL_ShareTransferFlag)=1),
            Transactions[[#This Row],[CostImpact]]*-1,
            Transactions[[#This Row],[CalCashImpact]]
      ),
     0
)</f>
        <v>0</v>
      </c>
      <c r="Y95" s="67" t="str">
        <f>VLOOKUP(Transactions[[#This Row],[Symbol]],Symbols[], COLUMN(Symbols[Currency])-COLUMN(Symbols[])+1,FALSE)</f>
        <v>USD</v>
      </c>
    </row>
    <row r="96" spans="1:25">
      <c r="A96" s="55" t="s">
        <v>65</v>
      </c>
      <c r="B96" s="56">
        <v>43046</v>
      </c>
      <c r="C96" s="55" t="s">
        <v>123</v>
      </c>
      <c r="D96" s="55"/>
      <c r="E96" s="55" t="s">
        <v>292</v>
      </c>
      <c r="F96" s="57"/>
      <c r="G96" s="58"/>
      <c r="H96" s="57"/>
      <c r="I96" s="57"/>
      <c r="J96" s="68">
        <v>15.52</v>
      </c>
      <c r="K96" s="6" t="s">
        <v>368</v>
      </c>
      <c r="L96" s="20">
        <f>IF(ISNA(MATCH(Transactions[[#This Row],[TransType]],TransTypes[TransType],0)),1,MATCH(Transactions[[#This Row],[TransType]],TransTypes[TransType],0))</f>
        <v>7</v>
      </c>
      <c r="M96" s="60">
        <f>IF( AND( INDEX(TransTypes[],Transactions[[#This Row],[TTR]],TT_COL_GLFlag)=1, INDEX(TransTypes[],Transactions[[#This Row],[TTR]],TT_COL_LONGORSHORT)="S" ),
      Transactions[[#This Row],[PL]],
      IF(INDEX(TransTypes[],Transactions[[#This Row],[TTR]],TT_COL_LONGORSHORT)="S",0,Transactions[[#This Row],[CalCashImpact]])
)</f>
        <v>-15.52</v>
      </c>
      <c r="N96" s="61">
        <f>IF(VLOOKUP(Transactions[[#This Row],[Symbol]],Symbols[],COLUMN(Symbols[Currency])-COLUMN(Symbols[])+1,FALSE)=
       VLOOKUP(Transactions[[#This Row],[Account]],Accounts[],COLUMN(Accounts[Currency])-COLUMN(Accounts[])+1,FALSE),
     Transactions[[#This Row],[OrigCashImpact]],
     0
)</f>
        <v>-15.52</v>
      </c>
      <c r="O9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12406.115759936001</v>
      </c>
      <c r="P9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283</v>
      </c>
      <c r="R96" s="41">
        <f>ROW()</f>
        <v>96</v>
      </c>
      <c r="S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24993.044999999998</v>
      </c>
      <c r="U9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283</v>
      </c>
      <c r="V96" s="65">
        <f>IF(INDEX(TransTypes[],Transactions[[#This Row],[TTR]],TT_COL_GLFlag)=1,Transactions[[#This Row],[CalCashImpact]]+Transactions[[#This Row],[CostImpact]],0)</f>
        <v>0</v>
      </c>
      <c r="W96" s="66">
        <f>Transactions[[#This Row],[Amount]]*INDEX(TransTypes[],Transactions[[#This Row],[TTR]],TT_COL_AmntSign)</f>
        <v>-15.52</v>
      </c>
      <c r="X96" s="66">
        <f>IF(INDEX(TransTypes[],Transactions[[#This Row],[TTR]],TT_COL_LONGORSHORT)="S",
      IF( OR(INDEX(TransTypes[],Transactions[[#This Row],[TTR]],TT_COL_GLFlag)=1, INDEX(TransTypes[], Transactions[[#This Row],[TTR]], TT_COL_ShareTransferFlag)=1),
            Transactions[[#This Row],[CostImpact]]*-1,
            Transactions[[#This Row],[CalCashImpact]]
      ),
     0
)</f>
        <v>0</v>
      </c>
      <c r="Y96" s="67" t="str">
        <f>VLOOKUP(Transactions[[#This Row],[Symbol]],Symbols[], COLUMN(Symbols[Currency])-COLUMN(Symbols[])+1,FALSE)</f>
        <v>USD</v>
      </c>
    </row>
    <row r="97" spans="1:25">
      <c r="A97" s="55" t="s">
        <v>65</v>
      </c>
      <c r="B97" s="56">
        <v>43046</v>
      </c>
      <c r="C97" s="55" t="s">
        <v>123</v>
      </c>
      <c r="D97" s="55"/>
      <c r="E97" s="55" t="s">
        <v>20</v>
      </c>
      <c r="F97" s="57"/>
      <c r="G97" s="58"/>
      <c r="H97" s="57"/>
      <c r="I97" s="57"/>
      <c r="J97" s="68">
        <v>1.62</v>
      </c>
      <c r="K97" s="6" t="s">
        <v>369</v>
      </c>
      <c r="L97" s="20">
        <f>IF(ISNA(MATCH(Transactions[[#This Row],[TransType]],TransTypes[TransType],0)),1,MATCH(Transactions[[#This Row],[TransType]],TransTypes[TransType],0))</f>
        <v>7</v>
      </c>
      <c r="M97" s="60">
        <f>IF( AND( INDEX(TransTypes[],Transactions[[#This Row],[TTR]],TT_COL_GLFlag)=1, INDEX(TransTypes[],Transactions[[#This Row],[TTR]],TT_COL_LONGORSHORT)="S" ),
      Transactions[[#This Row],[PL]],
      IF(INDEX(TransTypes[],Transactions[[#This Row],[TTR]],TT_COL_LONGORSHORT)="S",0,Transactions[[#This Row],[CalCashImpact]])
)</f>
        <v>-1.62</v>
      </c>
      <c r="N97" s="61">
        <f>IF(VLOOKUP(Transactions[[#This Row],[Symbol]],Symbols[],COLUMN(Symbols[Currency])-COLUMN(Symbols[])+1,FALSE)=
       VLOOKUP(Transactions[[#This Row],[Account]],Accounts[],COLUMN(Accounts[Currency])-COLUMN(Accounts[])+1,FALSE),
     Transactions[[#This Row],[OrigCashImpact]],
     0
)</f>
        <v>-1.62</v>
      </c>
      <c r="O9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12404.495759936</v>
      </c>
      <c r="P9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97" s="41">
        <f>ROW()</f>
        <v>97</v>
      </c>
      <c r="S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9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97" s="65">
        <f>IF(INDEX(TransTypes[],Transactions[[#This Row],[TTR]],TT_COL_GLFlag)=1,Transactions[[#This Row],[CalCashImpact]]+Transactions[[#This Row],[CostImpact]],0)</f>
        <v>0</v>
      </c>
      <c r="W97" s="66">
        <f>Transactions[[#This Row],[Amount]]*INDEX(TransTypes[],Transactions[[#This Row],[TTR]],TT_COL_AmntSign)</f>
        <v>-1.62</v>
      </c>
      <c r="X97" s="66">
        <f>IF(INDEX(TransTypes[],Transactions[[#This Row],[TTR]],TT_COL_LONGORSHORT)="S",
      IF( OR(INDEX(TransTypes[],Transactions[[#This Row],[TTR]],TT_COL_GLFlag)=1, INDEX(TransTypes[], Transactions[[#This Row],[TTR]], TT_COL_ShareTransferFlag)=1),
            Transactions[[#This Row],[CostImpact]]*-1,
            Transactions[[#This Row],[CalCashImpact]]
      ),
     0
)</f>
        <v>0</v>
      </c>
      <c r="Y97" s="67" t="str">
        <f>VLOOKUP(Transactions[[#This Row],[Symbol]],Symbols[], COLUMN(Symbols[Currency])-COLUMN(Symbols[])+1,FALSE)</f>
        <v>USD</v>
      </c>
    </row>
    <row r="98" spans="1:25">
      <c r="A98" s="55" t="s">
        <v>65</v>
      </c>
      <c r="B98" s="56">
        <v>43046</v>
      </c>
      <c r="C98" s="55" t="s">
        <v>123</v>
      </c>
      <c r="D98" s="55"/>
      <c r="E98" s="55" t="s">
        <v>20</v>
      </c>
      <c r="F98" s="57"/>
      <c r="G98" s="58"/>
      <c r="H98" s="57"/>
      <c r="I98" s="57"/>
      <c r="J98" s="68">
        <v>14.17</v>
      </c>
      <c r="K98" s="6" t="s">
        <v>370</v>
      </c>
      <c r="L98" s="20">
        <f>IF(ISNA(MATCH(Transactions[[#This Row],[TransType]],TransTypes[TransType],0)),1,MATCH(Transactions[[#This Row],[TransType]],TransTypes[TransType],0))</f>
        <v>7</v>
      </c>
      <c r="M98" s="60">
        <f>IF( AND( INDEX(TransTypes[],Transactions[[#This Row],[TTR]],TT_COL_GLFlag)=1, INDEX(TransTypes[],Transactions[[#This Row],[TTR]],TT_COL_LONGORSHORT)="S" ),
      Transactions[[#This Row],[PL]],
      IF(INDEX(TransTypes[],Transactions[[#This Row],[TTR]],TT_COL_LONGORSHORT)="S",0,Transactions[[#This Row],[CalCashImpact]])
)</f>
        <v>-14.17</v>
      </c>
      <c r="N98" s="61">
        <f>IF(VLOOKUP(Transactions[[#This Row],[Symbol]],Symbols[],COLUMN(Symbols[Currency])-COLUMN(Symbols[])+1,FALSE)=
       VLOOKUP(Transactions[[#This Row],[Account]],Accounts[],COLUMN(Accounts[Currency])-COLUMN(Accounts[])+1,FALSE),
     Transactions[[#This Row],[OrigCashImpact]],
     0
)</f>
        <v>-14.17</v>
      </c>
      <c r="O9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12390.325759936</v>
      </c>
      <c r="P9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98" s="41">
        <f>ROW()</f>
        <v>98</v>
      </c>
      <c r="S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9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98" s="65">
        <f>IF(INDEX(TransTypes[],Transactions[[#This Row],[TTR]],TT_COL_GLFlag)=1,Transactions[[#This Row],[CalCashImpact]]+Transactions[[#This Row],[CostImpact]],0)</f>
        <v>0</v>
      </c>
      <c r="W98" s="66">
        <f>Transactions[[#This Row],[Amount]]*INDEX(TransTypes[],Transactions[[#This Row],[TTR]],TT_COL_AmntSign)</f>
        <v>-14.17</v>
      </c>
      <c r="X98" s="66">
        <f>IF(INDEX(TransTypes[],Transactions[[#This Row],[TTR]],TT_COL_LONGORSHORT)="S",
      IF( OR(INDEX(TransTypes[],Transactions[[#This Row],[TTR]],TT_COL_GLFlag)=1, INDEX(TransTypes[], Transactions[[#This Row],[TTR]], TT_COL_ShareTransferFlag)=1),
            Transactions[[#This Row],[CostImpact]]*-1,
            Transactions[[#This Row],[CalCashImpact]]
      ),
     0
)</f>
        <v>0</v>
      </c>
      <c r="Y98" s="67" t="str">
        <f>VLOOKUP(Transactions[[#This Row],[Symbol]],Symbols[], COLUMN(Symbols[Currency])-COLUMN(Symbols[])+1,FALSE)</f>
        <v>USD</v>
      </c>
    </row>
    <row r="99" spans="1:25">
      <c r="A99" s="55" t="s">
        <v>65</v>
      </c>
      <c r="B99" s="56">
        <v>43047</v>
      </c>
      <c r="C99" s="55" t="s">
        <v>113</v>
      </c>
      <c r="D99" s="55"/>
      <c r="E99" s="55" t="s">
        <v>258</v>
      </c>
      <c r="F99" s="57">
        <v>3000</v>
      </c>
      <c r="G99" s="58">
        <v>35.700000000000003</v>
      </c>
      <c r="H99" s="57">
        <v>307.46339999999998</v>
      </c>
      <c r="I99" s="57"/>
      <c r="J99" s="68">
        <v>107407.46339999999</v>
      </c>
      <c r="K99" s="6"/>
      <c r="L99" s="20">
        <f>IF(ISNA(MATCH(Transactions[[#This Row],[TransType]],TransTypes[TransType],0)),1,MATCH(Transactions[[#This Row],[TransType]],TransTypes[TransType],0))</f>
        <v>2</v>
      </c>
      <c r="M99" s="60">
        <f>IF( AND( INDEX(TransTypes[],Transactions[[#This Row],[TTR]],TT_COL_GLFlag)=1, INDEX(TransTypes[],Transactions[[#This Row],[TTR]],TT_COL_LONGORSHORT)="S" ),
      Transactions[[#This Row],[PL]],
      IF(INDEX(TransTypes[],Transactions[[#This Row],[TTR]],TT_COL_LONGORSHORT)="S",0,Transactions[[#This Row],[CalCashImpact]])
)</f>
        <v>-107407.46339999999</v>
      </c>
      <c r="N99" s="61">
        <f>IF(VLOOKUP(Transactions[[#This Row],[Symbol]],Symbols[],COLUMN(Symbols[Currency])-COLUMN(Symbols[])+1,FALSE)=
       VLOOKUP(Transactions[[#This Row],[Account]],Accounts[],COLUMN(Accounts[Currency])-COLUMN(Accounts[])+1,FALSE),
     Transactions[[#This Row],[OrigCashImpact]],
     0
)</f>
        <v>0</v>
      </c>
      <c r="O9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12415.885759936</v>
      </c>
      <c r="P9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9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99" s="41">
        <f>ROW()</f>
        <v>99</v>
      </c>
      <c r="S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107407.46339999999</v>
      </c>
      <c r="T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107407.46339999999</v>
      </c>
      <c r="U9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99" s="65">
        <f>IF(INDEX(TransTypes[],Transactions[[#This Row],[TTR]],TT_COL_GLFlag)=1,Transactions[[#This Row],[CalCashImpact]]+Transactions[[#This Row],[CostImpact]],0)</f>
        <v>0</v>
      </c>
      <c r="W99" s="66">
        <f>Transactions[[#This Row],[Amount]]*INDEX(TransTypes[],Transactions[[#This Row],[TTR]],TT_COL_AmntSign)</f>
        <v>-107407.46339999999</v>
      </c>
      <c r="X99" s="66">
        <f>IF(INDEX(TransTypes[],Transactions[[#This Row],[TTR]],TT_COL_LONGORSHORT)="S",
      IF( OR(INDEX(TransTypes[],Transactions[[#This Row],[TTR]],TT_COL_GLFlag)=1, INDEX(TransTypes[], Transactions[[#This Row],[TTR]], TT_COL_ShareTransferFlag)=1),
            Transactions[[#This Row],[CostImpact]]*-1,
            Transactions[[#This Row],[CalCashImpact]]
      ),
     0
)</f>
        <v>0</v>
      </c>
      <c r="Y99" s="67" t="str">
        <f>VLOOKUP(Transactions[[#This Row],[Symbol]],Symbols[], COLUMN(Symbols[Currency])-COLUMN(Symbols[])+1,FALSE)</f>
        <v>HKD</v>
      </c>
    </row>
    <row r="100" spans="1:25">
      <c r="A100" s="55" t="s">
        <v>65</v>
      </c>
      <c r="B100" s="56">
        <v>43048</v>
      </c>
      <c r="C100" s="55" t="s">
        <v>121</v>
      </c>
      <c r="D100" s="55"/>
      <c r="E100" s="55" t="s">
        <v>208</v>
      </c>
      <c r="F100" s="57"/>
      <c r="G100" s="58"/>
      <c r="H100" s="57"/>
      <c r="I100" s="57"/>
      <c r="J100" s="68">
        <v>6</v>
      </c>
      <c r="K100" s="6" t="s">
        <v>371</v>
      </c>
      <c r="L100" s="20">
        <f>IF(ISNA(MATCH(Transactions[[#This Row],[TransType]],TransTypes[TransType],0)),1,MATCH(Transactions[[#This Row],[TransType]],TransTypes[TransType],0))</f>
        <v>6</v>
      </c>
      <c r="M100" s="60">
        <f>IF( AND( INDEX(TransTypes[],Transactions[[#This Row],[TTR]],TT_COL_GLFlag)=1, INDEX(TransTypes[],Transactions[[#This Row],[TTR]],TT_COL_LONGORSHORT)="S" ),
      Transactions[[#This Row],[PL]],
      IF(INDEX(TransTypes[],Transactions[[#This Row],[TTR]],TT_COL_LONGORSHORT)="S",0,Transactions[[#This Row],[CalCashImpact]])
)</f>
        <v>-6</v>
      </c>
      <c r="N100" s="61">
        <f>IF(VLOOKUP(Transactions[[#This Row],[Symbol]],Symbols[],COLUMN(Symbols[Currency])-COLUMN(Symbols[])+1,FALSE)=
       VLOOKUP(Transactions[[#This Row],[Account]],Accounts[],COLUMN(Accounts[Currency])-COLUMN(Accounts[])+1,FALSE),
     Transactions[[#This Row],[OrigCashImpact]],
     0
)</f>
        <v>-6</v>
      </c>
      <c r="O10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12409.885759936</v>
      </c>
      <c r="P10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0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0" s="41">
        <f>ROW()</f>
        <v>100</v>
      </c>
      <c r="S1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00" s="65">
        <f>IF(INDEX(TransTypes[],Transactions[[#This Row],[TTR]],TT_COL_GLFlag)=1,Transactions[[#This Row],[CalCashImpact]]+Transactions[[#This Row],[CostImpact]],0)</f>
        <v>0</v>
      </c>
      <c r="W100" s="66">
        <f>Transactions[[#This Row],[Amount]]*INDEX(TransTypes[],Transactions[[#This Row],[TTR]],TT_COL_AmntSign)</f>
        <v>-6</v>
      </c>
      <c r="X100" s="66">
        <f>IF(INDEX(TransTypes[],Transactions[[#This Row],[TTR]],TT_COL_LONGORSHORT)="S",
      IF( OR(INDEX(TransTypes[],Transactions[[#This Row],[TTR]],TT_COL_GLFlag)=1, INDEX(TransTypes[], Transactions[[#This Row],[TTR]], TT_COL_ShareTransferFlag)=1),
            Transactions[[#This Row],[CostImpact]]*-1,
            Transactions[[#This Row],[CalCashImpact]]
      ),
     0
)</f>
        <v>0</v>
      </c>
      <c r="Y100" s="67" t="str">
        <f>VLOOKUP(Transactions[[#This Row],[Symbol]],Symbols[], COLUMN(Symbols[Currency])-COLUMN(Symbols[])+1,FALSE)</f>
        <v>USD</v>
      </c>
    </row>
    <row r="101" spans="1:25">
      <c r="A101" s="55" t="s">
        <v>65</v>
      </c>
      <c r="B101" s="56">
        <v>43049</v>
      </c>
      <c r="C101" s="55" t="s">
        <v>112</v>
      </c>
      <c r="D101" s="55"/>
      <c r="E101" s="55" t="s">
        <v>208</v>
      </c>
      <c r="F101" s="57"/>
      <c r="G101" s="58"/>
      <c r="H101" s="57"/>
      <c r="I101" s="57"/>
      <c r="J101" s="68">
        <v>1250030</v>
      </c>
      <c r="K101" s="6" t="s">
        <v>337</v>
      </c>
      <c r="L101" s="20">
        <f>IF(ISNA(MATCH(Transactions[[#This Row],[TransType]],TransTypes[TransType],0)),1,MATCH(Transactions[[#This Row],[TransType]],TransTypes[TransType],0))</f>
        <v>1</v>
      </c>
      <c r="M101" s="60">
        <f>IF( AND( INDEX(TransTypes[],Transactions[[#This Row],[TTR]],TT_COL_GLFlag)=1, INDEX(TransTypes[],Transactions[[#This Row],[TTR]],TT_COL_LONGORSHORT)="S" ),
      Transactions[[#This Row],[PL]],
      IF(INDEX(TransTypes[],Transactions[[#This Row],[TTR]],TT_COL_LONGORSHORT)="S",0,Transactions[[#This Row],[CalCashImpact]])
)</f>
        <v>1250030</v>
      </c>
      <c r="N101" s="61">
        <f>IF(VLOOKUP(Transactions[[#This Row],[Symbol]],Symbols[],COLUMN(Symbols[Currency])-COLUMN(Symbols[])+1,FALSE)=
       VLOOKUP(Transactions[[#This Row],[Account]],Accounts[],COLUMN(Accounts[Currency])-COLUMN(Accounts[])+1,FALSE),
     Transactions[[#This Row],[OrigCashImpact]],
     0
)</f>
        <v>1250030</v>
      </c>
      <c r="O10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1262439.8857599359</v>
      </c>
      <c r="P10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0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1" s="41">
        <f>ROW()</f>
        <v>101</v>
      </c>
      <c r="S1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01" s="65">
        <f>IF(INDEX(TransTypes[],Transactions[[#This Row],[TTR]],TT_COL_GLFlag)=1,Transactions[[#This Row],[CalCashImpact]]+Transactions[[#This Row],[CostImpact]],0)</f>
        <v>0</v>
      </c>
      <c r="W101" s="66">
        <f>Transactions[[#This Row],[Amount]]*INDEX(TransTypes[],Transactions[[#This Row],[TTR]],TT_COL_AmntSign)</f>
        <v>1250030</v>
      </c>
      <c r="X101" s="66">
        <f>IF(INDEX(TransTypes[],Transactions[[#This Row],[TTR]],TT_COL_LONGORSHORT)="S",
      IF( OR(INDEX(TransTypes[],Transactions[[#This Row],[TTR]],TT_COL_GLFlag)=1, INDEX(TransTypes[], Transactions[[#This Row],[TTR]], TT_COL_ShareTransferFlag)=1),
            Transactions[[#This Row],[CostImpact]]*-1,
            Transactions[[#This Row],[CalCashImpact]]
      ),
     0
)</f>
        <v>0</v>
      </c>
      <c r="Y101" s="67" t="str">
        <f>VLOOKUP(Transactions[[#This Row],[Symbol]],Symbols[], COLUMN(Symbols[Currency])-COLUMN(Symbols[])+1,FALSE)</f>
        <v>USD</v>
      </c>
    </row>
    <row r="102" spans="1:25">
      <c r="A102" s="55" t="s">
        <v>65</v>
      </c>
      <c r="B102" s="56">
        <v>43049</v>
      </c>
      <c r="C102" s="55" t="s">
        <v>121</v>
      </c>
      <c r="D102" s="55"/>
      <c r="E102" s="55" t="s">
        <v>208</v>
      </c>
      <c r="F102" s="57"/>
      <c r="G102" s="58"/>
      <c r="H102" s="57"/>
      <c r="I102" s="57"/>
      <c r="J102" s="68">
        <v>6</v>
      </c>
      <c r="K102" s="6" t="s">
        <v>371</v>
      </c>
      <c r="L102" s="20">
        <f>IF(ISNA(MATCH(Transactions[[#This Row],[TransType]],TransTypes[TransType],0)),1,MATCH(Transactions[[#This Row],[TransType]],TransTypes[TransType],0))</f>
        <v>6</v>
      </c>
      <c r="M102" s="60">
        <f>IF( AND( INDEX(TransTypes[],Transactions[[#This Row],[TTR]],TT_COL_GLFlag)=1, INDEX(TransTypes[],Transactions[[#This Row],[TTR]],TT_COL_LONGORSHORT)="S" ),
      Transactions[[#This Row],[PL]],
      IF(INDEX(TransTypes[],Transactions[[#This Row],[TTR]],TT_COL_LONGORSHORT)="S",0,Transactions[[#This Row],[CalCashImpact]])
)</f>
        <v>-6</v>
      </c>
      <c r="N102" s="61">
        <f>IF(VLOOKUP(Transactions[[#This Row],[Symbol]],Symbols[],COLUMN(Symbols[Currency])-COLUMN(Symbols[])+1,FALSE)=
       VLOOKUP(Transactions[[#This Row],[Account]],Accounts[],COLUMN(Accounts[Currency])-COLUMN(Accounts[])+1,FALSE),
     Transactions[[#This Row],[OrigCashImpact]],
     0
)</f>
        <v>-6</v>
      </c>
      <c r="O10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1262433.8857599359</v>
      </c>
      <c r="P10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0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2" s="41">
        <f>ROW()</f>
        <v>102</v>
      </c>
      <c r="S1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02" s="65">
        <f>IF(INDEX(TransTypes[],Transactions[[#This Row],[TTR]],TT_COL_GLFlag)=1,Transactions[[#This Row],[CalCashImpact]]+Transactions[[#This Row],[CostImpact]],0)</f>
        <v>0</v>
      </c>
      <c r="W102" s="66">
        <f>Transactions[[#This Row],[Amount]]*INDEX(TransTypes[],Transactions[[#This Row],[TTR]],TT_COL_AmntSign)</f>
        <v>-6</v>
      </c>
      <c r="X102" s="66">
        <f>IF(INDEX(TransTypes[],Transactions[[#This Row],[TTR]],TT_COL_LONGORSHORT)="S",
      IF( OR(INDEX(TransTypes[],Transactions[[#This Row],[TTR]],TT_COL_GLFlag)=1, INDEX(TransTypes[], Transactions[[#This Row],[TTR]], TT_COL_ShareTransferFlag)=1),
            Transactions[[#This Row],[CostImpact]]*-1,
            Transactions[[#This Row],[CalCashImpact]]
      ),
     0
)</f>
        <v>0</v>
      </c>
      <c r="Y102" s="67" t="str">
        <f>VLOOKUP(Transactions[[#This Row],[Symbol]],Symbols[], COLUMN(Symbols[Currency])-COLUMN(Symbols[])+1,FALSE)</f>
        <v>USD</v>
      </c>
    </row>
    <row r="103" spans="1:25">
      <c r="A103" s="55" t="s">
        <v>65</v>
      </c>
      <c r="B103" s="56">
        <v>43049</v>
      </c>
      <c r="C103" s="55" t="s">
        <v>121</v>
      </c>
      <c r="D103" s="55"/>
      <c r="E103" s="55" t="s">
        <v>208</v>
      </c>
      <c r="F103" s="57"/>
      <c r="G103" s="58"/>
      <c r="H103" s="57"/>
      <c r="I103" s="57"/>
      <c r="J103" s="68">
        <v>-6</v>
      </c>
      <c r="K103" s="6" t="s">
        <v>371</v>
      </c>
      <c r="L103" s="20">
        <f>IF(ISNA(MATCH(Transactions[[#This Row],[TransType]],TransTypes[TransType],0)),1,MATCH(Transactions[[#This Row],[TransType]],TransTypes[TransType],0))</f>
        <v>6</v>
      </c>
      <c r="M103" s="60">
        <f>IF( AND( INDEX(TransTypes[],Transactions[[#This Row],[TTR]],TT_COL_GLFlag)=1, INDEX(TransTypes[],Transactions[[#This Row],[TTR]],TT_COL_LONGORSHORT)="S" ),
      Transactions[[#This Row],[PL]],
      IF(INDEX(TransTypes[],Transactions[[#This Row],[TTR]],TT_COL_LONGORSHORT)="S",0,Transactions[[#This Row],[CalCashImpact]])
)</f>
        <v>6</v>
      </c>
      <c r="N103" s="61">
        <f>IF(VLOOKUP(Transactions[[#This Row],[Symbol]],Symbols[],COLUMN(Symbols[Currency])-COLUMN(Symbols[])+1,FALSE)=
       VLOOKUP(Transactions[[#This Row],[Account]],Accounts[],COLUMN(Accounts[Currency])-COLUMN(Accounts[])+1,FALSE),
     Transactions[[#This Row],[OrigCashImpact]],
     0
)</f>
        <v>6</v>
      </c>
      <c r="O10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1262439.8857599359</v>
      </c>
      <c r="P10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0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3" s="41">
        <f>ROW()</f>
        <v>103</v>
      </c>
      <c r="S1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03" s="65">
        <f>IF(INDEX(TransTypes[],Transactions[[#This Row],[TTR]],TT_COL_GLFlag)=1,Transactions[[#This Row],[CalCashImpact]]+Transactions[[#This Row],[CostImpact]],0)</f>
        <v>0</v>
      </c>
      <c r="W103" s="66">
        <f>Transactions[[#This Row],[Amount]]*INDEX(TransTypes[],Transactions[[#This Row],[TTR]],TT_COL_AmntSign)</f>
        <v>6</v>
      </c>
      <c r="X103" s="66">
        <f>IF(INDEX(TransTypes[],Transactions[[#This Row],[TTR]],TT_COL_LONGORSHORT)="S",
      IF( OR(INDEX(TransTypes[],Transactions[[#This Row],[TTR]],TT_COL_GLFlag)=1, INDEX(TransTypes[], Transactions[[#This Row],[TTR]], TT_COL_ShareTransferFlag)=1),
            Transactions[[#This Row],[CostImpact]]*-1,
            Transactions[[#This Row],[CalCashImpact]]
      ),
     0
)</f>
        <v>0</v>
      </c>
      <c r="Y103" s="67" t="str">
        <f>VLOOKUP(Transactions[[#This Row],[Symbol]],Symbols[], COLUMN(Symbols[Currency])-COLUMN(Symbols[])+1,FALSE)</f>
        <v>USD</v>
      </c>
    </row>
    <row r="104" spans="1:25">
      <c r="A104" s="55" t="s">
        <v>65</v>
      </c>
      <c r="B104" s="56">
        <v>43051</v>
      </c>
      <c r="C104" s="55" t="s">
        <v>113</v>
      </c>
      <c r="D104" s="55"/>
      <c r="E104" s="55" t="s">
        <v>258</v>
      </c>
      <c r="F104" s="57">
        <v>1000</v>
      </c>
      <c r="G104" s="58">
        <v>37.25</v>
      </c>
      <c r="H104" s="57">
        <v>107.8115</v>
      </c>
      <c r="I104" s="57"/>
      <c r="J104" s="68">
        <v>37357.811500000003</v>
      </c>
      <c r="K104" s="6"/>
      <c r="L104" s="20">
        <f>IF(ISNA(MATCH(Transactions[[#This Row],[TransType]],TransTypes[TransType],0)),1,MATCH(Transactions[[#This Row],[TransType]],TransTypes[TransType],0))</f>
        <v>2</v>
      </c>
      <c r="M104" s="60">
        <f>IF( AND( INDEX(TransTypes[],Transactions[[#This Row],[TTR]],TT_COL_GLFlag)=1, INDEX(TransTypes[],Transactions[[#This Row],[TTR]],TT_COL_LONGORSHORT)="S" ),
      Transactions[[#This Row],[PL]],
      IF(INDEX(TransTypes[],Transactions[[#This Row],[TTR]],TT_COL_LONGORSHORT)="S",0,Transactions[[#This Row],[CalCashImpact]])
)</f>
        <v>-37357.811500000003</v>
      </c>
      <c r="N104" s="61">
        <f>IF(VLOOKUP(Transactions[[#This Row],[Symbol]],Symbols[],COLUMN(Symbols[Currency])-COLUMN(Symbols[])+1,FALSE)=
       VLOOKUP(Transactions[[#This Row],[Account]],Accounts[],COLUMN(Accounts[Currency])-COLUMN(Accounts[])+1,FALSE),
     Transactions[[#This Row],[OrigCashImpact]],
     0
)</f>
        <v>0</v>
      </c>
      <c r="O10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1262439.8857599359</v>
      </c>
      <c r="P10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04" s="41">
        <f>ROW()</f>
        <v>104</v>
      </c>
      <c r="S1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37357.811500000003</v>
      </c>
      <c r="T1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144765.27489999999</v>
      </c>
      <c r="U10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4" s="65">
        <f>IF(INDEX(TransTypes[],Transactions[[#This Row],[TTR]],TT_COL_GLFlag)=1,Transactions[[#This Row],[CalCashImpact]]+Transactions[[#This Row],[CostImpact]],0)</f>
        <v>0</v>
      </c>
      <c r="W104" s="66">
        <f>Transactions[[#This Row],[Amount]]*INDEX(TransTypes[],Transactions[[#This Row],[TTR]],TT_COL_AmntSign)</f>
        <v>-37357.811500000003</v>
      </c>
      <c r="X104" s="66">
        <f>IF(INDEX(TransTypes[],Transactions[[#This Row],[TTR]],TT_COL_LONGORSHORT)="S",
      IF( OR(INDEX(TransTypes[],Transactions[[#This Row],[TTR]],TT_COL_GLFlag)=1, INDEX(TransTypes[], Transactions[[#This Row],[TTR]], TT_COL_ShareTransferFlag)=1),
            Transactions[[#This Row],[CostImpact]]*-1,
            Transactions[[#This Row],[CalCashImpact]]
      ),
     0
)</f>
        <v>0</v>
      </c>
      <c r="Y104" s="67" t="str">
        <f>VLOOKUP(Transactions[[#This Row],[Symbol]],Symbols[], COLUMN(Symbols[Currency])-COLUMN(Symbols[])+1,FALSE)</f>
        <v>HKD</v>
      </c>
    </row>
    <row r="105" spans="1:25">
      <c r="A105" s="55" t="s">
        <v>65</v>
      </c>
      <c r="B105" s="56">
        <v>43051</v>
      </c>
      <c r="C105" s="55" t="s">
        <v>113</v>
      </c>
      <c r="D105" s="55"/>
      <c r="E105" s="55" t="s">
        <v>266</v>
      </c>
      <c r="F105" s="57">
        <v>2000</v>
      </c>
      <c r="G105" s="58">
        <v>40.299999999999997</v>
      </c>
      <c r="H105" s="57">
        <v>234.83240000000001</v>
      </c>
      <c r="I105" s="57"/>
      <c r="J105" s="68">
        <v>80834.832399999999</v>
      </c>
      <c r="K105" s="6"/>
      <c r="L105" s="20">
        <f>IF(ISNA(MATCH(Transactions[[#This Row],[TransType]],TransTypes[TransType],0)),1,MATCH(Transactions[[#This Row],[TransType]],TransTypes[TransType],0))</f>
        <v>2</v>
      </c>
      <c r="M105" s="60">
        <f>IF( AND( INDEX(TransTypes[],Transactions[[#This Row],[TTR]],TT_COL_GLFlag)=1, INDEX(TransTypes[],Transactions[[#This Row],[TTR]],TT_COL_LONGORSHORT)="S" ),
      Transactions[[#This Row],[PL]],
      IF(INDEX(TransTypes[],Transactions[[#This Row],[TTR]],TT_COL_LONGORSHORT)="S",0,Transactions[[#This Row],[CalCashImpact]])
)</f>
        <v>-80834.832399999999</v>
      </c>
      <c r="N105" s="61">
        <f>IF(VLOOKUP(Transactions[[#This Row],[Symbol]],Symbols[],COLUMN(Symbols[Currency])-COLUMN(Symbols[])+1,FALSE)=
       VLOOKUP(Transactions[[#This Row],[Account]],Accounts[],COLUMN(Accounts[Currency])-COLUMN(Accounts[])+1,FALSE),
     Transactions[[#This Row],[OrigCashImpact]],
     0
)</f>
        <v>0</v>
      </c>
      <c r="O10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1262439.8857599359</v>
      </c>
      <c r="P10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05" s="41">
        <f>ROW()</f>
        <v>105</v>
      </c>
      <c r="S1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80834.832399999999</v>
      </c>
      <c r="T1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275394.50839999999</v>
      </c>
      <c r="U10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05" s="65">
        <f>IF(INDEX(TransTypes[],Transactions[[#This Row],[TTR]],TT_COL_GLFlag)=1,Transactions[[#This Row],[CalCashImpact]]+Transactions[[#This Row],[CostImpact]],0)</f>
        <v>0</v>
      </c>
      <c r="W105" s="66">
        <f>Transactions[[#This Row],[Amount]]*INDEX(TransTypes[],Transactions[[#This Row],[TTR]],TT_COL_AmntSign)</f>
        <v>-80834.832399999999</v>
      </c>
      <c r="X105" s="66">
        <f>IF(INDEX(TransTypes[],Transactions[[#This Row],[TTR]],TT_COL_LONGORSHORT)="S",
      IF( OR(INDEX(TransTypes[],Transactions[[#This Row],[TTR]],TT_COL_GLFlag)=1, INDEX(TransTypes[], Transactions[[#This Row],[TTR]], TT_COL_ShareTransferFlag)=1),
            Transactions[[#This Row],[CostImpact]]*-1,
            Transactions[[#This Row],[CalCashImpact]]
      ),
     0
)</f>
        <v>0</v>
      </c>
      <c r="Y105" s="67" t="str">
        <f>VLOOKUP(Transactions[[#This Row],[Symbol]],Symbols[], COLUMN(Symbols[Currency])-COLUMN(Symbols[])+1,FALSE)</f>
        <v>HKD</v>
      </c>
    </row>
    <row r="106" spans="1:25">
      <c r="A106" s="55" t="s">
        <v>65</v>
      </c>
      <c r="B106" s="56">
        <v>43051</v>
      </c>
      <c r="C106" s="55" t="s">
        <v>113</v>
      </c>
      <c r="D106" s="55"/>
      <c r="E106" s="55" t="s">
        <v>270</v>
      </c>
      <c r="F106" s="57">
        <v>9500</v>
      </c>
      <c r="G106" s="58">
        <v>18.78</v>
      </c>
      <c r="H106" s="57">
        <v>510.36214000000001</v>
      </c>
      <c r="I106" s="57"/>
      <c r="J106" s="68">
        <v>178920.36214000001</v>
      </c>
      <c r="K106" s="6"/>
      <c r="L106" s="20">
        <f>IF(ISNA(MATCH(Transactions[[#This Row],[TransType]],TransTypes[TransType],0)),1,MATCH(Transactions[[#This Row],[TransType]],TransTypes[TransType],0))</f>
        <v>2</v>
      </c>
      <c r="M106" s="60">
        <f>IF( AND( INDEX(TransTypes[],Transactions[[#This Row],[TTR]],TT_COL_GLFlag)=1, INDEX(TransTypes[],Transactions[[#This Row],[TTR]],TT_COL_LONGORSHORT)="S" ),
      Transactions[[#This Row],[PL]],
      IF(INDEX(TransTypes[],Transactions[[#This Row],[TTR]],TT_COL_LONGORSHORT)="S",0,Transactions[[#This Row],[CalCashImpact]])
)</f>
        <v>-178920.36214000001</v>
      </c>
      <c r="N106" s="61">
        <f>IF(VLOOKUP(Transactions[[#This Row],[Symbol]],Symbols[],COLUMN(Symbols[Currency])-COLUMN(Symbols[])+1,FALSE)=
       VLOOKUP(Transactions[[#This Row],[Account]],Accounts[],COLUMN(Accounts[Currency])-COLUMN(Accounts[])+1,FALSE),
     Transactions[[#This Row],[OrigCashImpact]],
     0
)</f>
        <v>0</v>
      </c>
      <c r="O10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1262439.8857599359</v>
      </c>
      <c r="P10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9500</v>
      </c>
      <c r="Q10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38000</v>
      </c>
      <c r="R106" s="41">
        <f>ROW()</f>
        <v>106</v>
      </c>
      <c r="S1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178920.36214000001</v>
      </c>
      <c r="T1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661261.10197999992</v>
      </c>
      <c r="U10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38000</v>
      </c>
      <c r="V106" s="65">
        <f>IF(INDEX(TransTypes[],Transactions[[#This Row],[TTR]],TT_COL_GLFlag)=1,Transactions[[#This Row],[CalCashImpact]]+Transactions[[#This Row],[CostImpact]],0)</f>
        <v>0</v>
      </c>
      <c r="W106" s="66">
        <f>Transactions[[#This Row],[Amount]]*INDEX(TransTypes[],Transactions[[#This Row],[TTR]],TT_COL_AmntSign)</f>
        <v>-178920.36214000001</v>
      </c>
      <c r="X106" s="66">
        <f>IF(INDEX(TransTypes[],Transactions[[#This Row],[TTR]],TT_COL_LONGORSHORT)="S",
      IF( OR(INDEX(TransTypes[],Transactions[[#This Row],[TTR]],TT_COL_GLFlag)=1, INDEX(TransTypes[], Transactions[[#This Row],[TTR]], TT_COL_ShareTransferFlag)=1),
            Transactions[[#This Row],[CostImpact]]*-1,
            Transactions[[#This Row],[CalCashImpact]]
      ),
     0
)</f>
        <v>0</v>
      </c>
      <c r="Y106" s="67" t="str">
        <f>VLOOKUP(Transactions[[#This Row],[Symbol]],Symbols[], COLUMN(Symbols[Currency])-COLUMN(Symbols[])+1,FALSE)</f>
        <v>HKD</v>
      </c>
    </row>
    <row r="107" spans="1:25">
      <c r="A107" s="55" t="s">
        <v>65</v>
      </c>
      <c r="B107" s="56">
        <v>43051</v>
      </c>
      <c r="C107" s="55" t="s">
        <v>115</v>
      </c>
      <c r="D107" s="55"/>
      <c r="E107" s="55" t="s">
        <v>273</v>
      </c>
      <c r="F107" s="57">
        <v>600</v>
      </c>
      <c r="G107" s="58">
        <v>29.15</v>
      </c>
      <c r="H107" s="57">
        <v>54.944459999999999</v>
      </c>
      <c r="I107" s="57"/>
      <c r="J107" s="68">
        <v>17435.055540000001</v>
      </c>
      <c r="K107" s="6"/>
      <c r="L107" s="20">
        <f>IF(ISNA(MATCH(Transactions[[#This Row],[TransType]],TransTypes[TransType],0)),1,MATCH(Transactions[[#This Row],[TransType]],TransTypes[TransType],0))</f>
        <v>3</v>
      </c>
      <c r="M107" s="60">
        <f>IF( AND( INDEX(TransTypes[],Transactions[[#This Row],[TTR]],TT_COL_GLFlag)=1, INDEX(TransTypes[],Transactions[[#This Row],[TTR]],TT_COL_LONGORSHORT)="S" ),
      Transactions[[#This Row],[PL]],
      IF(INDEX(TransTypes[],Transactions[[#This Row],[TTR]],TT_COL_LONGORSHORT)="S",0,Transactions[[#This Row],[CalCashImpact]])
)</f>
        <v>17435.055540000001</v>
      </c>
      <c r="N107" s="61">
        <f>IF(VLOOKUP(Transactions[[#This Row],[Symbol]],Symbols[],COLUMN(Symbols[Currency])-COLUMN(Symbols[])+1,FALSE)=
       VLOOKUP(Transactions[[#This Row],[Account]],Accounts[],COLUMN(Accounts[Currency])-COLUMN(Accounts[])+1,FALSE),
     Transactions[[#This Row],[OrigCashImpact]],
     0
)</f>
        <v>0</v>
      </c>
      <c r="O10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1262439.8857599359</v>
      </c>
      <c r="P10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v>
      </c>
      <c r="Q10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19400</v>
      </c>
      <c r="R107" s="41">
        <f>ROW()</f>
        <v>107</v>
      </c>
      <c r="S1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-15599.84397</v>
      </c>
      <c r="T1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504394.95503000001</v>
      </c>
      <c r="U10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07" s="65">
        <f>IF(INDEX(TransTypes[],Transactions[[#This Row],[TTR]],TT_COL_GLFlag)=1,Transactions[[#This Row],[CalCashImpact]]+Transactions[[#This Row],[CostImpact]],0)</f>
        <v>1835.2115700000013</v>
      </c>
      <c r="W107" s="66">
        <f>Transactions[[#This Row],[Amount]]*INDEX(TransTypes[],Transactions[[#This Row],[TTR]],TT_COL_AmntSign)</f>
        <v>17435.055540000001</v>
      </c>
      <c r="X107" s="66">
        <f>IF(INDEX(TransTypes[],Transactions[[#This Row],[TTR]],TT_COL_LONGORSHORT)="S",
      IF( OR(INDEX(TransTypes[],Transactions[[#This Row],[TTR]],TT_COL_GLFlag)=1, INDEX(TransTypes[], Transactions[[#This Row],[TTR]], TT_COL_ShareTransferFlag)=1),
            Transactions[[#This Row],[CostImpact]]*-1,
            Transactions[[#This Row],[CalCashImpact]]
      ),
     0
)</f>
        <v>0</v>
      </c>
      <c r="Y107" s="67" t="str">
        <f>VLOOKUP(Transactions[[#This Row],[Symbol]],Symbols[], COLUMN(Symbols[Currency])-COLUMN(Symbols[])+1,FALSE)</f>
        <v>HKD</v>
      </c>
    </row>
    <row r="108" spans="1:25">
      <c r="A108" s="55" t="s">
        <v>65</v>
      </c>
      <c r="B108" s="56">
        <v>43051</v>
      </c>
      <c r="C108" s="55" t="s">
        <v>152</v>
      </c>
      <c r="D108" s="55"/>
      <c r="E108" s="55" t="s">
        <v>210</v>
      </c>
      <c r="F108" s="57">
        <v>33965</v>
      </c>
      <c r="G108" s="58">
        <v>7.8025200000000003</v>
      </c>
      <c r="H108" s="57"/>
      <c r="I108" s="57"/>
      <c r="J108" s="68">
        <v>265012.59179999999</v>
      </c>
      <c r="K108" s="6"/>
      <c r="L108" s="20">
        <f>IF(ISNA(MATCH(Transactions[[#This Row],[TransType]],TransTypes[TransType],0)),1,MATCH(Transactions[[#This Row],[TransType]],TransTypes[TransType],0))</f>
        <v>15</v>
      </c>
      <c r="M108" s="60">
        <f>IF( AND( INDEX(TransTypes[],Transactions[[#This Row],[TTR]],TT_COL_GLFlag)=1, INDEX(TransTypes[],Transactions[[#This Row],[TTR]],TT_COL_LONGORSHORT)="S" ),
      Transactions[[#This Row],[PL]],
      IF(INDEX(TransTypes[],Transactions[[#This Row],[TTR]],TT_COL_LONGORSHORT)="S",0,Transactions[[#This Row],[CalCashImpact]])
)</f>
        <v>265012.59179999999</v>
      </c>
      <c r="N108" s="61">
        <f>IF(VLOOKUP(Transactions[[#This Row],[Symbol]],Symbols[],COLUMN(Symbols[Currency])-COLUMN(Symbols[])+1,FALSE)=
       VLOOKUP(Transactions[[#This Row],[Account]],Accounts[],COLUMN(Accounts[Currency])-COLUMN(Accounts[])+1,FALSE),
     Transactions[[#This Row],[OrigCashImpact]],
     0
)</f>
        <v>0</v>
      </c>
      <c r="O10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1262439.8857599359</v>
      </c>
      <c r="P10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0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8" s="41">
        <f>ROW()</f>
        <v>108</v>
      </c>
      <c r="S1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08" s="65">
        <f>IF(INDEX(TransTypes[],Transactions[[#This Row],[TTR]],TT_COL_GLFlag)=1,Transactions[[#This Row],[CalCashImpact]]+Transactions[[#This Row],[CostImpact]],0)</f>
        <v>0</v>
      </c>
      <c r="W108" s="66">
        <f>Transactions[[#This Row],[Amount]]*INDEX(TransTypes[],Transactions[[#This Row],[TTR]],TT_COL_AmntSign)</f>
        <v>265012.59179999999</v>
      </c>
      <c r="X108" s="66">
        <f>IF(INDEX(TransTypes[],Transactions[[#This Row],[TTR]],TT_COL_LONGORSHORT)="S",
      IF( OR(INDEX(TransTypes[],Transactions[[#This Row],[TTR]],TT_COL_GLFlag)=1, INDEX(TransTypes[], Transactions[[#This Row],[TTR]], TT_COL_ShareTransferFlag)=1),
            Transactions[[#This Row],[CostImpact]]*-1,
            Transactions[[#This Row],[CalCashImpact]]
      ),
     0
)</f>
        <v>0</v>
      </c>
      <c r="Y108" s="67" t="str">
        <f>VLOOKUP(Transactions[[#This Row],[Symbol]],Symbols[], COLUMN(Symbols[Currency])-COLUMN(Symbols[])+1,FALSE)</f>
        <v>HKD</v>
      </c>
    </row>
    <row r="109" spans="1:25">
      <c r="A109" s="55" t="s">
        <v>65</v>
      </c>
      <c r="B109" s="56">
        <v>43051</v>
      </c>
      <c r="C109" s="55" t="s">
        <v>238</v>
      </c>
      <c r="D109" s="55"/>
      <c r="E109" s="55" t="s">
        <v>208</v>
      </c>
      <c r="F109" s="57">
        <v>33965</v>
      </c>
      <c r="G109" s="58">
        <v>1</v>
      </c>
      <c r="H109" s="57">
        <v>2</v>
      </c>
      <c r="I109" s="57"/>
      <c r="J109" s="68">
        <v>33967</v>
      </c>
      <c r="K109" s="6" t="s">
        <v>372</v>
      </c>
      <c r="L109" s="20">
        <f>IF(ISNA(MATCH(Transactions[[#This Row],[TransType]],TransTypes[TransType],0)),1,MATCH(Transactions[[#This Row],[TransType]],TransTypes[TransType],0))</f>
        <v>16</v>
      </c>
      <c r="M109" s="60">
        <f>IF( AND( INDEX(TransTypes[],Transactions[[#This Row],[TTR]],TT_COL_GLFlag)=1, INDEX(TransTypes[],Transactions[[#This Row],[TTR]],TT_COL_LONGORSHORT)="S" ),
      Transactions[[#This Row],[PL]],
      IF(INDEX(TransTypes[],Transactions[[#This Row],[TTR]],TT_COL_LONGORSHORT)="S",0,Transactions[[#This Row],[CalCashImpact]])
)</f>
        <v>-33967</v>
      </c>
      <c r="N109" s="61">
        <f>IF(VLOOKUP(Transactions[[#This Row],[Symbol]],Symbols[],COLUMN(Symbols[Currency])-COLUMN(Symbols[])+1,FALSE)=
       VLOOKUP(Transactions[[#This Row],[Account]],Accounts[],COLUMN(Accounts[Currency])-COLUMN(Accounts[])+1,FALSE),
     Transactions[[#This Row],[OrigCashImpact]],
     0
)</f>
        <v>-33967</v>
      </c>
      <c r="O10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1228472.8857599359</v>
      </c>
      <c r="P10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0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9" s="41">
        <f>ROW()</f>
        <v>109</v>
      </c>
      <c r="S1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09" s="65">
        <f>IF(INDEX(TransTypes[],Transactions[[#This Row],[TTR]],TT_COL_GLFlag)=1,Transactions[[#This Row],[CalCashImpact]]+Transactions[[#This Row],[CostImpact]],0)</f>
        <v>0</v>
      </c>
      <c r="W109" s="66">
        <f>Transactions[[#This Row],[Amount]]*INDEX(TransTypes[],Transactions[[#This Row],[TTR]],TT_COL_AmntSign)</f>
        <v>-33967</v>
      </c>
      <c r="X109" s="66">
        <f>IF(INDEX(TransTypes[],Transactions[[#This Row],[TTR]],TT_COL_LONGORSHORT)="S",
      IF( OR(INDEX(TransTypes[],Transactions[[#This Row],[TTR]],TT_COL_GLFlag)=1, INDEX(TransTypes[], Transactions[[#This Row],[TTR]], TT_COL_ShareTransferFlag)=1),
            Transactions[[#This Row],[CostImpact]]*-1,
            Transactions[[#This Row],[CalCashImpact]]
      ),
     0
)</f>
        <v>0</v>
      </c>
      <c r="Y109" s="67" t="str">
        <f>VLOOKUP(Transactions[[#This Row],[Symbol]],Symbols[], COLUMN(Symbols[Currency])-COLUMN(Symbols[])+1,FALSE)</f>
        <v>USD</v>
      </c>
    </row>
    <row r="110" spans="1:25">
      <c r="A110" s="55" t="s">
        <v>65</v>
      </c>
      <c r="B110" s="56">
        <v>43052</v>
      </c>
      <c r="C110" s="55" t="s">
        <v>113</v>
      </c>
      <c r="D110" s="55"/>
      <c r="E110" s="55" t="s">
        <v>278</v>
      </c>
      <c r="F110" s="57">
        <v>50</v>
      </c>
      <c r="G110" s="58">
        <v>1138.22</v>
      </c>
      <c r="H110" s="57">
        <v>1</v>
      </c>
      <c r="I110" s="57"/>
      <c r="J110" s="68">
        <v>56912</v>
      </c>
      <c r="K110" s="6"/>
      <c r="L110" s="20">
        <f>IF(ISNA(MATCH(Transactions[[#This Row],[TransType]],TransTypes[TransType],0)),1,MATCH(Transactions[[#This Row],[TransType]],TransTypes[TransType],0))</f>
        <v>2</v>
      </c>
      <c r="M110" s="60">
        <f>IF( AND( INDEX(TransTypes[],Transactions[[#This Row],[TTR]],TT_COL_GLFlag)=1, INDEX(TransTypes[],Transactions[[#This Row],[TTR]],TT_COL_LONGORSHORT)="S" ),
      Transactions[[#This Row],[PL]],
      IF(INDEX(TransTypes[],Transactions[[#This Row],[TTR]],TT_COL_LONGORSHORT)="S",0,Transactions[[#This Row],[CalCashImpact]])
)</f>
        <v>-56912</v>
      </c>
      <c r="N110" s="61">
        <f>IF(VLOOKUP(Transactions[[#This Row],[Symbol]],Symbols[],COLUMN(Symbols[Currency])-COLUMN(Symbols[])+1,FALSE)=
       VLOOKUP(Transactions[[#This Row],[Account]],Accounts[],COLUMN(Accounts[Currency])-COLUMN(Accounts[])+1,FALSE),
     Transactions[[#This Row],[OrigCashImpact]],
     0
)</f>
        <v>-56912</v>
      </c>
      <c r="O11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1171560.8857599359</v>
      </c>
      <c r="P11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v>
      </c>
      <c r="Q11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v>
      </c>
      <c r="R110" s="41">
        <f>ROW()</f>
        <v>110</v>
      </c>
      <c r="S1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56912</v>
      </c>
      <c r="T1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76183.399999999994</v>
      </c>
      <c r="U11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v>
      </c>
      <c r="V110" s="65">
        <f>IF(INDEX(TransTypes[],Transactions[[#This Row],[TTR]],TT_COL_GLFlag)=1,Transactions[[#This Row],[CalCashImpact]]+Transactions[[#This Row],[CostImpact]],0)</f>
        <v>0</v>
      </c>
      <c r="W110" s="66">
        <f>Transactions[[#This Row],[Amount]]*INDEX(TransTypes[],Transactions[[#This Row],[TTR]],TT_COL_AmntSign)</f>
        <v>-56912</v>
      </c>
      <c r="X110" s="66">
        <f>IF(INDEX(TransTypes[],Transactions[[#This Row],[TTR]],TT_COL_LONGORSHORT)="S",
      IF( OR(INDEX(TransTypes[],Transactions[[#This Row],[TTR]],TT_COL_GLFlag)=1, INDEX(TransTypes[], Transactions[[#This Row],[TTR]], TT_COL_ShareTransferFlag)=1),
            Transactions[[#This Row],[CostImpact]]*-1,
            Transactions[[#This Row],[CalCashImpact]]
      ),
     0
)</f>
        <v>0</v>
      </c>
      <c r="Y110" s="67" t="str">
        <f>VLOOKUP(Transactions[[#This Row],[Symbol]],Symbols[], COLUMN(Symbols[Currency])-COLUMN(Symbols[])+1,FALSE)</f>
        <v>USD</v>
      </c>
    </row>
    <row r="111" spans="1:25">
      <c r="A111" s="55" t="s">
        <v>65</v>
      </c>
      <c r="B111" s="56">
        <v>43052</v>
      </c>
      <c r="C111" s="55" t="s">
        <v>113</v>
      </c>
      <c r="D111" s="55"/>
      <c r="E111" s="55" t="s">
        <v>285</v>
      </c>
      <c r="F111" s="57">
        <v>1100</v>
      </c>
      <c r="G111" s="58">
        <v>114.5895</v>
      </c>
      <c r="H111" s="57">
        <v>4.8</v>
      </c>
      <c r="I111" s="57"/>
      <c r="J111" s="68">
        <v>126053.25</v>
      </c>
      <c r="K111" s="6"/>
      <c r="L111" s="20">
        <f>IF(ISNA(MATCH(Transactions[[#This Row],[TransType]],TransTypes[TransType],0)),1,MATCH(Transactions[[#This Row],[TransType]],TransTypes[TransType],0))</f>
        <v>2</v>
      </c>
      <c r="M111" s="60">
        <f>IF( AND( INDEX(TransTypes[],Transactions[[#This Row],[TTR]],TT_COL_GLFlag)=1, INDEX(TransTypes[],Transactions[[#This Row],[TTR]],TT_COL_LONGORSHORT)="S" ),
      Transactions[[#This Row],[PL]],
      IF(INDEX(TransTypes[],Transactions[[#This Row],[TTR]],TT_COL_LONGORSHORT)="S",0,Transactions[[#This Row],[CalCashImpact]])
)</f>
        <v>-126053.25</v>
      </c>
      <c r="N111" s="61">
        <f>IF(VLOOKUP(Transactions[[#This Row],[Symbol]],Symbols[],COLUMN(Symbols[Currency])-COLUMN(Symbols[])+1,FALSE)=
       VLOOKUP(Transactions[[#This Row],[Account]],Accounts[],COLUMN(Accounts[Currency])-COLUMN(Accounts[])+1,FALSE),
     Transactions[[#This Row],[OrigCashImpact]],
     0
)</f>
        <v>-126053.25</v>
      </c>
      <c r="O11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1045507.6357599359</v>
      </c>
      <c r="P11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1100</v>
      </c>
      <c r="Q11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1100</v>
      </c>
      <c r="R111" s="41">
        <f>ROW()</f>
        <v>111</v>
      </c>
      <c r="S1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126053.25</v>
      </c>
      <c r="T1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126053.25</v>
      </c>
      <c r="U11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v>
      </c>
      <c r="V111" s="65">
        <f>IF(INDEX(TransTypes[],Transactions[[#This Row],[TTR]],TT_COL_GLFlag)=1,Transactions[[#This Row],[CalCashImpact]]+Transactions[[#This Row],[CostImpact]],0)</f>
        <v>0</v>
      </c>
      <c r="W111" s="66">
        <f>Transactions[[#This Row],[Amount]]*INDEX(TransTypes[],Transactions[[#This Row],[TTR]],TT_COL_AmntSign)</f>
        <v>-126053.25</v>
      </c>
      <c r="X111" s="66">
        <f>IF(INDEX(TransTypes[],Transactions[[#This Row],[TTR]],TT_COL_LONGORSHORT)="S",
      IF( OR(INDEX(TransTypes[],Transactions[[#This Row],[TTR]],TT_COL_GLFlag)=1, INDEX(TransTypes[], Transactions[[#This Row],[TTR]], TT_COL_ShareTransferFlag)=1),
            Transactions[[#This Row],[CostImpact]]*-1,
            Transactions[[#This Row],[CalCashImpact]]
      ),
     0
)</f>
        <v>0</v>
      </c>
      <c r="Y111" s="67" t="str">
        <f>VLOOKUP(Transactions[[#This Row],[Symbol]],Symbols[], COLUMN(Symbols[Currency])-COLUMN(Symbols[])+1,FALSE)</f>
        <v>USD</v>
      </c>
    </row>
    <row r="112" spans="1:25">
      <c r="A112" s="55" t="s">
        <v>65</v>
      </c>
      <c r="B112" s="56">
        <v>43052</v>
      </c>
      <c r="C112" s="55" t="s">
        <v>113</v>
      </c>
      <c r="D112" s="55"/>
      <c r="E112" s="55" t="s">
        <v>287</v>
      </c>
      <c r="F112" s="57">
        <v>402</v>
      </c>
      <c r="G112" s="58">
        <v>178.73</v>
      </c>
      <c r="H112" s="57">
        <v>2.0099999999999998</v>
      </c>
      <c r="I112" s="57"/>
      <c r="J112" s="68">
        <v>71851.47</v>
      </c>
      <c r="K112" s="6"/>
      <c r="L112" s="20">
        <f>IF(ISNA(MATCH(Transactions[[#This Row],[TransType]],TransTypes[TransType],0)),1,MATCH(Transactions[[#This Row],[TransType]],TransTypes[TransType],0))</f>
        <v>2</v>
      </c>
      <c r="M112" s="60">
        <f>IF( AND( INDEX(TransTypes[],Transactions[[#This Row],[TTR]],TT_COL_GLFlag)=1, INDEX(TransTypes[],Transactions[[#This Row],[TTR]],TT_COL_LONGORSHORT)="S" ),
      Transactions[[#This Row],[PL]],
      IF(INDEX(TransTypes[],Transactions[[#This Row],[TTR]],TT_COL_LONGORSHORT)="S",0,Transactions[[#This Row],[CalCashImpact]])
)</f>
        <v>-71851.47</v>
      </c>
      <c r="N112" s="61">
        <f>IF(VLOOKUP(Transactions[[#This Row],[Symbol]],Symbols[],COLUMN(Symbols[Currency])-COLUMN(Symbols[])+1,FALSE)=
       VLOOKUP(Transactions[[#This Row],[Account]],Accounts[],COLUMN(Accounts[Currency])-COLUMN(Accounts[])+1,FALSE),
     Transactions[[#This Row],[OrigCashImpact]],
     0
)</f>
        <v>-71851.47</v>
      </c>
      <c r="O11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973656.16575993598</v>
      </c>
      <c r="P11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402</v>
      </c>
      <c r="Q11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402</v>
      </c>
      <c r="R112" s="41">
        <f>ROW()</f>
        <v>112</v>
      </c>
      <c r="S1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71851.47</v>
      </c>
      <c r="T1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71851.47</v>
      </c>
      <c r="U11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402</v>
      </c>
      <c r="V112" s="65">
        <f>IF(INDEX(TransTypes[],Transactions[[#This Row],[TTR]],TT_COL_GLFlag)=1,Transactions[[#This Row],[CalCashImpact]]+Transactions[[#This Row],[CostImpact]],0)</f>
        <v>0</v>
      </c>
      <c r="W112" s="66">
        <f>Transactions[[#This Row],[Amount]]*INDEX(TransTypes[],Transactions[[#This Row],[TTR]],TT_COL_AmntSign)</f>
        <v>-71851.47</v>
      </c>
      <c r="X112" s="66">
        <f>IF(INDEX(TransTypes[],Transactions[[#This Row],[TTR]],TT_COL_LONGORSHORT)="S",
      IF( OR(INDEX(TransTypes[],Transactions[[#This Row],[TTR]],TT_COL_GLFlag)=1, INDEX(TransTypes[], Transactions[[#This Row],[TTR]], TT_COL_ShareTransferFlag)=1),
            Transactions[[#This Row],[CostImpact]]*-1,
            Transactions[[#This Row],[CalCashImpact]]
      ),
     0
)</f>
        <v>0</v>
      </c>
      <c r="Y112" s="67" t="str">
        <f>VLOOKUP(Transactions[[#This Row],[Symbol]],Symbols[], COLUMN(Symbols[Currency])-COLUMN(Symbols[])+1,FALSE)</f>
        <v>USD</v>
      </c>
    </row>
    <row r="113" spans="1:25">
      <c r="A113" s="55" t="s">
        <v>65</v>
      </c>
      <c r="B113" s="56">
        <v>43052</v>
      </c>
      <c r="C113" s="55" t="s">
        <v>113</v>
      </c>
      <c r="D113" s="55"/>
      <c r="E113" s="55" t="s">
        <v>287</v>
      </c>
      <c r="F113" s="57">
        <v>200</v>
      </c>
      <c r="G113" s="58">
        <v>178.75</v>
      </c>
      <c r="H113" s="57">
        <v>1</v>
      </c>
      <c r="I113" s="57"/>
      <c r="J113" s="68">
        <v>35751</v>
      </c>
      <c r="K113" s="6"/>
      <c r="L113" s="20">
        <f>IF(ISNA(MATCH(Transactions[[#This Row],[TransType]],TransTypes[TransType],0)),1,MATCH(Transactions[[#This Row],[TransType]],TransTypes[TransType],0))</f>
        <v>2</v>
      </c>
      <c r="M113" s="60">
        <f>IF( AND( INDEX(TransTypes[],Transactions[[#This Row],[TTR]],TT_COL_GLFlag)=1, INDEX(TransTypes[],Transactions[[#This Row],[TTR]],TT_COL_LONGORSHORT)="S" ),
      Transactions[[#This Row],[PL]],
      IF(INDEX(TransTypes[],Transactions[[#This Row],[TTR]],TT_COL_LONGORSHORT)="S",0,Transactions[[#This Row],[CalCashImpact]])
)</f>
        <v>-35751</v>
      </c>
      <c r="N113" s="61">
        <f>IF(VLOOKUP(Transactions[[#This Row],[Symbol]],Symbols[],COLUMN(Symbols[Currency])-COLUMN(Symbols[])+1,FALSE)=
       VLOOKUP(Transactions[[#This Row],[Account]],Accounts[],COLUMN(Accounts[Currency])-COLUMN(Accounts[])+1,FALSE),
     Transactions[[#This Row],[OrigCashImpact]],
     0
)</f>
        <v>-35751</v>
      </c>
      <c r="O11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937905.16575993598</v>
      </c>
      <c r="P11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1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602</v>
      </c>
      <c r="R113" s="41">
        <f>ROW()</f>
        <v>113</v>
      </c>
      <c r="S1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35751</v>
      </c>
      <c r="T1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107602.47</v>
      </c>
      <c r="U11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602</v>
      </c>
      <c r="V113" s="65">
        <f>IF(INDEX(TransTypes[],Transactions[[#This Row],[TTR]],TT_COL_GLFlag)=1,Transactions[[#This Row],[CalCashImpact]]+Transactions[[#This Row],[CostImpact]],0)</f>
        <v>0</v>
      </c>
      <c r="W113" s="66">
        <f>Transactions[[#This Row],[Amount]]*INDEX(TransTypes[],Transactions[[#This Row],[TTR]],TT_COL_AmntSign)</f>
        <v>-35751</v>
      </c>
      <c r="X113" s="66">
        <f>IF(INDEX(TransTypes[],Transactions[[#This Row],[TTR]],TT_COL_LONGORSHORT)="S",
      IF( OR(INDEX(TransTypes[],Transactions[[#This Row],[TTR]],TT_COL_GLFlag)=1, INDEX(TransTypes[], Transactions[[#This Row],[TTR]], TT_COL_ShareTransferFlag)=1),
            Transactions[[#This Row],[CostImpact]]*-1,
            Transactions[[#This Row],[CalCashImpact]]
      ),
     0
)</f>
        <v>0</v>
      </c>
      <c r="Y113" s="67" t="str">
        <f>VLOOKUP(Transactions[[#This Row],[Symbol]],Symbols[], COLUMN(Symbols[Currency])-COLUMN(Symbols[])+1,FALSE)</f>
        <v>USD</v>
      </c>
    </row>
    <row r="114" spans="1:25">
      <c r="A114" s="55" t="s">
        <v>65</v>
      </c>
      <c r="B114" s="56">
        <v>43052</v>
      </c>
      <c r="C114" s="55" t="s">
        <v>113</v>
      </c>
      <c r="D114" s="55"/>
      <c r="E114" s="55" t="s">
        <v>7</v>
      </c>
      <c r="F114" s="57">
        <v>50</v>
      </c>
      <c r="G114" s="58">
        <v>1045.96</v>
      </c>
      <c r="H114" s="57">
        <v>1</v>
      </c>
      <c r="I114" s="57"/>
      <c r="J114" s="68">
        <v>52299</v>
      </c>
      <c r="K114" s="6"/>
      <c r="L114" s="20">
        <f>IF(ISNA(MATCH(Transactions[[#This Row],[TransType]],TransTypes[TransType],0)),1,MATCH(Transactions[[#This Row],[TransType]],TransTypes[TransType],0))</f>
        <v>2</v>
      </c>
      <c r="M114" s="60">
        <f>IF( AND( INDEX(TransTypes[],Transactions[[#This Row],[TTR]],TT_COL_GLFlag)=1, INDEX(TransTypes[],Transactions[[#This Row],[TTR]],TT_COL_LONGORSHORT)="S" ),
      Transactions[[#This Row],[PL]],
      IF(INDEX(TransTypes[],Transactions[[#This Row],[TTR]],TT_COL_LONGORSHORT)="S",0,Transactions[[#This Row],[CalCashImpact]])
)</f>
        <v>-52299</v>
      </c>
      <c r="N114" s="61">
        <f>IF(VLOOKUP(Transactions[[#This Row],[Symbol]],Symbols[],COLUMN(Symbols[Currency])-COLUMN(Symbols[])+1,FALSE)=
       VLOOKUP(Transactions[[#This Row],[Account]],Accounts[],COLUMN(Accounts[Currency])-COLUMN(Accounts[])+1,FALSE),
     Transactions[[#This Row],[OrigCashImpact]],
     0
)</f>
        <v>-52299</v>
      </c>
      <c r="O11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885606.16575993598</v>
      </c>
      <c r="P11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v>
      </c>
      <c r="Q11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v>
      </c>
      <c r="R114" s="41">
        <f>ROW()</f>
        <v>114</v>
      </c>
      <c r="S1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52299</v>
      </c>
      <c r="T1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52299</v>
      </c>
      <c r="U11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v>
      </c>
      <c r="V114" s="65">
        <f>IF(INDEX(TransTypes[],Transactions[[#This Row],[TTR]],TT_COL_GLFlag)=1,Transactions[[#This Row],[CalCashImpact]]+Transactions[[#This Row],[CostImpact]],0)</f>
        <v>0</v>
      </c>
      <c r="W114" s="66">
        <f>Transactions[[#This Row],[Amount]]*INDEX(TransTypes[],Transactions[[#This Row],[TTR]],TT_COL_AmntSign)</f>
        <v>-52299</v>
      </c>
      <c r="X114" s="66">
        <f>IF(INDEX(TransTypes[],Transactions[[#This Row],[TTR]],TT_COL_LONGORSHORT)="S",
      IF( OR(INDEX(TransTypes[],Transactions[[#This Row],[TTR]],TT_COL_GLFlag)=1, INDEX(TransTypes[], Transactions[[#This Row],[TTR]], TT_COL_ShareTransferFlag)=1),
            Transactions[[#This Row],[CostImpact]]*-1,
            Transactions[[#This Row],[CalCashImpact]]
      ),
     0
)</f>
        <v>0</v>
      </c>
      <c r="Y114" s="67" t="str">
        <f>VLOOKUP(Transactions[[#This Row],[Symbol]],Symbols[], COLUMN(Symbols[Currency])-COLUMN(Symbols[])+1,FALSE)</f>
        <v>USD</v>
      </c>
    </row>
    <row r="115" spans="1:25">
      <c r="A115" s="55" t="s">
        <v>65</v>
      </c>
      <c r="B115" s="56">
        <v>43052</v>
      </c>
      <c r="C115" s="55" t="s">
        <v>113</v>
      </c>
      <c r="D115" s="55"/>
      <c r="E115" s="55" t="s">
        <v>289</v>
      </c>
      <c r="F115" s="57">
        <v>300</v>
      </c>
      <c r="G115" s="58">
        <v>165.75266669999999</v>
      </c>
      <c r="H115" s="57">
        <v>1.5</v>
      </c>
      <c r="I115" s="57"/>
      <c r="J115" s="68">
        <v>49727.3</v>
      </c>
      <c r="K115" s="6"/>
      <c r="L115" s="20">
        <f>IF(ISNA(MATCH(Transactions[[#This Row],[TransType]],TransTypes[TransType],0)),1,MATCH(Transactions[[#This Row],[TransType]],TransTypes[TransType],0))</f>
        <v>2</v>
      </c>
      <c r="M115" s="60">
        <f>IF( AND( INDEX(TransTypes[],Transactions[[#This Row],[TTR]],TT_COL_GLFlag)=1, INDEX(TransTypes[],Transactions[[#This Row],[TTR]],TT_COL_LONGORSHORT)="S" ),
      Transactions[[#This Row],[PL]],
      IF(INDEX(TransTypes[],Transactions[[#This Row],[TTR]],TT_COL_LONGORSHORT)="S",0,Transactions[[#This Row],[CalCashImpact]])
)</f>
        <v>-49727.3</v>
      </c>
      <c r="N115" s="61">
        <f>IF(VLOOKUP(Transactions[[#This Row],[Symbol]],Symbols[],COLUMN(Symbols[Currency])-COLUMN(Symbols[])+1,FALSE)=
       VLOOKUP(Transactions[[#This Row],[Account]],Accounts[],COLUMN(Accounts[Currency])-COLUMN(Accounts[])+1,FALSE),
     Transactions[[#This Row],[OrigCashImpact]],
     0
)</f>
        <v>-49727.3</v>
      </c>
      <c r="O11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835878.86575993593</v>
      </c>
      <c r="P11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11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115" s="41">
        <f>ROW()</f>
        <v>115</v>
      </c>
      <c r="S1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49727.3</v>
      </c>
      <c r="T1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49727.3</v>
      </c>
      <c r="U11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115" s="65">
        <f>IF(INDEX(TransTypes[],Transactions[[#This Row],[TTR]],TT_COL_GLFlag)=1,Transactions[[#This Row],[CalCashImpact]]+Transactions[[#This Row],[CostImpact]],0)</f>
        <v>0</v>
      </c>
      <c r="W115" s="66">
        <f>Transactions[[#This Row],[Amount]]*INDEX(TransTypes[],Transactions[[#This Row],[TTR]],TT_COL_AmntSign)</f>
        <v>-49727.3</v>
      </c>
      <c r="X115" s="66">
        <f>IF(INDEX(TransTypes[],Transactions[[#This Row],[TTR]],TT_COL_LONGORSHORT)="S",
      IF( OR(INDEX(TransTypes[],Transactions[[#This Row],[TTR]],TT_COL_GLFlag)=1, INDEX(TransTypes[], Transactions[[#This Row],[TTR]], TT_COL_ShareTransferFlag)=1),
            Transactions[[#This Row],[CostImpact]]*-1,
            Transactions[[#This Row],[CalCashImpact]]
      ),
     0
)</f>
        <v>0</v>
      </c>
      <c r="Y115" s="67" t="str">
        <f>VLOOKUP(Transactions[[#This Row],[Symbol]],Symbols[], COLUMN(Symbols[Currency])-COLUMN(Symbols[])+1,FALSE)</f>
        <v>USD</v>
      </c>
    </row>
    <row r="116" spans="1:25">
      <c r="A116" s="55" t="s">
        <v>65</v>
      </c>
      <c r="B116" s="56">
        <v>43052</v>
      </c>
      <c r="C116" s="55" t="s">
        <v>113</v>
      </c>
      <c r="D116" s="55"/>
      <c r="E116" s="55" t="s">
        <v>292</v>
      </c>
      <c r="F116" s="57">
        <v>100</v>
      </c>
      <c r="G116" s="58">
        <v>87.075000000000003</v>
      </c>
      <c r="H116" s="57">
        <v>1</v>
      </c>
      <c r="I116" s="57"/>
      <c r="J116" s="68">
        <v>8708.5</v>
      </c>
      <c r="K116" s="6"/>
      <c r="L116" s="20">
        <f>IF(ISNA(MATCH(Transactions[[#This Row],[TransType]],TransTypes[TransType],0)),1,MATCH(Transactions[[#This Row],[TransType]],TransTypes[TransType],0))</f>
        <v>2</v>
      </c>
      <c r="M116" s="60">
        <f>IF( AND( INDEX(TransTypes[],Transactions[[#This Row],[TTR]],TT_COL_GLFlag)=1, INDEX(TransTypes[],Transactions[[#This Row],[TTR]],TT_COL_LONGORSHORT)="S" ),
      Transactions[[#This Row],[PL]],
      IF(INDEX(TransTypes[],Transactions[[#This Row],[TTR]],TT_COL_LONGORSHORT)="S",0,Transactions[[#This Row],[CalCashImpact]])
)</f>
        <v>-8708.5</v>
      </c>
      <c r="N116" s="61">
        <f>IF(VLOOKUP(Transactions[[#This Row],[Symbol]],Symbols[],COLUMN(Symbols[Currency])-COLUMN(Symbols[])+1,FALSE)=
       VLOOKUP(Transactions[[#This Row],[Account]],Accounts[],COLUMN(Accounts[Currency])-COLUMN(Accounts[])+1,FALSE),
     Transactions[[#This Row],[OrigCashImpact]],
     0
)</f>
        <v>-8708.5</v>
      </c>
      <c r="O11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827170.36575993593</v>
      </c>
      <c r="P11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1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383</v>
      </c>
      <c r="R116" s="41">
        <f>ROW()</f>
        <v>116</v>
      </c>
      <c r="S1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8708.5</v>
      </c>
      <c r="T1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33701.544999999998</v>
      </c>
      <c r="U11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383</v>
      </c>
      <c r="V116" s="65">
        <f>IF(INDEX(TransTypes[],Transactions[[#This Row],[TTR]],TT_COL_GLFlag)=1,Transactions[[#This Row],[CalCashImpact]]+Transactions[[#This Row],[CostImpact]],0)</f>
        <v>0</v>
      </c>
      <c r="W116" s="66">
        <f>Transactions[[#This Row],[Amount]]*INDEX(TransTypes[],Transactions[[#This Row],[TTR]],TT_COL_AmntSign)</f>
        <v>-8708.5</v>
      </c>
      <c r="X116" s="66">
        <f>IF(INDEX(TransTypes[],Transactions[[#This Row],[TTR]],TT_COL_LONGORSHORT)="S",
      IF( OR(INDEX(TransTypes[],Transactions[[#This Row],[TTR]],TT_COL_GLFlag)=1, INDEX(TransTypes[], Transactions[[#This Row],[TTR]], TT_COL_ShareTransferFlag)=1),
            Transactions[[#This Row],[CostImpact]]*-1,
            Transactions[[#This Row],[CalCashImpact]]
      ),
     0
)</f>
        <v>0</v>
      </c>
      <c r="Y116" s="67" t="str">
        <f>VLOOKUP(Transactions[[#This Row],[Symbol]],Symbols[], COLUMN(Symbols[Currency])-COLUMN(Symbols[])+1,FALSE)</f>
        <v>USD</v>
      </c>
    </row>
    <row r="117" spans="1:25">
      <c r="A117" s="55" t="s">
        <v>65</v>
      </c>
      <c r="B117" s="56">
        <v>43052</v>
      </c>
      <c r="C117" s="55" t="s">
        <v>113</v>
      </c>
      <c r="D117" s="55"/>
      <c r="E117" s="55" t="s">
        <v>298</v>
      </c>
      <c r="F117" s="57">
        <v>500</v>
      </c>
      <c r="G117" s="58">
        <v>42.04</v>
      </c>
      <c r="H117" s="57">
        <v>2.5</v>
      </c>
      <c r="I117" s="57"/>
      <c r="J117" s="68">
        <v>21022.5</v>
      </c>
      <c r="K117" s="6"/>
      <c r="L117" s="20">
        <f>IF(ISNA(MATCH(Transactions[[#This Row],[TransType]],TransTypes[TransType],0)),1,MATCH(Transactions[[#This Row],[TransType]],TransTypes[TransType],0))</f>
        <v>2</v>
      </c>
      <c r="M117" s="60">
        <f>IF( AND( INDEX(TransTypes[],Transactions[[#This Row],[TTR]],TT_COL_GLFlag)=1, INDEX(TransTypes[],Transactions[[#This Row],[TTR]],TT_COL_LONGORSHORT)="S" ),
      Transactions[[#This Row],[PL]],
      IF(INDEX(TransTypes[],Transactions[[#This Row],[TTR]],TT_COL_LONGORSHORT)="S",0,Transactions[[#This Row],[CalCashImpact]])
)</f>
        <v>-21022.5</v>
      </c>
      <c r="N117" s="61">
        <f>IF(VLOOKUP(Transactions[[#This Row],[Symbol]],Symbols[],COLUMN(Symbols[Currency])-COLUMN(Symbols[])+1,FALSE)=
       VLOOKUP(Transactions[[#This Row],[Account]],Accounts[],COLUMN(Accounts[Currency])-COLUMN(Accounts[])+1,FALSE),
     Transactions[[#This Row],[OrigCashImpact]],
     0
)</f>
        <v>-21022.5</v>
      </c>
      <c r="O11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806147.86575993593</v>
      </c>
      <c r="P11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1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770</v>
      </c>
      <c r="R117" s="41">
        <f>ROW()</f>
        <v>117</v>
      </c>
      <c r="S1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21022.5</v>
      </c>
      <c r="T1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31485.35</v>
      </c>
      <c r="U11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770</v>
      </c>
      <c r="V117" s="65">
        <f>IF(INDEX(TransTypes[],Transactions[[#This Row],[TTR]],TT_COL_GLFlag)=1,Transactions[[#This Row],[CalCashImpact]]+Transactions[[#This Row],[CostImpact]],0)</f>
        <v>0</v>
      </c>
      <c r="W117" s="66">
        <f>Transactions[[#This Row],[Amount]]*INDEX(TransTypes[],Transactions[[#This Row],[TTR]],TT_COL_AmntSign)</f>
        <v>-21022.5</v>
      </c>
      <c r="X117" s="66">
        <f>IF(INDEX(TransTypes[],Transactions[[#This Row],[TTR]],TT_COL_LONGORSHORT)="S",
      IF( OR(INDEX(TransTypes[],Transactions[[#This Row],[TTR]],TT_COL_GLFlag)=1, INDEX(TransTypes[], Transactions[[#This Row],[TTR]], TT_COL_ShareTransferFlag)=1),
            Transactions[[#This Row],[CostImpact]]*-1,
            Transactions[[#This Row],[CalCashImpact]]
      ),
     0
)</f>
        <v>0</v>
      </c>
      <c r="Y117" s="67" t="str">
        <f>VLOOKUP(Transactions[[#This Row],[Symbol]],Symbols[], COLUMN(Symbols[Currency])-COLUMN(Symbols[])+1,FALSE)</f>
        <v>USD</v>
      </c>
    </row>
    <row r="118" spans="1:25">
      <c r="A118" s="55" t="s">
        <v>65</v>
      </c>
      <c r="B118" s="56">
        <v>43052</v>
      </c>
      <c r="C118" s="55" t="s">
        <v>113</v>
      </c>
      <c r="D118" s="55"/>
      <c r="E118" s="55" t="s">
        <v>298</v>
      </c>
      <c r="F118" s="57">
        <v>700</v>
      </c>
      <c r="G118" s="58">
        <v>42.104999999999997</v>
      </c>
      <c r="H118" s="57">
        <v>2.8</v>
      </c>
      <c r="I118" s="57"/>
      <c r="J118" s="68">
        <v>29476.3</v>
      </c>
      <c r="K118" s="6"/>
      <c r="L118" s="20">
        <f>IF(ISNA(MATCH(Transactions[[#This Row],[TransType]],TransTypes[TransType],0)),1,MATCH(Transactions[[#This Row],[TransType]],TransTypes[TransType],0))</f>
        <v>2</v>
      </c>
      <c r="M118" s="60">
        <f>IF( AND( INDEX(TransTypes[],Transactions[[#This Row],[TTR]],TT_COL_GLFlag)=1, INDEX(TransTypes[],Transactions[[#This Row],[TTR]],TT_COL_LONGORSHORT)="S" ),
      Transactions[[#This Row],[PL]],
      IF(INDEX(TransTypes[],Transactions[[#This Row],[TTR]],TT_COL_LONGORSHORT)="S",0,Transactions[[#This Row],[CalCashImpact]])
)</f>
        <v>-29476.3</v>
      </c>
      <c r="N118" s="61">
        <f>IF(VLOOKUP(Transactions[[#This Row],[Symbol]],Symbols[],COLUMN(Symbols[Currency])-COLUMN(Symbols[])+1,FALSE)=
       VLOOKUP(Transactions[[#This Row],[Account]],Accounts[],COLUMN(Accounts[Currency])-COLUMN(Accounts[])+1,FALSE),
     Transactions[[#This Row],[OrigCashImpact]],
     0
)</f>
        <v>-29476.3</v>
      </c>
      <c r="O11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776671.565759936</v>
      </c>
      <c r="P11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v>
      </c>
      <c r="Q11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1470</v>
      </c>
      <c r="R118" s="41">
        <f>ROW()</f>
        <v>118</v>
      </c>
      <c r="S1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29476.3</v>
      </c>
      <c r="T1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60961.65</v>
      </c>
      <c r="U11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1470</v>
      </c>
      <c r="V118" s="65">
        <f>IF(INDEX(TransTypes[],Transactions[[#This Row],[TTR]],TT_COL_GLFlag)=1,Transactions[[#This Row],[CalCashImpact]]+Transactions[[#This Row],[CostImpact]],0)</f>
        <v>0</v>
      </c>
      <c r="W118" s="66">
        <f>Transactions[[#This Row],[Amount]]*INDEX(TransTypes[],Transactions[[#This Row],[TTR]],TT_COL_AmntSign)</f>
        <v>-29476.3</v>
      </c>
      <c r="X118" s="66">
        <f>IF(INDEX(TransTypes[],Transactions[[#This Row],[TTR]],TT_COL_LONGORSHORT)="S",
      IF( OR(INDEX(TransTypes[],Transactions[[#This Row],[TTR]],TT_COL_GLFlag)=1, INDEX(TransTypes[], Transactions[[#This Row],[TTR]], TT_COL_ShareTransferFlag)=1),
            Transactions[[#This Row],[CostImpact]]*-1,
            Transactions[[#This Row],[CalCashImpact]]
      ),
     0
)</f>
        <v>0</v>
      </c>
      <c r="Y118" s="67" t="str">
        <f>VLOOKUP(Transactions[[#This Row],[Symbol]],Symbols[], COLUMN(Symbols[Currency])-COLUMN(Symbols[])+1,FALSE)</f>
        <v>USD</v>
      </c>
    </row>
    <row r="119" spans="1:25">
      <c r="A119" s="55" t="s">
        <v>65</v>
      </c>
      <c r="B119" s="56">
        <v>43052</v>
      </c>
      <c r="C119" s="55" t="s">
        <v>113</v>
      </c>
      <c r="D119" s="55"/>
      <c r="E119" s="55" t="s">
        <v>300</v>
      </c>
      <c r="F119" s="57">
        <v>1000</v>
      </c>
      <c r="G119" s="58">
        <v>28.478739999999998</v>
      </c>
      <c r="H119" s="57">
        <v>4.7</v>
      </c>
      <c r="I119" s="57"/>
      <c r="J119" s="68">
        <v>28483.439999999999</v>
      </c>
      <c r="K119" s="6"/>
      <c r="L119" s="20">
        <f>IF(ISNA(MATCH(Transactions[[#This Row],[TransType]],TransTypes[TransType],0)),1,MATCH(Transactions[[#This Row],[TransType]],TransTypes[TransType],0))</f>
        <v>2</v>
      </c>
      <c r="M119" s="60">
        <f>IF( AND( INDEX(TransTypes[],Transactions[[#This Row],[TTR]],TT_COL_GLFlag)=1, INDEX(TransTypes[],Transactions[[#This Row],[TTR]],TT_COL_LONGORSHORT)="S" ),
      Transactions[[#This Row],[PL]],
      IF(INDEX(TransTypes[],Transactions[[#This Row],[TTR]],TT_COL_LONGORSHORT)="S",0,Transactions[[#This Row],[CalCashImpact]])
)</f>
        <v>-28483.439999999999</v>
      </c>
      <c r="N119" s="61">
        <f>IF(VLOOKUP(Transactions[[#This Row],[Symbol]],Symbols[],COLUMN(Symbols[Currency])-COLUMN(Symbols[])+1,FALSE)=
       VLOOKUP(Transactions[[#This Row],[Account]],Accounts[],COLUMN(Accounts[Currency])-COLUMN(Accounts[])+1,FALSE),
     Transactions[[#This Row],[OrigCashImpact]],
     0
)</f>
        <v>-28483.439999999999</v>
      </c>
      <c r="O11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748188.12575993594</v>
      </c>
      <c r="P11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19" s="41">
        <f>ROW()</f>
        <v>119</v>
      </c>
      <c r="S1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28483.439999999999</v>
      </c>
      <c r="T1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28483.439999999999</v>
      </c>
      <c r="U11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19" s="65">
        <f>IF(INDEX(TransTypes[],Transactions[[#This Row],[TTR]],TT_COL_GLFlag)=1,Transactions[[#This Row],[CalCashImpact]]+Transactions[[#This Row],[CostImpact]],0)</f>
        <v>0</v>
      </c>
      <c r="W119" s="66">
        <f>Transactions[[#This Row],[Amount]]*INDEX(TransTypes[],Transactions[[#This Row],[TTR]],TT_COL_AmntSign)</f>
        <v>-28483.439999999999</v>
      </c>
      <c r="X119" s="66">
        <f>IF(INDEX(TransTypes[],Transactions[[#This Row],[TTR]],TT_COL_LONGORSHORT)="S",
      IF( OR(INDEX(TransTypes[],Transactions[[#This Row],[TTR]],TT_COL_GLFlag)=1, INDEX(TransTypes[], Transactions[[#This Row],[TTR]], TT_COL_ShareTransferFlag)=1),
            Transactions[[#This Row],[CostImpact]]*-1,
            Transactions[[#This Row],[CalCashImpact]]
      ),
     0
)</f>
        <v>0</v>
      </c>
      <c r="Y119" s="67" t="str">
        <f>VLOOKUP(Transactions[[#This Row],[Symbol]],Symbols[], COLUMN(Symbols[Currency])-COLUMN(Symbols[])+1,FALSE)</f>
        <v>USD</v>
      </c>
    </row>
    <row r="120" spans="1:25">
      <c r="A120" s="55" t="s">
        <v>65</v>
      </c>
      <c r="B120" s="56">
        <v>43052</v>
      </c>
      <c r="C120" s="55" t="s">
        <v>113</v>
      </c>
      <c r="D120" s="55"/>
      <c r="E120" s="55" t="s">
        <v>313</v>
      </c>
      <c r="F120" s="57">
        <v>2000</v>
      </c>
      <c r="G120" s="58">
        <v>25.81682</v>
      </c>
      <c r="H120" s="57">
        <v>9.1999999999999993</v>
      </c>
      <c r="I120" s="57"/>
      <c r="J120" s="68">
        <v>51642.84</v>
      </c>
      <c r="K120" s="6"/>
      <c r="L120" s="20">
        <f>IF(ISNA(MATCH(Transactions[[#This Row],[TransType]],TransTypes[TransType],0)),1,MATCH(Transactions[[#This Row],[TransType]],TransTypes[TransType],0))</f>
        <v>2</v>
      </c>
      <c r="M120" s="60">
        <f>IF( AND( INDEX(TransTypes[],Transactions[[#This Row],[TTR]],TT_COL_GLFlag)=1, INDEX(TransTypes[],Transactions[[#This Row],[TTR]],TT_COL_LONGORSHORT)="S" ),
      Transactions[[#This Row],[PL]],
      IF(INDEX(TransTypes[],Transactions[[#This Row],[TTR]],TT_COL_LONGORSHORT)="S",0,Transactions[[#This Row],[CalCashImpact]])
)</f>
        <v>-51642.84</v>
      </c>
      <c r="N120" s="61">
        <f>IF(VLOOKUP(Transactions[[#This Row],[Symbol]],Symbols[],COLUMN(Symbols[Currency])-COLUMN(Symbols[])+1,FALSE)=
       VLOOKUP(Transactions[[#This Row],[Account]],Accounts[],COLUMN(Accounts[Currency])-COLUMN(Accounts[])+1,FALSE),
     Transactions[[#This Row],[OrigCashImpact]],
     0
)</f>
        <v>-51642.84</v>
      </c>
      <c r="O12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696545.28575993597</v>
      </c>
      <c r="P12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3823</v>
      </c>
      <c r="R120" s="41">
        <f>ROW()</f>
        <v>120</v>
      </c>
      <c r="S1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51642.84</v>
      </c>
      <c r="T1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99290.6348</v>
      </c>
      <c r="U12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3823</v>
      </c>
      <c r="V120" s="65">
        <f>IF(INDEX(TransTypes[],Transactions[[#This Row],[TTR]],TT_COL_GLFlag)=1,Transactions[[#This Row],[CalCashImpact]]+Transactions[[#This Row],[CostImpact]],0)</f>
        <v>0</v>
      </c>
      <c r="W120" s="66">
        <f>Transactions[[#This Row],[Amount]]*INDEX(TransTypes[],Transactions[[#This Row],[TTR]],TT_COL_AmntSign)</f>
        <v>-51642.84</v>
      </c>
      <c r="X120" s="66">
        <f>IF(INDEX(TransTypes[],Transactions[[#This Row],[TTR]],TT_COL_LONGORSHORT)="S",
      IF( OR(INDEX(TransTypes[],Transactions[[#This Row],[TTR]],TT_COL_GLFlag)=1, INDEX(TransTypes[], Transactions[[#This Row],[TTR]], TT_COL_ShareTransferFlag)=1),
            Transactions[[#This Row],[CostImpact]]*-1,
            Transactions[[#This Row],[CalCashImpact]]
      ),
     0
)</f>
        <v>0</v>
      </c>
      <c r="Y120" s="67" t="str">
        <f>VLOOKUP(Transactions[[#This Row],[Symbol]],Symbols[], COLUMN(Symbols[Currency])-COLUMN(Symbols[])+1,FALSE)</f>
        <v>USD</v>
      </c>
    </row>
    <row r="121" spans="1:25">
      <c r="A121" s="55" t="s">
        <v>65</v>
      </c>
      <c r="B121" s="56">
        <v>43052</v>
      </c>
      <c r="C121" s="55" t="s">
        <v>113</v>
      </c>
      <c r="D121" s="55"/>
      <c r="E121" s="55" t="s">
        <v>20</v>
      </c>
      <c r="F121" s="57">
        <v>400</v>
      </c>
      <c r="G121" s="58">
        <v>124.55</v>
      </c>
      <c r="H121" s="57">
        <v>2</v>
      </c>
      <c r="I121" s="57"/>
      <c r="J121" s="68">
        <v>49822</v>
      </c>
      <c r="K121" s="6"/>
      <c r="L121" s="20">
        <f>IF(ISNA(MATCH(Transactions[[#This Row],[TransType]],TransTypes[TransType],0)),1,MATCH(Transactions[[#This Row],[TransType]],TransTypes[TransType],0))</f>
        <v>2</v>
      </c>
      <c r="M121" s="60">
        <f>IF( AND( INDEX(TransTypes[],Transactions[[#This Row],[TTR]],TT_COL_GLFlag)=1, INDEX(TransTypes[],Transactions[[#This Row],[TTR]],TT_COL_LONGORSHORT)="S" ),
      Transactions[[#This Row],[PL]],
      IF(INDEX(TransTypes[],Transactions[[#This Row],[TTR]],TT_COL_LONGORSHORT)="S",0,Transactions[[#This Row],[CalCashImpact]])
)</f>
        <v>-49822</v>
      </c>
      <c r="N121" s="61">
        <f>IF(VLOOKUP(Transactions[[#This Row],[Symbol]],Symbols[],COLUMN(Symbols[Currency])-COLUMN(Symbols[])+1,FALSE)=
       VLOOKUP(Transactions[[#This Row],[Account]],Accounts[],COLUMN(Accounts[Currency])-COLUMN(Accounts[])+1,FALSE),
     Transactions[[#This Row],[OrigCashImpact]],
     0
)</f>
        <v>-49822</v>
      </c>
      <c r="O12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646723.28575993597</v>
      </c>
      <c r="P12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2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121" s="41">
        <f>ROW()</f>
        <v>121</v>
      </c>
      <c r="S1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49822</v>
      </c>
      <c r="T1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100459.26999999999</v>
      </c>
      <c r="U12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21" s="65">
        <f>IF(INDEX(TransTypes[],Transactions[[#This Row],[TTR]],TT_COL_GLFlag)=1,Transactions[[#This Row],[CalCashImpact]]+Transactions[[#This Row],[CostImpact]],0)</f>
        <v>0</v>
      </c>
      <c r="W121" s="66">
        <f>Transactions[[#This Row],[Amount]]*INDEX(TransTypes[],Transactions[[#This Row],[TTR]],TT_COL_AmntSign)</f>
        <v>-49822</v>
      </c>
      <c r="X121" s="66">
        <f>IF(INDEX(TransTypes[],Transactions[[#This Row],[TTR]],TT_COL_LONGORSHORT)="S",
      IF( OR(INDEX(TransTypes[],Transactions[[#This Row],[TTR]],TT_COL_GLFlag)=1, INDEX(TransTypes[], Transactions[[#This Row],[TTR]], TT_COL_ShareTransferFlag)=1),
            Transactions[[#This Row],[CostImpact]]*-1,
            Transactions[[#This Row],[CalCashImpact]]
      ),
     0
)</f>
        <v>0</v>
      </c>
      <c r="Y121" s="67" t="str">
        <f>VLOOKUP(Transactions[[#This Row],[Symbol]],Symbols[], COLUMN(Symbols[Currency])-COLUMN(Symbols[])+1,FALSE)</f>
        <v>USD</v>
      </c>
    </row>
    <row r="122" spans="1:25">
      <c r="A122" s="55" t="s">
        <v>65</v>
      </c>
      <c r="B122" s="56">
        <v>43052</v>
      </c>
      <c r="C122" s="55" t="s">
        <v>113</v>
      </c>
      <c r="D122" s="55"/>
      <c r="E122" s="55" t="s">
        <v>20</v>
      </c>
      <c r="F122" s="57">
        <v>400</v>
      </c>
      <c r="G122" s="58">
        <v>124.59</v>
      </c>
      <c r="H122" s="57">
        <v>2</v>
      </c>
      <c r="I122" s="57"/>
      <c r="J122" s="68">
        <v>49838</v>
      </c>
      <c r="K122" s="6"/>
      <c r="L122" s="20">
        <f>IF(ISNA(MATCH(Transactions[[#This Row],[TransType]],TransTypes[TransType],0)),1,MATCH(Transactions[[#This Row],[TransType]],TransTypes[TransType],0))</f>
        <v>2</v>
      </c>
      <c r="M122" s="60">
        <f>IF( AND( INDEX(TransTypes[],Transactions[[#This Row],[TTR]],TT_COL_GLFlag)=1, INDEX(TransTypes[],Transactions[[#This Row],[TTR]],TT_COL_LONGORSHORT)="S" ),
      Transactions[[#This Row],[PL]],
      IF(INDEX(TransTypes[],Transactions[[#This Row],[TTR]],TT_COL_LONGORSHORT)="S",0,Transactions[[#This Row],[CalCashImpact]])
)</f>
        <v>-49838</v>
      </c>
      <c r="N122" s="61">
        <f>IF(VLOOKUP(Transactions[[#This Row],[Symbol]],Symbols[],COLUMN(Symbols[Currency])-COLUMN(Symbols[])+1,FALSE)=
       VLOOKUP(Transactions[[#This Row],[Account]],Accounts[],COLUMN(Accounts[Currency])-COLUMN(Accounts[])+1,FALSE),
     Transactions[[#This Row],[OrigCashImpact]],
     0
)</f>
        <v>-49838</v>
      </c>
      <c r="O12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596885.28575993597</v>
      </c>
      <c r="P12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2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v>
      </c>
      <c r="R122" s="41">
        <f>ROW()</f>
        <v>122</v>
      </c>
      <c r="S1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49838</v>
      </c>
      <c r="T1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150297.26999999999</v>
      </c>
      <c r="U12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v>
      </c>
      <c r="V122" s="65">
        <f>IF(INDEX(TransTypes[],Transactions[[#This Row],[TTR]],TT_COL_GLFlag)=1,Transactions[[#This Row],[CalCashImpact]]+Transactions[[#This Row],[CostImpact]],0)</f>
        <v>0</v>
      </c>
      <c r="W122" s="66">
        <f>Transactions[[#This Row],[Amount]]*INDEX(TransTypes[],Transactions[[#This Row],[TTR]],TT_COL_AmntSign)</f>
        <v>-49838</v>
      </c>
      <c r="X122" s="66">
        <f>IF(INDEX(TransTypes[],Transactions[[#This Row],[TTR]],TT_COL_LONGORSHORT)="S",
      IF( OR(INDEX(TransTypes[],Transactions[[#This Row],[TTR]],TT_COL_GLFlag)=1, INDEX(TransTypes[], Transactions[[#This Row],[TTR]], TT_COL_ShareTransferFlag)=1),
            Transactions[[#This Row],[CostImpact]]*-1,
            Transactions[[#This Row],[CalCashImpact]]
      ),
     0
)</f>
        <v>0</v>
      </c>
      <c r="Y122" s="67" t="str">
        <f>VLOOKUP(Transactions[[#This Row],[Symbol]],Symbols[], COLUMN(Symbols[Currency])-COLUMN(Symbols[])+1,FALSE)</f>
        <v>USD</v>
      </c>
    </row>
    <row r="123" spans="1:25">
      <c r="A123" s="55" t="s">
        <v>65</v>
      </c>
      <c r="B123" s="56">
        <v>43052</v>
      </c>
      <c r="C123" s="55" t="s">
        <v>113</v>
      </c>
      <c r="D123" s="55"/>
      <c r="E123" s="55" t="s">
        <v>316</v>
      </c>
      <c r="F123" s="57">
        <v>100</v>
      </c>
      <c r="G123" s="58">
        <v>311.72000000000003</v>
      </c>
      <c r="H123" s="57">
        <v>1</v>
      </c>
      <c r="I123" s="57"/>
      <c r="J123" s="68">
        <v>31173</v>
      </c>
      <c r="K123" s="6"/>
      <c r="L123" s="20">
        <f>IF(ISNA(MATCH(Transactions[[#This Row],[TransType]],TransTypes[TransType],0)),1,MATCH(Transactions[[#This Row],[TransType]],TransTypes[TransType],0))</f>
        <v>2</v>
      </c>
      <c r="M123" s="60">
        <f>IF( AND( INDEX(TransTypes[],Transactions[[#This Row],[TTR]],TT_COL_GLFlag)=1, INDEX(TransTypes[],Transactions[[#This Row],[TTR]],TT_COL_LONGORSHORT)="S" ),
      Transactions[[#This Row],[PL]],
      IF(INDEX(TransTypes[],Transactions[[#This Row],[TTR]],TT_COL_LONGORSHORT)="S",0,Transactions[[#This Row],[CalCashImpact]])
)</f>
        <v>-31173</v>
      </c>
      <c r="N123" s="61">
        <f>IF(VLOOKUP(Transactions[[#This Row],[Symbol]],Symbols[],COLUMN(Symbols[Currency])-COLUMN(Symbols[])+1,FALSE)=
       VLOOKUP(Transactions[[#This Row],[Account]],Accounts[],COLUMN(Accounts[Currency])-COLUMN(Accounts[])+1,FALSE),
     Transactions[[#This Row],[OrigCashImpact]],
     0
)</f>
        <v>-31173</v>
      </c>
      <c r="O12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565712.28575993597</v>
      </c>
      <c r="P12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2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136</v>
      </c>
      <c r="R123" s="41">
        <f>ROW()</f>
        <v>123</v>
      </c>
      <c r="S1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31173</v>
      </c>
      <c r="T1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41980.84</v>
      </c>
      <c r="U12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136</v>
      </c>
      <c r="V123" s="65">
        <f>IF(INDEX(TransTypes[],Transactions[[#This Row],[TTR]],TT_COL_GLFlag)=1,Transactions[[#This Row],[CalCashImpact]]+Transactions[[#This Row],[CostImpact]],0)</f>
        <v>0</v>
      </c>
      <c r="W123" s="66">
        <f>Transactions[[#This Row],[Amount]]*INDEX(TransTypes[],Transactions[[#This Row],[TTR]],TT_COL_AmntSign)</f>
        <v>-31173</v>
      </c>
      <c r="X123" s="66">
        <f>IF(INDEX(TransTypes[],Transactions[[#This Row],[TTR]],TT_COL_LONGORSHORT)="S",
      IF( OR(INDEX(TransTypes[],Transactions[[#This Row],[TTR]],TT_COL_GLFlag)=1, INDEX(TransTypes[], Transactions[[#This Row],[TTR]], TT_COL_ShareTransferFlag)=1),
            Transactions[[#This Row],[CostImpact]]*-1,
            Transactions[[#This Row],[CalCashImpact]]
      ),
     0
)</f>
        <v>0</v>
      </c>
      <c r="Y123" s="67" t="str">
        <f>VLOOKUP(Transactions[[#This Row],[Symbol]],Symbols[], COLUMN(Symbols[Currency])-COLUMN(Symbols[])+1,FALSE)</f>
        <v>USD</v>
      </c>
    </row>
    <row r="124" spans="1:25">
      <c r="A124" s="55" t="s">
        <v>65</v>
      </c>
      <c r="B124" s="56">
        <v>43052</v>
      </c>
      <c r="C124" s="55" t="s">
        <v>113</v>
      </c>
      <c r="D124" s="55"/>
      <c r="E124" s="55" t="s">
        <v>316</v>
      </c>
      <c r="F124" s="57">
        <v>100</v>
      </c>
      <c r="G124" s="58">
        <v>311.73</v>
      </c>
      <c r="H124" s="57">
        <v>1</v>
      </c>
      <c r="I124" s="57"/>
      <c r="J124" s="68">
        <v>31174</v>
      </c>
      <c r="K124" s="6"/>
      <c r="L124" s="20">
        <f>IF(ISNA(MATCH(Transactions[[#This Row],[TransType]],TransTypes[TransType],0)),1,MATCH(Transactions[[#This Row],[TransType]],TransTypes[TransType],0))</f>
        <v>2</v>
      </c>
      <c r="M124" s="60">
        <f>IF( AND( INDEX(TransTypes[],Transactions[[#This Row],[TTR]],TT_COL_GLFlag)=1, INDEX(TransTypes[],Transactions[[#This Row],[TTR]],TT_COL_LONGORSHORT)="S" ),
      Transactions[[#This Row],[PL]],
      IF(INDEX(TransTypes[],Transactions[[#This Row],[TTR]],TT_COL_LONGORSHORT)="S",0,Transactions[[#This Row],[CalCashImpact]])
)</f>
        <v>-31174</v>
      </c>
      <c r="N124" s="61">
        <f>IF(VLOOKUP(Transactions[[#This Row],[Symbol]],Symbols[],COLUMN(Symbols[Currency])-COLUMN(Symbols[])+1,FALSE)=
       VLOOKUP(Transactions[[#This Row],[Account]],Accounts[],COLUMN(Accounts[Currency])-COLUMN(Accounts[])+1,FALSE),
     Transactions[[#This Row],[OrigCashImpact]],
     0
)</f>
        <v>-31174</v>
      </c>
      <c r="O12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534538.28575993597</v>
      </c>
      <c r="P12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2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236</v>
      </c>
      <c r="R124" s="41">
        <f>ROW()</f>
        <v>124</v>
      </c>
      <c r="S1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31174</v>
      </c>
      <c r="T1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73154.84</v>
      </c>
      <c r="U12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236</v>
      </c>
      <c r="V124" s="65">
        <f>IF(INDEX(TransTypes[],Transactions[[#This Row],[TTR]],TT_COL_GLFlag)=1,Transactions[[#This Row],[CalCashImpact]]+Transactions[[#This Row],[CostImpact]],0)</f>
        <v>0</v>
      </c>
      <c r="W124" s="66">
        <f>Transactions[[#This Row],[Amount]]*INDEX(TransTypes[],Transactions[[#This Row],[TTR]],TT_COL_AmntSign)</f>
        <v>-31174</v>
      </c>
      <c r="X124" s="66">
        <f>IF(INDEX(TransTypes[],Transactions[[#This Row],[TTR]],TT_COL_LONGORSHORT)="S",
      IF( OR(INDEX(TransTypes[],Transactions[[#This Row],[TTR]],TT_COL_GLFlag)=1, INDEX(TransTypes[], Transactions[[#This Row],[TTR]], TT_COL_ShareTransferFlag)=1),
            Transactions[[#This Row],[CostImpact]]*-1,
            Transactions[[#This Row],[CalCashImpact]]
      ),
     0
)</f>
        <v>0</v>
      </c>
      <c r="Y124" s="67" t="str">
        <f>VLOOKUP(Transactions[[#This Row],[Symbol]],Symbols[], COLUMN(Symbols[Currency])-COLUMN(Symbols[])+1,FALSE)</f>
        <v>USD</v>
      </c>
    </row>
    <row r="125" spans="1:25">
      <c r="A125" s="55" t="s">
        <v>65</v>
      </c>
      <c r="B125" s="56">
        <v>43052</v>
      </c>
      <c r="C125" s="55" t="s">
        <v>113</v>
      </c>
      <c r="D125" s="55"/>
      <c r="E125" s="55" t="s">
        <v>316</v>
      </c>
      <c r="F125" s="57">
        <v>200</v>
      </c>
      <c r="G125" s="58">
        <v>312.35000000000002</v>
      </c>
      <c r="H125" s="57">
        <v>1</v>
      </c>
      <c r="I125" s="57"/>
      <c r="J125" s="68">
        <v>62471</v>
      </c>
      <c r="K125" s="6"/>
      <c r="L125" s="20">
        <f>IF(ISNA(MATCH(Transactions[[#This Row],[TransType]],TransTypes[TransType],0)),1,MATCH(Transactions[[#This Row],[TransType]],TransTypes[TransType],0))</f>
        <v>2</v>
      </c>
      <c r="M125" s="60">
        <f>IF( AND( INDEX(TransTypes[],Transactions[[#This Row],[TTR]],TT_COL_GLFlag)=1, INDEX(TransTypes[],Transactions[[#This Row],[TTR]],TT_COL_LONGORSHORT)="S" ),
      Transactions[[#This Row],[PL]],
      IF(INDEX(TransTypes[],Transactions[[#This Row],[TTR]],TT_COL_LONGORSHORT)="S",0,Transactions[[#This Row],[CalCashImpact]])
)</f>
        <v>-62471</v>
      </c>
      <c r="N125" s="61">
        <f>IF(VLOOKUP(Transactions[[#This Row],[Symbol]],Symbols[],COLUMN(Symbols[Currency])-COLUMN(Symbols[])+1,FALSE)=
       VLOOKUP(Transactions[[#This Row],[Account]],Accounts[],COLUMN(Accounts[Currency])-COLUMN(Accounts[])+1,FALSE),
     Transactions[[#This Row],[OrigCashImpact]],
     0
)</f>
        <v>-62471</v>
      </c>
      <c r="O12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472067.28575993597</v>
      </c>
      <c r="P12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2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436</v>
      </c>
      <c r="R125" s="41">
        <f>ROW()</f>
        <v>125</v>
      </c>
      <c r="S1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62471</v>
      </c>
      <c r="T1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135625.84</v>
      </c>
      <c r="U12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436</v>
      </c>
      <c r="V125" s="65">
        <f>IF(INDEX(TransTypes[],Transactions[[#This Row],[TTR]],TT_COL_GLFlag)=1,Transactions[[#This Row],[CalCashImpact]]+Transactions[[#This Row],[CostImpact]],0)</f>
        <v>0</v>
      </c>
      <c r="W125" s="66">
        <f>Transactions[[#This Row],[Amount]]*INDEX(TransTypes[],Transactions[[#This Row],[TTR]],TT_COL_AmntSign)</f>
        <v>-62471</v>
      </c>
      <c r="X125" s="66">
        <f>IF(INDEX(TransTypes[],Transactions[[#This Row],[TTR]],TT_COL_LONGORSHORT)="S",
      IF( OR(INDEX(TransTypes[],Transactions[[#This Row],[TTR]],TT_COL_GLFlag)=1, INDEX(TransTypes[], Transactions[[#This Row],[TTR]], TT_COL_ShareTransferFlag)=1),
            Transactions[[#This Row],[CostImpact]]*-1,
            Transactions[[#This Row],[CalCashImpact]]
      ),
     0
)</f>
        <v>0</v>
      </c>
      <c r="Y125" s="67" t="str">
        <f>VLOOKUP(Transactions[[#This Row],[Symbol]],Symbols[], COLUMN(Symbols[Currency])-COLUMN(Symbols[])+1,FALSE)</f>
        <v>USD</v>
      </c>
    </row>
    <row r="126" spans="1:25">
      <c r="A126" s="55" t="s">
        <v>65</v>
      </c>
      <c r="B126" s="56">
        <v>43052</v>
      </c>
      <c r="C126" s="55" t="s">
        <v>113</v>
      </c>
      <c r="D126" s="55"/>
      <c r="E126" s="55" t="s">
        <v>322</v>
      </c>
      <c r="F126" s="57">
        <v>1000</v>
      </c>
      <c r="G126" s="58">
        <v>110.01982</v>
      </c>
      <c r="H126" s="57">
        <v>4.8</v>
      </c>
      <c r="I126" s="57"/>
      <c r="J126" s="68">
        <v>110024.62</v>
      </c>
      <c r="K126" s="6"/>
      <c r="L126" s="20">
        <f>IF(ISNA(MATCH(Transactions[[#This Row],[TransType]],TransTypes[TransType],0)),1,MATCH(Transactions[[#This Row],[TransType]],TransTypes[TransType],0))</f>
        <v>2</v>
      </c>
      <c r="M126" s="60">
        <f>IF( AND( INDEX(TransTypes[],Transactions[[#This Row],[TTR]],TT_COL_GLFlag)=1, INDEX(TransTypes[],Transactions[[#This Row],[TTR]],TT_COL_LONGORSHORT)="S" ),
      Transactions[[#This Row],[PL]],
      IF(INDEX(TransTypes[],Transactions[[#This Row],[TTR]],TT_COL_LONGORSHORT)="S",0,Transactions[[#This Row],[CalCashImpact]])
)</f>
        <v>-110024.62</v>
      </c>
      <c r="N126" s="61">
        <f>IF(VLOOKUP(Transactions[[#This Row],[Symbol]],Symbols[],COLUMN(Symbols[Currency])-COLUMN(Symbols[])+1,FALSE)=
       VLOOKUP(Transactions[[#This Row],[Account]],Accounts[],COLUMN(Accounts[Currency])-COLUMN(Accounts[])+1,FALSE),
     Transactions[[#This Row],[OrigCashImpact]],
     0
)</f>
        <v>-110024.62</v>
      </c>
      <c r="O12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362042.66575993598</v>
      </c>
      <c r="P12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2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26" s="41">
        <f>ROW()</f>
        <v>126</v>
      </c>
      <c r="S1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110024.62</v>
      </c>
      <c r="T1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110024.62</v>
      </c>
      <c r="U12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26" s="65">
        <f>IF(INDEX(TransTypes[],Transactions[[#This Row],[TTR]],TT_COL_GLFlag)=1,Transactions[[#This Row],[CalCashImpact]]+Transactions[[#This Row],[CostImpact]],0)</f>
        <v>0</v>
      </c>
      <c r="W126" s="66">
        <f>Transactions[[#This Row],[Amount]]*INDEX(TransTypes[],Transactions[[#This Row],[TTR]],TT_COL_AmntSign)</f>
        <v>-110024.62</v>
      </c>
      <c r="X126" s="66">
        <f>IF(INDEX(TransTypes[],Transactions[[#This Row],[TTR]],TT_COL_LONGORSHORT)="S",
      IF( OR(INDEX(TransTypes[],Transactions[[#This Row],[TTR]],TT_COL_GLFlag)=1, INDEX(TransTypes[], Transactions[[#This Row],[TTR]], TT_COL_ShareTransferFlag)=1),
            Transactions[[#This Row],[CostImpact]]*-1,
            Transactions[[#This Row],[CalCashImpact]]
      ),
     0
)</f>
        <v>0</v>
      </c>
      <c r="Y126" s="67" t="str">
        <f>VLOOKUP(Transactions[[#This Row],[Symbol]],Symbols[], COLUMN(Symbols[Currency])-COLUMN(Symbols[])+1,FALSE)</f>
        <v>USD</v>
      </c>
    </row>
    <row r="127" spans="1:25">
      <c r="A127" s="55" t="s">
        <v>65</v>
      </c>
      <c r="B127" s="56">
        <v>43052</v>
      </c>
      <c r="C127" s="55" t="s">
        <v>158</v>
      </c>
      <c r="D127" s="55"/>
      <c r="E127" s="55" t="s">
        <v>327</v>
      </c>
      <c r="F127" s="57">
        <v>4</v>
      </c>
      <c r="G127" s="58">
        <v>1.33</v>
      </c>
      <c r="H127" s="57">
        <v>1.9862892000000001</v>
      </c>
      <c r="I127" s="57"/>
      <c r="J127" s="68">
        <v>530.01371080000001</v>
      </c>
      <c r="K127" s="6"/>
      <c r="L127" s="20">
        <f>IF(ISNA(MATCH(Transactions[[#This Row],[TransType]],TransTypes[TransType],0)),1,MATCH(Transactions[[#This Row],[TransType]],TransTypes[TransType],0))</f>
        <v>19</v>
      </c>
      <c r="M127" s="60">
        <f>IF( AND( INDEX(TransTypes[],Transactions[[#This Row],[TTR]],TT_COL_GLFlag)=1, INDEX(TransTypes[],Transactions[[#This Row],[TTR]],TT_COL_LONGORSHORT)="S" ),
      Transactions[[#This Row],[PL]],
      IF(INDEX(TransTypes[],Transactions[[#This Row],[TTR]],TT_COL_LONGORSHORT)="S",0,Transactions[[#This Row],[CalCashImpact]])
)</f>
        <v>0</v>
      </c>
      <c r="N127" s="61">
        <f>IF(VLOOKUP(Transactions[[#This Row],[Symbol]],Symbols[],COLUMN(Symbols[Currency])-COLUMN(Symbols[])+1,FALSE)=
       VLOOKUP(Transactions[[#This Row],[Account]],Accounts[],COLUMN(Accounts[Currency])-COLUMN(Accounts[])+1,FALSE),
     Transactions[[#This Row],[OrigCashImpact]],
     0
)</f>
        <v>0</v>
      </c>
      <c r="O12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362042.66575993598</v>
      </c>
      <c r="P12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12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v>
      </c>
      <c r="R127" s="41">
        <f>ROW()</f>
        <v>127</v>
      </c>
      <c r="S1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-530.01371080000001</v>
      </c>
      <c r="T1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-530.01371080000001</v>
      </c>
      <c r="U12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127" s="65">
        <f>IF(INDEX(TransTypes[],Transactions[[#This Row],[TTR]],TT_COL_GLFlag)=1,Transactions[[#This Row],[CalCashImpact]]+Transactions[[#This Row],[CostImpact]],0)</f>
        <v>0</v>
      </c>
      <c r="W127" s="66">
        <f>Transactions[[#This Row],[Amount]]*INDEX(TransTypes[],Transactions[[#This Row],[TTR]],TT_COL_AmntSign)</f>
        <v>530.01371080000001</v>
      </c>
      <c r="X127" s="66">
        <f>IF(INDEX(TransTypes[],Transactions[[#This Row],[TTR]],TT_COL_LONGORSHORT)="S",
      IF( OR(INDEX(TransTypes[],Transactions[[#This Row],[TTR]],TT_COL_GLFlag)=1, INDEX(TransTypes[], Transactions[[#This Row],[TTR]], TT_COL_ShareTransferFlag)=1),
            Transactions[[#This Row],[CostImpact]]*-1,
            Transactions[[#This Row],[CalCashImpact]]
      ),
     0
)</f>
        <v>530.01371080000001</v>
      </c>
      <c r="Y127" s="67" t="str">
        <f>VLOOKUP(Transactions[[#This Row],[Symbol]],Symbols[], COLUMN(Symbols[Currency])-COLUMN(Symbols[])+1,FALSE)</f>
        <v>USD</v>
      </c>
    </row>
    <row r="128" spans="1:25">
      <c r="A128" s="55" t="s">
        <v>65</v>
      </c>
      <c r="B128" s="56">
        <v>43052</v>
      </c>
      <c r="C128" s="55" t="s">
        <v>158</v>
      </c>
      <c r="D128" s="55"/>
      <c r="E128" s="55" t="s">
        <v>328</v>
      </c>
      <c r="F128" s="57">
        <v>1</v>
      </c>
      <c r="G128" s="58">
        <v>13.1</v>
      </c>
      <c r="H128" s="57">
        <v>1.073761</v>
      </c>
      <c r="I128" s="57"/>
      <c r="J128" s="68">
        <v>1308.9262389999999</v>
      </c>
      <c r="K128" s="6"/>
      <c r="L128" s="20">
        <f>IF(ISNA(MATCH(Transactions[[#This Row],[TransType]],TransTypes[TransType],0)),1,MATCH(Transactions[[#This Row],[TransType]],TransTypes[TransType],0))</f>
        <v>19</v>
      </c>
      <c r="M128" s="60">
        <f>IF( AND( INDEX(TransTypes[],Transactions[[#This Row],[TTR]],TT_COL_GLFlag)=1, INDEX(TransTypes[],Transactions[[#This Row],[TTR]],TT_COL_LONGORSHORT)="S" ),
      Transactions[[#This Row],[PL]],
      IF(INDEX(TransTypes[],Transactions[[#This Row],[TTR]],TT_COL_LONGORSHORT)="S",0,Transactions[[#This Row],[CalCashImpact]])
)</f>
        <v>0</v>
      </c>
      <c r="N128" s="61">
        <f>IF(VLOOKUP(Transactions[[#This Row],[Symbol]],Symbols[],COLUMN(Symbols[Currency])-COLUMN(Symbols[])+1,FALSE)=
       VLOOKUP(Transactions[[#This Row],[Account]],Accounts[],COLUMN(Accounts[Currency])-COLUMN(Accounts[])+1,FALSE),
     Transactions[[#This Row],[OrigCashImpact]],
     0
)</f>
        <v>0</v>
      </c>
      <c r="O12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362042.66575993598</v>
      </c>
      <c r="P12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12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128" s="41">
        <f>ROW()</f>
        <v>128</v>
      </c>
      <c r="S1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-1308.9262389999999</v>
      </c>
      <c r="T1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-1308.9262389999999</v>
      </c>
      <c r="U12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128" s="65">
        <f>IF(INDEX(TransTypes[],Transactions[[#This Row],[TTR]],TT_COL_GLFlag)=1,Transactions[[#This Row],[CalCashImpact]]+Transactions[[#This Row],[CostImpact]],0)</f>
        <v>0</v>
      </c>
      <c r="W128" s="66">
        <f>Transactions[[#This Row],[Amount]]*INDEX(TransTypes[],Transactions[[#This Row],[TTR]],TT_COL_AmntSign)</f>
        <v>1308.9262389999999</v>
      </c>
      <c r="X128" s="66">
        <f>IF(INDEX(TransTypes[],Transactions[[#This Row],[TTR]],TT_COL_LONGORSHORT)="S",
      IF( OR(INDEX(TransTypes[],Transactions[[#This Row],[TTR]],TT_COL_GLFlag)=1, INDEX(TransTypes[], Transactions[[#This Row],[TTR]], TT_COL_ShareTransferFlag)=1),
            Transactions[[#This Row],[CostImpact]]*-1,
            Transactions[[#This Row],[CalCashImpact]]
      ),
     0
)</f>
        <v>1308.9262389999999</v>
      </c>
      <c r="Y128" s="67" t="str">
        <f>VLOOKUP(Transactions[[#This Row],[Symbol]],Symbols[], COLUMN(Symbols[Currency])-COLUMN(Symbols[])+1,FALSE)</f>
        <v>USD</v>
      </c>
    </row>
    <row r="129" spans="1:25">
      <c r="A129" s="55" t="s">
        <v>65</v>
      </c>
      <c r="B129" s="56">
        <v>43053</v>
      </c>
      <c r="C129" s="55" t="s">
        <v>113</v>
      </c>
      <c r="D129" s="55"/>
      <c r="E129" s="55" t="s">
        <v>270</v>
      </c>
      <c r="F129" s="57">
        <v>5000</v>
      </c>
      <c r="G129" s="58">
        <v>18.04</v>
      </c>
      <c r="H129" s="57">
        <v>259.0308</v>
      </c>
      <c r="I129" s="57"/>
      <c r="J129" s="68">
        <v>90459.030799999993</v>
      </c>
      <c r="K129" s="6"/>
      <c r="L129" s="20">
        <f>IF(ISNA(MATCH(Transactions[[#This Row],[TransType]],TransTypes[TransType],0)),1,MATCH(Transactions[[#This Row],[TransType]],TransTypes[TransType],0))</f>
        <v>2</v>
      </c>
      <c r="M129" s="60">
        <f>IF( AND( INDEX(TransTypes[],Transactions[[#This Row],[TTR]],TT_COL_GLFlag)=1, INDEX(TransTypes[],Transactions[[#This Row],[TTR]],TT_COL_LONGORSHORT)="S" ),
      Transactions[[#This Row],[PL]],
      IF(INDEX(TransTypes[],Transactions[[#This Row],[TTR]],TT_COL_LONGORSHORT)="S",0,Transactions[[#This Row],[CalCashImpact]])
)</f>
        <v>-90459.030799999993</v>
      </c>
      <c r="N129" s="61">
        <f>IF(VLOOKUP(Transactions[[#This Row],[Symbol]],Symbols[],COLUMN(Symbols[Currency])-COLUMN(Symbols[])+1,FALSE)=
       VLOOKUP(Transactions[[#This Row],[Account]],Accounts[],COLUMN(Accounts[Currency])-COLUMN(Accounts[])+1,FALSE),
     Transactions[[#This Row],[OrigCashImpact]],
     0
)</f>
        <v>0</v>
      </c>
      <c r="O12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362042.66575993609</v>
      </c>
      <c r="P12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43000</v>
      </c>
      <c r="R129" s="41">
        <f>ROW()</f>
        <v>129</v>
      </c>
      <c r="S1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90459.030799999993</v>
      </c>
      <c r="T1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751720.13277999987</v>
      </c>
      <c r="U12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43000</v>
      </c>
      <c r="V129" s="65">
        <f>IF(INDEX(TransTypes[],Transactions[[#This Row],[TTR]],TT_COL_GLFlag)=1,Transactions[[#This Row],[CalCashImpact]]+Transactions[[#This Row],[CostImpact]],0)</f>
        <v>0</v>
      </c>
      <c r="W129" s="66">
        <f>Transactions[[#This Row],[Amount]]*INDEX(TransTypes[],Transactions[[#This Row],[TTR]],TT_COL_AmntSign)</f>
        <v>-90459.030799999993</v>
      </c>
      <c r="X129" s="66">
        <f>IF(INDEX(TransTypes[],Transactions[[#This Row],[TTR]],TT_COL_LONGORSHORT)="S",
      IF( OR(INDEX(TransTypes[],Transactions[[#This Row],[TTR]],TT_COL_GLFlag)=1, INDEX(TransTypes[], Transactions[[#This Row],[TTR]], TT_COL_ShareTransferFlag)=1),
            Transactions[[#This Row],[CostImpact]]*-1,
            Transactions[[#This Row],[CalCashImpact]]
      ),
     0
)</f>
        <v>0</v>
      </c>
      <c r="Y129" s="67" t="str">
        <f>VLOOKUP(Transactions[[#This Row],[Symbol]],Symbols[], COLUMN(Symbols[Currency])-COLUMN(Symbols[])+1,FALSE)</f>
        <v>HKD</v>
      </c>
    </row>
    <row r="130" spans="1:25">
      <c r="A130" s="55" t="s">
        <v>65</v>
      </c>
      <c r="B130" s="56">
        <v>43053</v>
      </c>
      <c r="C130" s="55" t="s">
        <v>115</v>
      </c>
      <c r="D130" s="55"/>
      <c r="E130" s="55" t="s">
        <v>199</v>
      </c>
      <c r="F130" s="57">
        <v>200</v>
      </c>
      <c r="G130" s="58">
        <v>387.8</v>
      </c>
      <c r="H130" s="57">
        <v>222.23624000000001</v>
      </c>
      <c r="I130" s="57"/>
      <c r="J130" s="68">
        <v>77337.763760000002</v>
      </c>
      <c r="K130" s="6"/>
      <c r="L130" s="20">
        <f>IF(ISNA(MATCH(Transactions[[#This Row],[TransType]],TransTypes[TransType],0)),1,MATCH(Transactions[[#This Row],[TransType]],TransTypes[TransType],0))</f>
        <v>3</v>
      </c>
      <c r="M130" s="60">
        <f>IF( AND( INDEX(TransTypes[],Transactions[[#This Row],[TTR]],TT_COL_GLFlag)=1, INDEX(TransTypes[],Transactions[[#This Row],[TTR]],TT_COL_LONGORSHORT)="S" ),
      Transactions[[#This Row],[PL]],
      IF(INDEX(TransTypes[],Transactions[[#This Row],[TTR]],TT_COL_LONGORSHORT)="S",0,Transactions[[#This Row],[CalCashImpact]])
)</f>
        <v>77337.763760000002</v>
      </c>
      <c r="N130" s="61">
        <f>IF(VLOOKUP(Transactions[[#This Row],[Symbol]],Symbols[],COLUMN(Symbols[Currency])-COLUMN(Symbols[])+1,FALSE)=
       VLOOKUP(Transactions[[#This Row],[Account]],Accounts[],COLUMN(Accounts[Currency])-COLUMN(Accounts[])+1,FALSE),
     Transactions[[#This Row],[OrigCashImpact]],
     0
)</f>
        <v>0</v>
      </c>
      <c r="O13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362042.66575993609</v>
      </c>
      <c r="P13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3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v>
      </c>
      <c r="R130" s="41">
        <f>ROW()</f>
        <v>130</v>
      </c>
      <c r="S1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-65479.680051199997</v>
      </c>
      <c r="T1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589317.12046080001</v>
      </c>
      <c r="U13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30" s="65">
        <f>IF(INDEX(TransTypes[],Transactions[[#This Row],[TTR]],TT_COL_GLFlag)=1,Transactions[[#This Row],[CalCashImpact]]+Transactions[[#This Row],[CostImpact]],0)</f>
        <v>11858.083708800004</v>
      </c>
      <c r="W130" s="66">
        <f>Transactions[[#This Row],[Amount]]*INDEX(TransTypes[],Transactions[[#This Row],[TTR]],TT_COL_AmntSign)</f>
        <v>77337.763760000002</v>
      </c>
      <c r="X130" s="66">
        <f>IF(INDEX(TransTypes[],Transactions[[#This Row],[TTR]],TT_COL_LONGORSHORT)="S",
      IF( OR(INDEX(TransTypes[],Transactions[[#This Row],[TTR]],TT_COL_GLFlag)=1, INDEX(TransTypes[], Transactions[[#This Row],[TTR]], TT_COL_ShareTransferFlag)=1),
            Transactions[[#This Row],[CostImpact]]*-1,
            Transactions[[#This Row],[CalCashImpact]]
      ),
     0
)</f>
        <v>0</v>
      </c>
      <c r="Y130" s="67" t="str">
        <f>VLOOKUP(Transactions[[#This Row],[Symbol]],Symbols[], COLUMN(Symbols[Currency])-COLUMN(Symbols[])+1,FALSE)</f>
        <v>HKD</v>
      </c>
    </row>
    <row r="131" spans="1:25">
      <c r="A131" s="55" t="s">
        <v>65</v>
      </c>
      <c r="B131" s="56">
        <v>43053</v>
      </c>
      <c r="C131" s="55" t="s">
        <v>113</v>
      </c>
      <c r="D131" s="55"/>
      <c r="E131" s="55" t="s">
        <v>281</v>
      </c>
      <c r="F131" s="57">
        <v>100</v>
      </c>
      <c r="G131" s="58">
        <v>181.58</v>
      </c>
      <c r="H131" s="57">
        <v>1</v>
      </c>
      <c r="I131" s="57"/>
      <c r="J131" s="68">
        <v>18159</v>
      </c>
      <c r="K131" s="6"/>
      <c r="L131" s="20">
        <f>IF(ISNA(MATCH(Transactions[[#This Row],[TransType]],TransTypes[TransType],0)),1,MATCH(Transactions[[#This Row],[TransType]],TransTypes[TransType],0))</f>
        <v>2</v>
      </c>
      <c r="M131" s="60">
        <f>IF( AND( INDEX(TransTypes[],Transactions[[#This Row],[TTR]],TT_COL_GLFlag)=1, INDEX(TransTypes[],Transactions[[#This Row],[TTR]],TT_COL_LONGORSHORT)="S" ),
      Transactions[[#This Row],[PL]],
      IF(INDEX(TransTypes[],Transactions[[#This Row],[TTR]],TT_COL_LONGORSHORT)="S",0,Transactions[[#This Row],[CalCashImpact]])
)</f>
        <v>-18159</v>
      </c>
      <c r="N131" s="61">
        <f>IF(VLOOKUP(Transactions[[#This Row],[Symbol]],Symbols[],COLUMN(Symbols[Currency])-COLUMN(Symbols[])+1,FALSE)=
       VLOOKUP(Transactions[[#This Row],[Account]],Accounts[],COLUMN(Accounts[Currency])-COLUMN(Accounts[])+1,FALSE),
     Transactions[[#This Row],[OrigCashImpact]],
     0
)</f>
        <v>-18159</v>
      </c>
      <c r="O13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343883.66575993609</v>
      </c>
      <c r="P13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3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v>
      </c>
      <c r="R131" s="41">
        <f>ROW()</f>
        <v>131</v>
      </c>
      <c r="S1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18159</v>
      </c>
      <c r="T1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18159</v>
      </c>
      <c r="U13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v>
      </c>
      <c r="V131" s="65">
        <f>IF(INDEX(TransTypes[],Transactions[[#This Row],[TTR]],TT_COL_GLFlag)=1,Transactions[[#This Row],[CalCashImpact]]+Transactions[[#This Row],[CostImpact]],0)</f>
        <v>0</v>
      </c>
      <c r="W131" s="66">
        <f>Transactions[[#This Row],[Amount]]*INDEX(TransTypes[],Transactions[[#This Row],[TTR]],TT_COL_AmntSign)</f>
        <v>-18159</v>
      </c>
      <c r="X131" s="66">
        <f>IF(INDEX(TransTypes[],Transactions[[#This Row],[TTR]],TT_COL_LONGORSHORT)="S",
      IF( OR(INDEX(TransTypes[],Transactions[[#This Row],[TTR]],TT_COL_GLFlag)=1, INDEX(TransTypes[], Transactions[[#This Row],[TTR]], TT_COL_ShareTransferFlag)=1),
            Transactions[[#This Row],[CostImpact]]*-1,
            Transactions[[#This Row],[CalCashImpact]]
      ),
     0
)</f>
        <v>0</v>
      </c>
      <c r="Y131" s="67" t="str">
        <f>VLOOKUP(Transactions[[#This Row],[Symbol]],Symbols[], COLUMN(Symbols[Currency])-COLUMN(Symbols[])+1,FALSE)</f>
        <v>USD</v>
      </c>
    </row>
    <row r="132" spans="1:25">
      <c r="A132" s="55" t="s">
        <v>65</v>
      </c>
      <c r="B132" s="56">
        <v>43053</v>
      </c>
      <c r="C132" s="55" t="s">
        <v>113</v>
      </c>
      <c r="D132" s="55"/>
      <c r="E132" s="55" t="s">
        <v>27</v>
      </c>
      <c r="F132" s="57">
        <v>735</v>
      </c>
      <c r="G132" s="58">
        <v>121.59</v>
      </c>
      <c r="H132" s="57">
        <v>3.6749999999999998</v>
      </c>
      <c r="I132" s="57"/>
      <c r="J132" s="68">
        <v>89372.324999999997</v>
      </c>
      <c r="K132" s="6"/>
      <c r="L132" s="20">
        <f>IF(ISNA(MATCH(Transactions[[#This Row],[TransType]],TransTypes[TransType],0)),1,MATCH(Transactions[[#This Row],[TransType]],TransTypes[TransType],0))</f>
        <v>2</v>
      </c>
      <c r="M132" s="60">
        <f>IF( AND( INDEX(TransTypes[],Transactions[[#This Row],[TTR]],TT_COL_GLFlag)=1, INDEX(TransTypes[],Transactions[[#This Row],[TTR]],TT_COL_LONGORSHORT)="S" ),
      Transactions[[#This Row],[PL]],
      IF(INDEX(TransTypes[],Transactions[[#This Row],[TTR]],TT_COL_LONGORSHORT)="S",0,Transactions[[#This Row],[CalCashImpact]])
)</f>
        <v>-89372.324999999997</v>
      </c>
      <c r="N132" s="61">
        <f>IF(VLOOKUP(Transactions[[#This Row],[Symbol]],Symbols[],COLUMN(Symbols[Currency])-COLUMN(Symbols[])+1,FALSE)=
       VLOOKUP(Transactions[[#This Row],[Account]],Accounts[],COLUMN(Accounts[Currency])-COLUMN(Accounts[])+1,FALSE),
     Transactions[[#This Row],[OrigCashImpact]],
     0
)</f>
        <v>-89372.324999999997</v>
      </c>
      <c r="O13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254511.34075993608</v>
      </c>
      <c r="P13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735</v>
      </c>
      <c r="Q13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735</v>
      </c>
      <c r="R132" s="41">
        <f>ROW()</f>
        <v>132</v>
      </c>
      <c r="S1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89372.324999999997</v>
      </c>
      <c r="T1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89372.324999999997</v>
      </c>
      <c r="U13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735</v>
      </c>
      <c r="V132" s="65">
        <f>IF(INDEX(TransTypes[],Transactions[[#This Row],[TTR]],TT_COL_GLFlag)=1,Transactions[[#This Row],[CalCashImpact]]+Transactions[[#This Row],[CostImpact]],0)</f>
        <v>0</v>
      </c>
      <c r="W132" s="66">
        <f>Transactions[[#This Row],[Amount]]*INDEX(TransTypes[],Transactions[[#This Row],[TTR]],TT_COL_AmntSign)</f>
        <v>-89372.324999999997</v>
      </c>
      <c r="X132" s="66">
        <f>IF(INDEX(TransTypes[],Transactions[[#This Row],[TTR]],TT_COL_LONGORSHORT)="S",
      IF( OR(INDEX(TransTypes[],Transactions[[#This Row],[TTR]],TT_COL_GLFlag)=1, INDEX(TransTypes[], Transactions[[#This Row],[TTR]], TT_COL_ShareTransferFlag)=1),
            Transactions[[#This Row],[CostImpact]]*-1,
            Transactions[[#This Row],[CalCashImpact]]
      ),
     0
)</f>
        <v>0</v>
      </c>
      <c r="Y132" s="67" t="str">
        <f>VLOOKUP(Transactions[[#This Row],[Symbol]],Symbols[], COLUMN(Symbols[Currency])-COLUMN(Symbols[])+1,FALSE)</f>
        <v>USD</v>
      </c>
    </row>
    <row r="133" spans="1:25">
      <c r="A133" s="55" t="s">
        <v>65</v>
      </c>
      <c r="B133" s="56">
        <v>43053</v>
      </c>
      <c r="C133" s="55" t="s">
        <v>115</v>
      </c>
      <c r="D133" s="55"/>
      <c r="E133" s="55" t="s">
        <v>298</v>
      </c>
      <c r="F133" s="57">
        <v>561</v>
      </c>
      <c r="G133" s="58">
        <v>39.410699999999999</v>
      </c>
      <c r="H133" s="57">
        <v>2.821486202</v>
      </c>
      <c r="I133" s="57"/>
      <c r="J133" s="68">
        <v>22106.581213797999</v>
      </c>
      <c r="K133" s="6"/>
      <c r="L133" s="20">
        <f>IF(ISNA(MATCH(Transactions[[#This Row],[TransType]],TransTypes[TransType],0)),1,MATCH(Transactions[[#This Row],[TransType]],TransTypes[TransType],0))</f>
        <v>3</v>
      </c>
      <c r="M133" s="60">
        <f>IF( AND( INDEX(TransTypes[],Transactions[[#This Row],[TTR]],TT_COL_GLFlag)=1, INDEX(TransTypes[],Transactions[[#This Row],[TTR]],TT_COL_LONGORSHORT)="S" ),
      Transactions[[#This Row],[PL]],
      IF(INDEX(TransTypes[],Transactions[[#This Row],[TTR]],TT_COL_LONGORSHORT)="S",0,Transactions[[#This Row],[CalCashImpact]])
)</f>
        <v>22106.581213797999</v>
      </c>
      <c r="N133" s="61">
        <f>IF(VLOOKUP(Transactions[[#This Row],[Symbol]],Symbols[],COLUMN(Symbols[Currency])-COLUMN(Symbols[])+1,FALSE)=
       VLOOKUP(Transactions[[#This Row],[Account]],Accounts[],COLUMN(Accounts[Currency])-COLUMN(Accounts[])+1,FALSE),
     Transactions[[#This Row],[OrigCashImpact]],
     0
)</f>
        <v>22106.581213797999</v>
      </c>
      <c r="O13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276617.9219737341</v>
      </c>
      <c r="P13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-561</v>
      </c>
      <c r="Q13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909</v>
      </c>
      <c r="R133" s="41">
        <f>ROW()</f>
        <v>133</v>
      </c>
      <c r="S1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-23264.956224489793</v>
      </c>
      <c r="T1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37696.693775510197</v>
      </c>
      <c r="U13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1470</v>
      </c>
      <c r="V133" s="65">
        <f>IF(INDEX(TransTypes[],Transactions[[#This Row],[TTR]],TT_COL_GLFlag)=1,Transactions[[#This Row],[CalCashImpact]]+Transactions[[#This Row],[CostImpact]],0)</f>
        <v>-1158.3750106917942</v>
      </c>
      <c r="W133" s="66">
        <f>Transactions[[#This Row],[Amount]]*INDEX(TransTypes[],Transactions[[#This Row],[TTR]],TT_COL_AmntSign)</f>
        <v>22106.581213797999</v>
      </c>
      <c r="X133" s="66">
        <f>IF(INDEX(TransTypes[],Transactions[[#This Row],[TTR]],TT_COL_LONGORSHORT)="S",
      IF( OR(INDEX(TransTypes[],Transactions[[#This Row],[TTR]],TT_COL_GLFlag)=1, INDEX(TransTypes[], Transactions[[#This Row],[TTR]], TT_COL_ShareTransferFlag)=1),
            Transactions[[#This Row],[CostImpact]]*-1,
            Transactions[[#This Row],[CalCashImpact]]
      ),
     0
)</f>
        <v>0</v>
      </c>
      <c r="Y133" s="67" t="str">
        <f>VLOOKUP(Transactions[[#This Row],[Symbol]],Symbols[], COLUMN(Symbols[Currency])-COLUMN(Symbols[])+1,FALSE)</f>
        <v>USD</v>
      </c>
    </row>
    <row r="134" spans="1:25">
      <c r="A134" s="55" t="s">
        <v>65</v>
      </c>
      <c r="B134" s="56">
        <v>43053</v>
      </c>
      <c r="C134" s="55" t="s">
        <v>115</v>
      </c>
      <c r="D134" s="55"/>
      <c r="E134" s="55" t="s">
        <v>298</v>
      </c>
      <c r="F134" s="57">
        <v>909</v>
      </c>
      <c r="G134" s="58">
        <v>38.520000000000003</v>
      </c>
      <c r="H134" s="57">
        <v>5.4620101080000003</v>
      </c>
      <c r="I134" s="57"/>
      <c r="J134" s="68">
        <v>35009.217989892</v>
      </c>
      <c r="K134" s="6"/>
      <c r="L134" s="20">
        <f>IF(ISNA(MATCH(Transactions[[#This Row],[TransType]],TransTypes[TransType],0)),1,MATCH(Transactions[[#This Row],[TransType]],TransTypes[TransType],0))</f>
        <v>3</v>
      </c>
      <c r="M134" s="60">
        <f>IF( AND( INDEX(TransTypes[],Transactions[[#This Row],[TTR]],TT_COL_GLFlag)=1, INDEX(TransTypes[],Transactions[[#This Row],[TTR]],TT_COL_LONGORSHORT)="S" ),
      Transactions[[#This Row],[PL]],
      IF(INDEX(TransTypes[],Transactions[[#This Row],[TTR]],TT_COL_LONGORSHORT)="S",0,Transactions[[#This Row],[CalCashImpact]])
)</f>
        <v>35009.217989892</v>
      </c>
      <c r="N134" s="61">
        <f>IF(VLOOKUP(Transactions[[#This Row],[Symbol]],Symbols[],COLUMN(Symbols[Currency])-COLUMN(Symbols[])+1,FALSE)=
       VLOOKUP(Transactions[[#This Row],[Account]],Accounts[],COLUMN(Accounts[Currency])-COLUMN(Accounts[])+1,FALSE),
     Transactions[[#This Row],[OrigCashImpact]],
     0
)</f>
        <v>35009.217989892</v>
      </c>
      <c r="O13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311627.1399636261</v>
      </c>
      <c r="P13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-909</v>
      </c>
      <c r="Q13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4" s="41">
        <f>ROW()</f>
        <v>134</v>
      </c>
      <c r="S1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-37696.693775510197</v>
      </c>
      <c r="T1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909</v>
      </c>
      <c r="V134" s="65">
        <f>IF(INDEX(TransTypes[],Transactions[[#This Row],[TTR]],TT_COL_GLFlag)=1,Transactions[[#This Row],[CalCashImpact]]+Transactions[[#This Row],[CostImpact]],0)</f>
        <v>-2687.4757856181968</v>
      </c>
      <c r="W134" s="66">
        <f>Transactions[[#This Row],[Amount]]*INDEX(TransTypes[],Transactions[[#This Row],[TTR]],TT_COL_AmntSign)</f>
        <v>35009.217989892</v>
      </c>
      <c r="X134" s="66">
        <f>IF(INDEX(TransTypes[],Transactions[[#This Row],[TTR]],TT_COL_LONGORSHORT)="S",
      IF( OR(INDEX(TransTypes[],Transactions[[#This Row],[TTR]],TT_COL_GLFlag)=1, INDEX(TransTypes[], Transactions[[#This Row],[TTR]], TT_COL_ShareTransferFlag)=1),
            Transactions[[#This Row],[CostImpact]]*-1,
            Transactions[[#This Row],[CalCashImpact]]
      ),
     0
)</f>
        <v>0</v>
      </c>
      <c r="Y134" s="67" t="str">
        <f>VLOOKUP(Transactions[[#This Row],[Symbol]],Symbols[], COLUMN(Symbols[Currency])-COLUMN(Symbols[])+1,FALSE)</f>
        <v>USD</v>
      </c>
    </row>
    <row r="135" spans="1:25">
      <c r="A135" s="55" t="s">
        <v>65</v>
      </c>
      <c r="B135" s="56">
        <v>43053</v>
      </c>
      <c r="C135" s="55" t="s">
        <v>113</v>
      </c>
      <c r="D135" s="55"/>
      <c r="E135" s="55" t="s">
        <v>305</v>
      </c>
      <c r="F135" s="57">
        <v>115</v>
      </c>
      <c r="G135" s="58">
        <v>140.02000000000001</v>
      </c>
      <c r="H135" s="57">
        <v>1</v>
      </c>
      <c r="I135" s="57"/>
      <c r="J135" s="68">
        <v>16103.3</v>
      </c>
      <c r="K135" s="6"/>
      <c r="L135" s="20">
        <f>IF(ISNA(MATCH(Transactions[[#This Row],[TransType]],TransTypes[TransType],0)),1,MATCH(Transactions[[#This Row],[TransType]],TransTypes[TransType],0))</f>
        <v>2</v>
      </c>
      <c r="M135" s="60">
        <f>IF( AND( INDEX(TransTypes[],Transactions[[#This Row],[TTR]],TT_COL_GLFlag)=1, INDEX(TransTypes[],Transactions[[#This Row],[TTR]],TT_COL_LONGORSHORT)="S" ),
      Transactions[[#This Row],[PL]],
      IF(INDEX(TransTypes[],Transactions[[#This Row],[TTR]],TT_COL_LONGORSHORT)="S",0,Transactions[[#This Row],[CalCashImpact]])
)</f>
        <v>-16103.3</v>
      </c>
      <c r="N135" s="61">
        <f>IF(VLOOKUP(Transactions[[#This Row],[Symbol]],Symbols[],COLUMN(Symbols[Currency])-COLUMN(Symbols[])+1,FALSE)=
       VLOOKUP(Transactions[[#This Row],[Account]],Accounts[],COLUMN(Accounts[Currency])-COLUMN(Accounts[])+1,FALSE),
     Transactions[[#This Row],[OrigCashImpact]],
     0
)</f>
        <v>-16103.3</v>
      </c>
      <c r="O13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295523.83996362612</v>
      </c>
      <c r="P13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115</v>
      </c>
      <c r="Q13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255</v>
      </c>
      <c r="R135" s="41">
        <f>ROW()</f>
        <v>135</v>
      </c>
      <c r="S1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16103.3</v>
      </c>
      <c r="T1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34413.155789473683</v>
      </c>
      <c r="U13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255</v>
      </c>
      <c r="V135" s="65">
        <f>IF(INDEX(TransTypes[],Transactions[[#This Row],[TTR]],TT_COL_GLFlag)=1,Transactions[[#This Row],[CalCashImpact]]+Transactions[[#This Row],[CostImpact]],0)</f>
        <v>0</v>
      </c>
      <c r="W135" s="66">
        <f>Transactions[[#This Row],[Amount]]*INDEX(TransTypes[],Transactions[[#This Row],[TTR]],TT_COL_AmntSign)</f>
        <v>-16103.3</v>
      </c>
      <c r="X135" s="66">
        <f>IF(INDEX(TransTypes[],Transactions[[#This Row],[TTR]],TT_COL_LONGORSHORT)="S",
      IF( OR(INDEX(TransTypes[],Transactions[[#This Row],[TTR]],TT_COL_GLFlag)=1, INDEX(TransTypes[], Transactions[[#This Row],[TTR]], TT_COL_ShareTransferFlag)=1),
            Transactions[[#This Row],[CostImpact]]*-1,
            Transactions[[#This Row],[CalCashImpact]]
      ),
     0
)</f>
        <v>0</v>
      </c>
      <c r="Y135" s="67" t="str">
        <f>VLOOKUP(Transactions[[#This Row],[Symbol]],Symbols[], COLUMN(Symbols[Currency])-COLUMN(Symbols[])+1,FALSE)</f>
        <v>USD</v>
      </c>
    </row>
    <row r="136" spans="1:25">
      <c r="A136" s="55" t="s">
        <v>65</v>
      </c>
      <c r="B136" s="56">
        <v>43053</v>
      </c>
      <c r="C136" s="55" t="s">
        <v>113</v>
      </c>
      <c r="D136" s="55"/>
      <c r="E136" s="55" t="s">
        <v>20</v>
      </c>
      <c r="F136" s="57">
        <v>1000</v>
      </c>
      <c r="G136" s="58">
        <v>125.11750000000001</v>
      </c>
      <c r="H136" s="57">
        <v>4</v>
      </c>
      <c r="I136" s="57"/>
      <c r="J136" s="68">
        <v>125121.5</v>
      </c>
      <c r="K136" s="6"/>
      <c r="L136" s="20">
        <f>IF(ISNA(MATCH(Transactions[[#This Row],[TransType]],TransTypes[TransType],0)),1,MATCH(Transactions[[#This Row],[TransType]],TransTypes[TransType],0))</f>
        <v>2</v>
      </c>
      <c r="M136" s="60">
        <f>IF( AND( INDEX(TransTypes[],Transactions[[#This Row],[TTR]],TT_COL_GLFlag)=1, INDEX(TransTypes[],Transactions[[#This Row],[TTR]],TT_COL_LONGORSHORT)="S" ),
      Transactions[[#This Row],[PL]],
      IF(INDEX(TransTypes[],Transactions[[#This Row],[TTR]],TT_COL_LONGORSHORT)="S",0,Transactions[[#This Row],[CalCashImpact]])
)</f>
        <v>-125121.5</v>
      </c>
      <c r="N136" s="61">
        <f>IF(VLOOKUP(Transactions[[#This Row],[Symbol]],Symbols[],COLUMN(Symbols[Currency])-COLUMN(Symbols[])+1,FALSE)=
       VLOOKUP(Transactions[[#This Row],[Account]],Accounts[],COLUMN(Accounts[Currency])-COLUMN(Accounts[])+1,FALSE),
     Transactions[[#This Row],[OrigCashImpact]],
     0
)</f>
        <v>-125121.5</v>
      </c>
      <c r="O13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170402.33996362609</v>
      </c>
      <c r="P13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2200</v>
      </c>
      <c r="R136" s="41">
        <f>ROW()</f>
        <v>136</v>
      </c>
      <c r="S1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125121.5</v>
      </c>
      <c r="T1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275418.77</v>
      </c>
      <c r="U13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2200</v>
      </c>
      <c r="V136" s="65">
        <f>IF(INDEX(TransTypes[],Transactions[[#This Row],[TTR]],TT_COL_GLFlag)=1,Transactions[[#This Row],[CalCashImpact]]+Transactions[[#This Row],[CostImpact]],0)</f>
        <v>0</v>
      </c>
      <c r="W136" s="66">
        <f>Transactions[[#This Row],[Amount]]*INDEX(TransTypes[],Transactions[[#This Row],[TTR]],TT_COL_AmntSign)</f>
        <v>-125121.5</v>
      </c>
      <c r="X136" s="66">
        <f>IF(INDEX(TransTypes[],Transactions[[#This Row],[TTR]],TT_COL_LONGORSHORT)="S",
      IF( OR(INDEX(TransTypes[],Transactions[[#This Row],[TTR]],TT_COL_GLFlag)=1, INDEX(TransTypes[], Transactions[[#This Row],[TTR]], TT_COL_ShareTransferFlag)=1),
            Transactions[[#This Row],[CostImpact]]*-1,
            Transactions[[#This Row],[CalCashImpact]]
      ),
     0
)</f>
        <v>0</v>
      </c>
      <c r="Y136" s="67" t="str">
        <f>VLOOKUP(Transactions[[#This Row],[Symbol]],Symbols[], COLUMN(Symbols[Currency])-COLUMN(Symbols[])+1,FALSE)</f>
        <v>USD</v>
      </c>
    </row>
    <row r="137" spans="1:25">
      <c r="A137" s="55" t="s">
        <v>65</v>
      </c>
      <c r="B137" s="56">
        <v>43053</v>
      </c>
      <c r="C137" s="55" t="s">
        <v>113</v>
      </c>
      <c r="D137" s="55"/>
      <c r="E137" s="55" t="s">
        <v>20</v>
      </c>
      <c r="F137" s="57">
        <v>500</v>
      </c>
      <c r="G137" s="58">
        <v>125.22</v>
      </c>
      <c r="H137" s="57">
        <v>2.1</v>
      </c>
      <c r="I137" s="57"/>
      <c r="J137" s="68">
        <v>62612.1</v>
      </c>
      <c r="K137" s="6"/>
      <c r="L137" s="20">
        <f>IF(ISNA(MATCH(Transactions[[#This Row],[TransType]],TransTypes[TransType],0)),1,MATCH(Transactions[[#This Row],[TransType]],TransTypes[TransType],0))</f>
        <v>2</v>
      </c>
      <c r="M137" s="60">
        <f>IF( AND( INDEX(TransTypes[],Transactions[[#This Row],[TTR]],TT_COL_GLFlag)=1, INDEX(TransTypes[],Transactions[[#This Row],[TTR]],TT_COL_LONGORSHORT)="S" ),
      Transactions[[#This Row],[PL]],
      IF(INDEX(TransTypes[],Transactions[[#This Row],[TTR]],TT_COL_LONGORSHORT)="S",0,Transactions[[#This Row],[CalCashImpact]])
)</f>
        <v>-62612.1</v>
      </c>
      <c r="N137" s="61">
        <f>IF(VLOOKUP(Transactions[[#This Row],[Symbol]],Symbols[],COLUMN(Symbols[Currency])-COLUMN(Symbols[])+1,FALSE)=
       VLOOKUP(Transactions[[#This Row],[Account]],Accounts[],COLUMN(Accounts[Currency])-COLUMN(Accounts[])+1,FALSE),
     Transactions[[#This Row],[OrigCashImpact]],
     0
)</f>
        <v>-62612.1</v>
      </c>
      <c r="O13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107790.23996362608</v>
      </c>
      <c r="P13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2700</v>
      </c>
      <c r="R137" s="41">
        <f>ROW()</f>
        <v>137</v>
      </c>
      <c r="S1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62612.1</v>
      </c>
      <c r="T1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338030.87</v>
      </c>
      <c r="U13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2700</v>
      </c>
      <c r="V137" s="65">
        <f>IF(INDEX(TransTypes[],Transactions[[#This Row],[TTR]],TT_COL_GLFlag)=1,Transactions[[#This Row],[CalCashImpact]]+Transactions[[#This Row],[CostImpact]],0)</f>
        <v>0</v>
      </c>
      <c r="W137" s="66">
        <f>Transactions[[#This Row],[Amount]]*INDEX(TransTypes[],Transactions[[#This Row],[TTR]],TT_COL_AmntSign)</f>
        <v>-62612.1</v>
      </c>
      <c r="X137" s="66">
        <f>IF(INDEX(TransTypes[],Transactions[[#This Row],[TTR]],TT_COL_LONGORSHORT)="S",
      IF( OR(INDEX(TransTypes[],Transactions[[#This Row],[TTR]],TT_COL_GLFlag)=1, INDEX(TransTypes[], Transactions[[#This Row],[TTR]], TT_COL_ShareTransferFlag)=1),
            Transactions[[#This Row],[CostImpact]]*-1,
            Transactions[[#This Row],[CalCashImpact]]
      ),
     0
)</f>
        <v>0</v>
      </c>
      <c r="Y137" s="67" t="str">
        <f>VLOOKUP(Transactions[[#This Row],[Symbol]],Symbols[], COLUMN(Symbols[Currency])-COLUMN(Symbols[])+1,FALSE)</f>
        <v>USD</v>
      </c>
    </row>
    <row r="138" spans="1:25">
      <c r="A138" s="55" t="s">
        <v>65</v>
      </c>
      <c r="B138" s="56">
        <v>43053</v>
      </c>
      <c r="C138" s="55" t="s">
        <v>115</v>
      </c>
      <c r="D138" s="55"/>
      <c r="E138" s="55" t="s">
        <v>322</v>
      </c>
      <c r="F138" s="57">
        <v>500</v>
      </c>
      <c r="G138" s="58">
        <v>107.17</v>
      </c>
      <c r="H138" s="57">
        <v>3.7973135</v>
      </c>
      <c r="I138" s="57"/>
      <c r="J138" s="68">
        <v>53581.202686500001</v>
      </c>
      <c r="K138" s="6"/>
      <c r="L138" s="20">
        <f>IF(ISNA(MATCH(Transactions[[#This Row],[TransType]],TransTypes[TransType],0)),1,MATCH(Transactions[[#This Row],[TransType]],TransTypes[TransType],0))</f>
        <v>3</v>
      </c>
      <c r="M138" s="60">
        <f>IF( AND( INDEX(TransTypes[],Transactions[[#This Row],[TTR]],TT_COL_GLFlag)=1, INDEX(TransTypes[],Transactions[[#This Row],[TTR]],TT_COL_LONGORSHORT)="S" ),
      Transactions[[#This Row],[PL]],
      IF(INDEX(TransTypes[],Transactions[[#This Row],[TTR]],TT_COL_LONGORSHORT)="S",0,Transactions[[#This Row],[CalCashImpact]])
)</f>
        <v>53581.202686500001</v>
      </c>
      <c r="N138" s="61">
        <f>IF(VLOOKUP(Transactions[[#This Row],[Symbol]],Symbols[],COLUMN(Symbols[Currency])-COLUMN(Symbols[])+1,FALSE)=
       VLOOKUP(Transactions[[#This Row],[Account]],Accounts[],COLUMN(Accounts[Currency])-COLUMN(Accounts[])+1,FALSE),
     Transactions[[#This Row],[OrigCashImpact]],
     0
)</f>
        <v>53581.202686500001</v>
      </c>
      <c r="O13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161371.44265012609</v>
      </c>
      <c r="P13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38" s="41">
        <f>ROW()</f>
        <v>138</v>
      </c>
      <c r="S1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-55012.31</v>
      </c>
      <c r="T1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55012.31</v>
      </c>
      <c r="U13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38" s="65">
        <f>IF(INDEX(TransTypes[],Transactions[[#This Row],[TTR]],TT_COL_GLFlag)=1,Transactions[[#This Row],[CalCashImpact]]+Transactions[[#This Row],[CostImpact]],0)</f>
        <v>-1431.107313499997</v>
      </c>
      <c r="W138" s="66">
        <f>Transactions[[#This Row],[Amount]]*INDEX(TransTypes[],Transactions[[#This Row],[TTR]],TT_COL_AmntSign)</f>
        <v>53581.202686500001</v>
      </c>
      <c r="X138" s="66">
        <f>IF(INDEX(TransTypes[],Transactions[[#This Row],[TTR]],TT_COL_LONGORSHORT)="S",
      IF( OR(INDEX(TransTypes[],Transactions[[#This Row],[TTR]],TT_COL_GLFlag)=1, INDEX(TransTypes[], Transactions[[#This Row],[TTR]], TT_COL_ShareTransferFlag)=1),
            Transactions[[#This Row],[CostImpact]]*-1,
            Transactions[[#This Row],[CalCashImpact]]
      ),
     0
)</f>
        <v>0</v>
      </c>
      <c r="Y138" s="67" t="str">
        <f>VLOOKUP(Transactions[[#This Row],[Symbol]],Symbols[], COLUMN(Symbols[Currency])-COLUMN(Symbols[])+1,FALSE)</f>
        <v>USD</v>
      </c>
    </row>
    <row r="139" spans="1:25">
      <c r="A139" s="55" t="s">
        <v>65</v>
      </c>
      <c r="B139" s="56">
        <v>43053</v>
      </c>
      <c r="C139" s="55" t="s">
        <v>115</v>
      </c>
      <c r="D139" s="55"/>
      <c r="E139" s="55" t="s">
        <v>322</v>
      </c>
      <c r="F139" s="57">
        <v>500</v>
      </c>
      <c r="G139" s="58">
        <v>105.94</v>
      </c>
      <c r="H139" s="57">
        <v>3.7831070000000002</v>
      </c>
      <c r="I139" s="57"/>
      <c r="J139" s="68">
        <v>52966.216892999997</v>
      </c>
      <c r="K139" s="6"/>
      <c r="L139" s="20">
        <f>IF(ISNA(MATCH(Transactions[[#This Row],[TransType]],TransTypes[TransType],0)),1,MATCH(Transactions[[#This Row],[TransType]],TransTypes[TransType],0))</f>
        <v>3</v>
      </c>
      <c r="M139" s="60">
        <f>IF( AND( INDEX(TransTypes[],Transactions[[#This Row],[TTR]],TT_COL_GLFlag)=1, INDEX(TransTypes[],Transactions[[#This Row],[TTR]],TT_COL_LONGORSHORT)="S" ),
      Transactions[[#This Row],[PL]],
      IF(INDEX(TransTypes[],Transactions[[#This Row],[TTR]],TT_COL_LONGORSHORT)="S",0,Transactions[[#This Row],[CalCashImpact]])
)</f>
        <v>52966.216892999997</v>
      </c>
      <c r="N139" s="61">
        <f>IF(VLOOKUP(Transactions[[#This Row],[Symbol]],Symbols[],COLUMN(Symbols[Currency])-COLUMN(Symbols[])+1,FALSE)=
       VLOOKUP(Transactions[[#This Row],[Account]],Accounts[],COLUMN(Accounts[Currency])-COLUMN(Accounts[])+1,FALSE),
     Transactions[[#This Row],[OrigCashImpact]],
     0
)</f>
        <v>52966.216892999997</v>
      </c>
      <c r="O13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214337.65954312609</v>
      </c>
      <c r="P13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9" s="41">
        <f>ROW()</f>
        <v>139</v>
      </c>
      <c r="S1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-55012.31</v>
      </c>
      <c r="T1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39" s="65">
        <f>IF(INDEX(TransTypes[],Transactions[[#This Row],[TTR]],TT_COL_GLFlag)=1,Transactions[[#This Row],[CalCashImpact]]+Transactions[[#This Row],[CostImpact]],0)</f>
        <v>-2046.0931070000006</v>
      </c>
      <c r="W139" s="66">
        <f>Transactions[[#This Row],[Amount]]*INDEX(TransTypes[],Transactions[[#This Row],[TTR]],TT_COL_AmntSign)</f>
        <v>52966.216892999997</v>
      </c>
      <c r="X139" s="66">
        <f>IF(INDEX(TransTypes[],Transactions[[#This Row],[TTR]],TT_COL_LONGORSHORT)="S",
      IF( OR(INDEX(TransTypes[],Transactions[[#This Row],[TTR]],TT_COL_GLFlag)=1, INDEX(TransTypes[], Transactions[[#This Row],[TTR]], TT_COL_ShareTransferFlag)=1),
            Transactions[[#This Row],[CostImpact]]*-1,
            Transactions[[#This Row],[CalCashImpact]]
      ),
     0
)</f>
        <v>0</v>
      </c>
      <c r="Y139" s="67" t="str">
        <f>VLOOKUP(Transactions[[#This Row],[Symbol]],Symbols[], COLUMN(Symbols[Currency])-COLUMN(Symbols[])+1,FALSE)</f>
        <v>USD</v>
      </c>
    </row>
    <row r="140" spans="1:25">
      <c r="A140" s="55" t="s">
        <v>65</v>
      </c>
      <c r="B140" s="56">
        <v>43053</v>
      </c>
      <c r="C140" s="55" t="s">
        <v>152</v>
      </c>
      <c r="D140" s="55"/>
      <c r="E140" s="55" t="s">
        <v>210</v>
      </c>
      <c r="F140" s="57">
        <v>11561</v>
      </c>
      <c r="G140" s="58">
        <v>7.8014700000000001</v>
      </c>
      <c r="H140" s="57"/>
      <c r="I140" s="57"/>
      <c r="J140" s="68">
        <v>90192.794670000003</v>
      </c>
      <c r="K140" s="6"/>
      <c r="L140" s="20">
        <f>IF(ISNA(MATCH(Transactions[[#This Row],[TransType]],TransTypes[TransType],0)),1,MATCH(Transactions[[#This Row],[TransType]],TransTypes[TransType],0))</f>
        <v>15</v>
      </c>
      <c r="M140" s="60">
        <f>IF( AND( INDEX(TransTypes[],Transactions[[#This Row],[TTR]],TT_COL_GLFlag)=1, INDEX(TransTypes[],Transactions[[#This Row],[TTR]],TT_COL_LONGORSHORT)="S" ),
      Transactions[[#This Row],[PL]],
      IF(INDEX(TransTypes[],Transactions[[#This Row],[TTR]],TT_COL_LONGORSHORT)="S",0,Transactions[[#This Row],[CalCashImpact]])
)</f>
        <v>90192.794670000003</v>
      </c>
      <c r="N140" s="61">
        <f>IF(VLOOKUP(Transactions[[#This Row],[Symbol]],Symbols[],COLUMN(Symbols[Currency])-COLUMN(Symbols[])+1,FALSE)=
       VLOOKUP(Transactions[[#This Row],[Account]],Accounts[],COLUMN(Accounts[Currency])-COLUMN(Accounts[])+1,FALSE),
     Transactions[[#This Row],[OrigCashImpact]],
     0
)</f>
        <v>0</v>
      </c>
      <c r="O14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214337.65954312609</v>
      </c>
      <c r="P14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0" s="41">
        <f>ROW()</f>
        <v>140</v>
      </c>
      <c r="S1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0" s="65">
        <f>IF(INDEX(TransTypes[],Transactions[[#This Row],[TTR]],TT_COL_GLFlag)=1,Transactions[[#This Row],[CalCashImpact]]+Transactions[[#This Row],[CostImpact]],0)</f>
        <v>0</v>
      </c>
      <c r="W140" s="66">
        <f>Transactions[[#This Row],[Amount]]*INDEX(TransTypes[],Transactions[[#This Row],[TTR]],TT_COL_AmntSign)</f>
        <v>90192.794670000003</v>
      </c>
      <c r="X140" s="66">
        <f>IF(INDEX(TransTypes[],Transactions[[#This Row],[TTR]],TT_COL_LONGORSHORT)="S",
      IF( OR(INDEX(TransTypes[],Transactions[[#This Row],[TTR]],TT_COL_GLFlag)=1, INDEX(TransTypes[], Transactions[[#This Row],[TTR]], TT_COL_ShareTransferFlag)=1),
            Transactions[[#This Row],[CostImpact]]*-1,
            Transactions[[#This Row],[CalCashImpact]]
      ),
     0
)</f>
        <v>0</v>
      </c>
      <c r="Y140" s="67" t="str">
        <f>VLOOKUP(Transactions[[#This Row],[Symbol]],Symbols[], COLUMN(Symbols[Currency])-COLUMN(Symbols[])+1,FALSE)</f>
        <v>HKD</v>
      </c>
    </row>
    <row r="141" spans="1:25">
      <c r="A141" s="55" t="s">
        <v>65</v>
      </c>
      <c r="B141" s="56">
        <v>43053</v>
      </c>
      <c r="C141" s="55" t="s">
        <v>238</v>
      </c>
      <c r="D141" s="55"/>
      <c r="E141" s="55" t="s">
        <v>208</v>
      </c>
      <c r="F141" s="57">
        <v>11561</v>
      </c>
      <c r="G141" s="58">
        <v>1</v>
      </c>
      <c r="H141" s="57">
        <v>2</v>
      </c>
      <c r="I141" s="57"/>
      <c r="J141" s="68">
        <v>11563</v>
      </c>
      <c r="K141" s="6" t="s">
        <v>373</v>
      </c>
      <c r="L141" s="20">
        <f>IF(ISNA(MATCH(Transactions[[#This Row],[TransType]],TransTypes[TransType],0)),1,MATCH(Transactions[[#This Row],[TransType]],TransTypes[TransType],0))</f>
        <v>16</v>
      </c>
      <c r="M141" s="60">
        <f>IF( AND( INDEX(TransTypes[],Transactions[[#This Row],[TTR]],TT_COL_GLFlag)=1, INDEX(TransTypes[],Transactions[[#This Row],[TTR]],TT_COL_LONGORSHORT)="S" ),
      Transactions[[#This Row],[PL]],
      IF(INDEX(TransTypes[],Transactions[[#This Row],[TTR]],TT_COL_LONGORSHORT)="S",0,Transactions[[#This Row],[CalCashImpact]])
)</f>
        <v>-11563</v>
      </c>
      <c r="N141" s="61">
        <f>IF(VLOOKUP(Transactions[[#This Row],[Symbol]],Symbols[],COLUMN(Symbols[Currency])-COLUMN(Symbols[])+1,FALSE)=
       VLOOKUP(Transactions[[#This Row],[Account]],Accounts[],COLUMN(Accounts[Currency])-COLUMN(Accounts[])+1,FALSE),
     Transactions[[#This Row],[OrigCashImpact]],
     0
)</f>
        <v>-11563</v>
      </c>
      <c r="O14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202774.65954312609</v>
      </c>
      <c r="P14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1" s="41">
        <f>ROW()</f>
        <v>141</v>
      </c>
      <c r="S1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1" s="65">
        <f>IF(INDEX(TransTypes[],Transactions[[#This Row],[TTR]],TT_COL_GLFlag)=1,Transactions[[#This Row],[CalCashImpact]]+Transactions[[#This Row],[CostImpact]],0)</f>
        <v>0</v>
      </c>
      <c r="W141" s="66">
        <f>Transactions[[#This Row],[Amount]]*INDEX(TransTypes[],Transactions[[#This Row],[TTR]],TT_COL_AmntSign)</f>
        <v>-11563</v>
      </c>
      <c r="X141" s="66">
        <f>IF(INDEX(TransTypes[],Transactions[[#This Row],[TTR]],TT_COL_LONGORSHORT)="S",
      IF( OR(INDEX(TransTypes[],Transactions[[#This Row],[TTR]],TT_COL_GLFlag)=1, INDEX(TransTypes[], Transactions[[#This Row],[TTR]], TT_COL_ShareTransferFlag)=1),
            Transactions[[#This Row],[CostImpact]]*-1,
            Transactions[[#This Row],[CalCashImpact]]
      ),
     0
)</f>
        <v>0</v>
      </c>
      <c r="Y141" s="67" t="str">
        <f>VLOOKUP(Transactions[[#This Row],[Symbol]],Symbols[], COLUMN(Symbols[Currency])-COLUMN(Symbols[])+1,FALSE)</f>
        <v>USD</v>
      </c>
    </row>
    <row r="142" spans="1:25">
      <c r="A142" s="55" t="s">
        <v>65</v>
      </c>
      <c r="B142" s="56">
        <v>43054</v>
      </c>
      <c r="C142" s="55" t="s">
        <v>113</v>
      </c>
      <c r="D142" s="55"/>
      <c r="E142" s="55" t="s">
        <v>270</v>
      </c>
      <c r="F142" s="57">
        <v>3000</v>
      </c>
      <c r="G142" s="58">
        <v>17.64</v>
      </c>
      <c r="H142" s="57">
        <v>153.19368</v>
      </c>
      <c r="I142" s="57"/>
      <c r="J142" s="68">
        <v>53073.193679999997</v>
      </c>
      <c r="K142" s="6"/>
      <c r="L142" s="20">
        <f>IF(ISNA(MATCH(Transactions[[#This Row],[TransType]],TransTypes[TransType],0)),1,MATCH(Transactions[[#This Row],[TransType]],TransTypes[TransType],0))</f>
        <v>2</v>
      </c>
      <c r="M142" s="60">
        <f>IF( AND( INDEX(TransTypes[],Transactions[[#This Row],[TTR]],TT_COL_GLFlag)=1, INDEX(TransTypes[],Transactions[[#This Row],[TTR]],TT_COL_LONGORSHORT)="S" ),
      Transactions[[#This Row],[PL]],
      IF(INDEX(TransTypes[],Transactions[[#This Row],[TTR]],TT_COL_LONGORSHORT)="S",0,Transactions[[#This Row],[CalCashImpact]])
)</f>
        <v>-53073.193679999997</v>
      </c>
      <c r="N142" s="61">
        <f>IF(VLOOKUP(Transactions[[#This Row],[Symbol]],Symbols[],COLUMN(Symbols[Currency])-COLUMN(Symbols[])+1,FALSE)=
       VLOOKUP(Transactions[[#This Row],[Account]],Accounts[],COLUMN(Accounts[Currency])-COLUMN(Accounts[])+1,FALSE),
     Transactions[[#This Row],[OrigCashImpact]],
     0
)</f>
        <v>0</v>
      </c>
      <c r="O14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202774.65954312609</v>
      </c>
      <c r="P14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4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46000</v>
      </c>
      <c r="R142" s="41">
        <f>ROW()</f>
        <v>142</v>
      </c>
      <c r="S1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53073.193679999997</v>
      </c>
      <c r="T1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804793.32645999989</v>
      </c>
      <c r="U14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46000</v>
      </c>
      <c r="V142" s="65">
        <f>IF(INDEX(TransTypes[],Transactions[[#This Row],[TTR]],TT_COL_GLFlag)=1,Transactions[[#This Row],[CalCashImpact]]+Transactions[[#This Row],[CostImpact]],0)</f>
        <v>0</v>
      </c>
      <c r="W142" s="66">
        <f>Transactions[[#This Row],[Amount]]*INDEX(TransTypes[],Transactions[[#This Row],[TTR]],TT_COL_AmntSign)</f>
        <v>-53073.193679999997</v>
      </c>
      <c r="X142" s="66">
        <f>IF(INDEX(TransTypes[],Transactions[[#This Row],[TTR]],TT_COL_LONGORSHORT)="S",
      IF( OR(INDEX(TransTypes[],Transactions[[#This Row],[TTR]],TT_COL_GLFlag)=1, INDEX(TransTypes[], Transactions[[#This Row],[TTR]], TT_COL_ShareTransferFlag)=1),
            Transactions[[#This Row],[CostImpact]]*-1,
            Transactions[[#This Row],[CalCashImpact]]
      ),
     0
)</f>
        <v>0</v>
      </c>
      <c r="Y142" s="67" t="str">
        <f>VLOOKUP(Transactions[[#This Row],[Symbol]],Symbols[], COLUMN(Symbols[Currency])-COLUMN(Symbols[])+1,FALSE)</f>
        <v>HKD</v>
      </c>
    </row>
    <row r="143" spans="1:25">
      <c r="A143" s="55" t="s">
        <v>65</v>
      </c>
      <c r="B143" s="56">
        <v>43054</v>
      </c>
      <c r="C143" s="55" t="s">
        <v>113</v>
      </c>
      <c r="D143" s="55"/>
      <c r="E143" s="55" t="s">
        <v>273</v>
      </c>
      <c r="F143" s="57">
        <v>2200</v>
      </c>
      <c r="G143" s="58">
        <v>28.35</v>
      </c>
      <c r="H143" s="57">
        <v>181.26398</v>
      </c>
      <c r="I143" s="57"/>
      <c r="J143" s="68">
        <v>62551.263980000003</v>
      </c>
      <c r="K143" s="6"/>
      <c r="L143" s="20">
        <f>IF(ISNA(MATCH(Transactions[[#This Row],[TransType]],TransTypes[TransType],0)),1,MATCH(Transactions[[#This Row],[TransType]],TransTypes[TransType],0))</f>
        <v>2</v>
      </c>
      <c r="M143" s="60">
        <f>IF( AND( INDEX(TransTypes[],Transactions[[#This Row],[TTR]],TT_COL_GLFlag)=1, INDEX(TransTypes[],Transactions[[#This Row],[TTR]],TT_COL_LONGORSHORT)="S" ),
      Transactions[[#This Row],[PL]],
      IF(INDEX(TransTypes[],Transactions[[#This Row],[TTR]],TT_COL_LONGORSHORT)="S",0,Transactions[[#This Row],[CalCashImpact]])
)</f>
        <v>-62551.263980000003</v>
      </c>
      <c r="N143" s="61">
        <f>IF(VLOOKUP(Transactions[[#This Row],[Symbol]],Symbols[],COLUMN(Symbols[Currency])-COLUMN(Symbols[])+1,FALSE)=
       VLOOKUP(Transactions[[#This Row],[Account]],Accounts[],COLUMN(Accounts[Currency])-COLUMN(Accounts[])+1,FALSE),
     Transactions[[#This Row],[OrigCashImpact]],
     0
)</f>
        <v>0</v>
      </c>
      <c r="O14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202774.65954312609</v>
      </c>
      <c r="P14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2200</v>
      </c>
      <c r="Q14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21600</v>
      </c>
      <c r="R143" s="41">
        <f>ROW()</f>
        <v>143</v>
      </c>
      <c r="S1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62551.263980000003</v>
      </c>
      <c r="T1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566946.21901</v>
      </c>
      <c r="U14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21600</v>
      </c>
      <c r="V143" s="65">
        <f>IF(INDEX(TransTypes[],Transactions[[#This Row],[TTR]],TT_COL_GLFlag)=1,Transactions[[#This Row],[CalCashImpact]]+Transactions[[#This Row],[CostImpact]],0)</f>
        <v>0</v>
      </c>
      <c r="W143" s="66">
        <f>Transactions[[#This Row],[Amount]]*INDEX(TransTypes[],Transactions[[#This Row],[TTR]],TT_COL_AmntSign)</f>
        <v>-62551.263980000003</v>
      </c>
      <c r="X143" s="66">
        <f>IF(INDEX(TransTypes[],Transactions[[#This Row],[TTR]],TT_COL_LONGORSHORT)="S",
      IF( OR(INDEX(TransTypes[],Transactions[[#This Row],[TTR]],TT_COL_GLFlag)=1, INDEX(TransTypes[], Transactions[[#This Row],[TTR]], TT_COL_ShareTransferFlag)=1),
            Transactions[[#This Row],[CostImpact]]*-1,
            Transactions[[#This Row],[CalCashImpact]]
      ),
     0
)</f>
        <v>0</v>
      </c>
      <c r="Y143" s="67" t="str">
        <f>VLOOKUP(Transactions[[#This Row],[Symbol]],Symbols[], COLUMN(Symbols[Currency])-COLUMN(Symbols[])+1,FALSE)</f>
        <v>HKD</v>
      </c>
    </row>
    <row r="144" spans="1:25">
      <c r="A144" s="55" t="s">
        <v>65</v>
      </c>
      <c r="B144" s="56">
        <v>43054</v>
      </c>
      <c r="C144" s="55" t="s">
        <v>113</v>
      </c>
      <c r="D144" s="55"/>
      <c r="E144" s="55" t="s">
        <v>289</v>
      </c>
      <c r="F144" s="57">
        <v>21</v>
      </c>
      <c r="G144" s="58">
        <v>166.38</v>
      </c>
      <c r="H144" s="57">
        <v>1</v>
      </c>
      <c r="I144" s="57"/>
      <c r="J144" s="68">
        <v>3494.98</v>
      </c>
      <c r="K144" s="6"/>
      <c r="L144" s="20">
        <f>IF(ISNA(MATCH(Transactions[[#This Row],[TransType]],TransTypes[TransType],0)),1,MATCH(Transactions[[#This Row],[TransType]],TransTypes[TransType],0))</f>
        <v>2</v>
      </c>
      <c r="M144" s="60">
        <f>IF( AND( INDEX(TransTypes[],Transactions[[#This Row],[TTR]],TT_COL_GLFlag)=1, INDEX(TransTypes[],Transactions[[#This Row],[TTR]],TT_COL_LONGORSHORT)="S" ),
      Transactions[[#This Row],[PL]],
      IF(INDEX(TransTypes[],Transactions[[#This Row],[TTR]],TT_COL_LONGORSHORT)="S",0,Transactions[[#This Row],[CalCashImpact]])
)</f>
        <v>-3494.98</v>
      </c>
      <c r="N144" s="61">
        <f>IF(VLOOKUP(Transactions[[#This Row],[Symbol]],Symbols[],COLUMN(Symbols[Currency])-COLUMN(Symbols[])+1,FALSE)=
       VLOOKUP(Transactions[[#This Row],[Account]],Accounts[],COLUMN(Accounts[Currency])-COLUMN(Accounts[])+1,FALSE),
     Transactions[[#This Row],[OrigCashImpact]],
     0
)</f>
        <v>-3494.98</v>
      </c>
      <c r="O14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199279.67954312608</v>
      </c>
      <c r="P14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21</v>
      </c>
      <c r="Q14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321</v>
      </c>
      <c r="R144" s="41">
        <f>ROW()</f>
        <v>144</v>
      </c>
      <c r="S1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3494.98</v>
      </c>
      <c r="T1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53222.280000000006</v>
      </c>
      <c r="U14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321</v>
      </c>
      <c r="V144" s="65">
        <f>IF(INDEX(TransTypes[],Transactions[[#This Row],[TTR]],TT_COL_GLFlag)=1,Transactions[[#This Row],[CalCashImpact]]+Transactions[[#This Row],[CostImpact]],0)</f>
        <v>0</v>
      </c>
      <c r="W144" s="66">
        <f>Transactions[[#This Row],[Amount]]*INDEX(TransTypes[],Transactions[[#This Row],[TTR]],TT_COL_AmntSign)</f>
        <v>-3494.98</v>
      </c>
      <c r="X144" s="66">
        <f>IF(INDEX(TransTypes[],Transactions[[#This Row],[TTR]],TT_COL_LONGORSHORT)="S",
      IF( OR(INDEX(TransTypes[],Transactions[[#This Row],[TTR]],TT_COL_GLFlag)=1, INDEX(TransTypes[], Transactions[[#This Row],[TTR]], TT_COL_ShareTransferFlag)=1),
            Transactions[[#This Row],[CostImpact]]*-1,
            Transactions[[#This Row],[CalCashImpact]]
      ),
     0
)</f>
        <v>0</v>
      </c>
      <c r="Y144" s="67" t="str">
        <f>VLOOKUP(Transactions[[#This Row],[Symbol]],Symbols[], COLUMN(Symbols[Currency])-COLUMN(Symbols[])+1,FALSE)</f>
        <v>USD</v>
      </c>
    </row>
    <row r="145" spans="1:25">
      <c r="A145" s="55" t="s">
        <v>65</v>
      </c>
      <c r="B145" s="56">
        <v>43054</v>
      </c>
      <c r="C145" s="55" t="s">
        <v>113</v>
      </c>
      <c r="D145" s="55"/>
      <c r="E145" s="55" t="s">
        <v>292</v>
      </c>
      <c r="F145" s="57">
        <v>233</v>
      </c>
      <c r="G145" s="58">
        <v>86.669642490000001</v>
      </c>
      <c r="H145" s="57">
        <v>1</v>
      </c>
      <c r="I145" s="57"/>
      <c r="J145" s="68">
        <v>20195.026699999999</v>
      </c>
      <c r="K145" s="6"/>
      <c r="L145" s="20">
        <f>IF(ISNA(MATCH(Transactions[[#This Row],[TransType]],TransTypes[TransType],0)),1,MATCH(Transactions[[#This Row],[TransType]],TransTypes[TransType],0))</f>
        <v>2</v>
      </c>
      <c r="M145" s="60">
        <f>IF( AND( INDEX(TransTypes[],Transactions[[#This Row],[TTR]],TT_COL_GLFlag)=1, INDEX(TransTypes[],Transactions[[#This Row],[TTR]],TT_COL_LONGORSHORT)="S" ),
      Transactions[[#This Row],[PL]],
      IF(INDEX(TransTypes[],Transactions[[#This Row],[TTR]],TT_COL_LONGORSHORT)="S",0,Transactions[[#This Row],[CalCashImpact]])
)</f>
        <v>-20195.026699999999</v>
      </c>
      <c r="N145" s="61">
        <f>IF(VLOOKUP(Transactions[[#This Row],[Symbol]],Symbols[],COLUMN(Symbols[Currency])-COLUMN(Symbols[])+1,FALSE)=
       VLOOKUP(Transactions[[#This Row],[Account]],Accounts[],COLUMN(Accounts[Currency])-COLUMN(Accounts[])+1,FALSE),
     Transactions[[#This Row],[OrigCashImpact]],
     0
)</f>
        <v>-20195.026699999999</v>
      </c>
      <c r="O14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179084.6528431261</v>
      </c>
      <c r="P14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233</v>
      </c>
      <c r="Q14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616</v>
      </c>
      <c r="R145" s="41">
        <f>ROW()</f>
        <v>145</v>
      </c>
      <c r="S1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20195.026699999999</v>
      </c>
      <c r="T1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53896.5717</v>
      </c>
      <c r="U14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616</v>
      </c>
      <c r="V145" s="65">
        <f>IF(INDEX(TransTypes[],Transactions[[#This Row],[TTR]],TT_COL_GLFlag)=1,Transactions[[#This Row],[CalCashImpact]]+Transactions[[#This Row],[CostImpact]],0)</f>
        <v>0</v>
      </c>
      <c r="W145" s="66">
        <f>Transactions[[#This Row],[Amount]]*INDEX(TransTypes[],Transactions[[#This Row],[TTR]],TT_COL_AmntSign)</f>
        <v>-20195.026699999999</v>
      </c>
      <c r="X145" s="66">
        <f>IF(INDEX(TransTypes[],Transactions[[#This Row],[TTR]],TT_COL_LONGORSHORT)="S",
      IF( OR(INDEX(TransTypes[],Transactions[[#This Row],[TTR]],TT_COL_GLFlag)=1, INDEX(TransTypes[], Transactions[[#This Row],[TTR]], TT_COL_ShareTransferFlag)=1),
            Transactions[[#This Row],[CostImpact]]*-1,
            Transactions[[#This Row],[CalCashImpact]]
      ),
     0
)</f>
        <v>0</v>
      </c>
      <c r="Y145" s="67" t="str">
        <f>VLOOKUP(Transactions[[#This Row],[Symbol]],Symbols[], COLUMN(Symbols[Currency])-COLUMN(Symbols[])+1,FALSE)</f>
        <v>USD</v>
      </c>
    </row>
    <row r="146" spans="1:25">
      <c r="A146" s="55" t="s">
        <v>65</v>
      </c>
      <c r="B146" s="56">
        <v>43054</v>
      </c>
      <c r="C146" s="55" t="s">
        <v>113</v>
      </c>
      <c r="D146" s="55"/>
      <c r="E146" s="55" t="s">
        <v>305</v>
      </c>
      <c r="F146" s="57">
        <v>117</v>
      </c>
      <c r="G146" s="58">
        <v>139.07</v>
      </c>
      <c r="H146" s="57">
        <v>1</v>
      </c>
      <c r="I146" s="57"/>
      <c r="J146" s="68">
        <v>16272.19</v>
      </c>
      <c r="K146" s="6"/>
      <c r="L146" s="20">
        <f>IF(ISNA(MATCH(Transactions[[#This Row],[TransType]],TransTypes[TransType],0)),1,MATCH(Transactions[[#This Row],[TransType]],TransTypes[TransType],0))</f>
        <v>2</v>
      </c>
      <c r="M146" s="60">
        <f>IF( AND( INDEX(TransTypes[],Transactions[[#This Row],[TTR]],TT_COL_GLFlag)=1, INDEX(TransTypes[],Transactions[[#This Row],[TTR]],TT_COL_LONGORSHORT)="S" ),
      Transactions[[#This Row],[PL]],
      IF(INDEX(TransTypes[],Transactions[[#This Row],[TTR]],TT_COL_LONGORSHORT)="S",0,Transactions[[#This Row],[CalCashImpact]])
)</f>
        <v>-16272.19</v>
      </c>
      <c r="N146" s="61">
        <f>IF(VLOOKUP(Transactions[[#This Row],[Symbol]],Symbols[],COLUMN(Symbols[Currency])-COLUMN(Symbols[])+1,FALSE)=
       VLOOKUP(Transactions[[#This Row],[Account]],Accounts[],COLUMN(Accounts[Currency])-COLUMN(Accounts[])+1,FALSE),
     Transactions[[#This Row],[OrigCashImpact]],
     0
)</f>
        <v>-16272.19</v>
      </c>
      <c r="O14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162812.46284312609</v>
      </c>
      <c r="P14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117</v>
      </c>
      <c r="Q14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372</v>
      </c>
      <c r="R146" s="41">
        <f>ROW()</f>
        <v>146</v>
      </c>
      <c r="S1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16272.19</v>
      </c>
      <c r="T1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50685.345789473686</v>
      </c>
      <c r="U14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372</v>
      </c>
      <c r="V146" s="65">
        <f>IF(INDEX(TransTypes[],Transactions[[#This Row],[TTR]],TT_COL_GLFlag)=1,Transactions[[#This Row],[CalCashImpact]]+Transactions[[#This Row],[CostImpact]],0)</f>
        <v>0</v>
      </c>
      <c r="W146" s="66">
        <f>Transactions[[#This Row],[Amount]]*INDEX(TransTypes[],Transactions[[#This Row],[TTR]],TT_COL_AmntSign)</f>
        <v>-16272.19</v>
      </c>
      <c r="X146" s="66">
        <f>IF(INDEX(TransTypes[],Transactions[[#This Row],[TTR]],TT_COL_LONGORSHORT)="S",
      IF( OR(INDEX(TransTypes[],Transactions[[#This Row],[TTR]],TT_COL_GLFlag)=1, INDEX(TransTypes[], Transactions[[#This Row],[TTR]], TT_COL_ShareTransferFlag)=1),
            Transactions[[#This Row],[CostImpact]]*-1,
            Transactions[[#This Row],[CalCashImpact]]
      ),
     0
)</f>
        <v>0</v>
      </c>
      <c r="Y146" s="67" t="str">
        <f>VLOOKUP(Transactions[[#This Row],[Symbol]],Symbols[], COLUMN(Symbols[Currency])-COLUMN(Symbols[])+1,FALSE)</f>
        <v>USD</v>
      </c>
    </row>
    <row r="147" spans="1:25">
      <c r="A147" s="55" t="s">
        <v>65</v>
      </c>
      <c r="B147" s="56">
        <v>43054</v>
      </c>
      <c r="C147" s="55" t="s">
        <v>115</v>
      </c>
      <c r="D147" s="55"/>
      <c r="E147" s="55" t="s">
        <v>20</v>
      </c>
      <c r="F147" s="57">
        <v>156</v>
      </c>
      <c r="G147" s="58">
        <v>125.91</v>
      </c>
      <c r="H147" s="57">
        <v>1.472293276</v>
      </c>
      <c r="I147" s="57"/>
      <c r="J147" s="68">
        <v>19640.487706723899</v>
      </c>
      <c r="K147" s="6"/>
      <c r="L147" s="20">
        <f>IF(ISNA(MATCH(Transactions[[#This Row],[TransType]],TransTypes[TransType],0)),1,MATCH(Transactions[[#This Row],[TransType]],TransTypes[TransType],0))</f>
        <v>3</v>
      </c>
      <c r="M147" s="60">
        <f>IF( AND( INDEX(TransTypes[],Transactions[[#This Row],[TTR]],TT_COL_GLFlag)=1, INDEX(TransTypes[],Transactions[[#This Row],[TTR]],TT_COL_LONGORSHORT)="S" ),
      Transactions[[#This Row],[PL]],
      IF(INDEX(TransTypes[],Transactions[[#This Row],[TTR]],TT_COL_LONGORSHORT)="S",0,Transactions[[#This Row],[CalCashImpact]])
)</f>
        <v>19640.487706723899</v>
      </c>
      <c r="N147" s="61">
        <f>IF(VLOOKUP(Transactions[[#This Row],[Symbol]],Symbols[],COLUMN(Symbols[Currency])-COLUMN(Symbols[])+1,FALSE)=
       VLOOKUP(Transactions[[#This Row],[Account]],Accounts[],COLUMN(Accounts[Currency])-COLUMN(Accounts[])+1,FALSE),
     Transactions[[#This Row],[OrigCashImpact]],
     0
)</f>
        <v>19640.487706723899</v>
      </c>
      <c r="O14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182452.95054985001</v>
      </c>
      <c r="P14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-156</v>
      </c>
      <c r="Q14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2544</v>
      </c>
      <c r="R147" s="41">
        <f>ROW()</f>
        <v>147</v>
      </c>
      <c r="S1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-19530.672488888889</v>
      </c>
      <c r="T1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318500.1975111111</v>
      </c>
      <c r="U14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2700</v>
      </c>
      <c r="V147" s="65">
        <f>IF(INDEX(TransTypes[],Transactions[[#This Row],[TTR]],TT_COL_GLFlag)=1,Transactions[[#This Row],[CalCashImpact]]+Transactions[[#This Row],[CostImpact]],0)</f>
        <v>109.81521783501012</v>
      </c>
      <c r="W147" s="66">
        <f>Transactions[[#This Row],[Amount]]*INDEX(TransTypes[],Transactions[[#This Row],[TTR]],TT_COL_AmntSign)</f>
        <v>19640.487706723899</v>
      </c>
      <c r="X147" s="66">
        <f>IF(INDEX(TransTypes[],Transactions[[#This Row],[TTR]],TT_COL_LONGORSHORT)="S",
      IF( OR(INDEX(TransTypes[],Transactions[[#This Row],[TTR]],TT_COL_GLFlag)=1, INDEX(TransTypes[], Transactions[[#This Row],[TTR]], TT_COL_ShareTransferFlag)=1),
            Transactions[[#This Row],[CostImpact]]*-1,
            Transactions[[#This Row],[CalCashImpact]]
      ),
     0
)</f>
        <v>0</v>
      </c>
      <c r="Y147" s="67" t="str">
        <f>VLOOKUP(Transactions[[#This Row],[Symbol]],Symbols[], COLUMN(Symbols[Currency])-COLUMN(Symbols[])+1,FALSE)</f>
        <v>USD</v>
      </c>
    </row>
    <row r="148" spans="1:25">
      <c r="A148" s="55" t="s">
        <v>65</v>
      </c>
      <c r="B148" s="56">
        <v>43055</v>
      </c>
      <c r="C148" s="55" t="s">
        <v>113</v>
      </c>
      <c r="D148" s="55"/>
      <c r="E148" s="55" t="s">
        <v>266</v>
      </c>
      <c r="F148" s="57">
        <v>7000</v>
      </c>
      <c r="G148" s="58">
        <v>39.25</v>
      </c>
      <c r="H148" s="57">
        <v>786.63649999999996</v>
      </c>
      <c r="I148" s="57"/>
      <c r="J148" s="68">
        <v>275536.63650000002</v>
      </c>
      <c r="K148" s="6"/>
      <c r="L148" s="20">
        <f>IF(ISNA(MATCH(Transactions[[#This Row],[TransType]],TransTypes[TransType],0)),1,MATCH(Transactions[[#This Row],[TransType]],TransTypes[TransType],0))</f>
        <v>2</v>
      </c>
      <c r="M148" s="60">
        <f>IF( AND( INDEX(TransTypes[],Transactions[[#This Row],[TTR]],TT_COL_GLFlag)=1, INDEX(TransTypes[],Transactions[[#This Row],[TTR]],TT_COL_LONGORSHORT)="S" ),
      Transactions[[#This Row],[PL]],
      IF(INDEX(TransTypes[],Transactions[[#This Row],[TTR]],TT_COL_LONGORSHORT)="S",0,Transactions[[#This Row],[CalCashImpact]])
)</f>
        <v>-275536.63650000002</v>
      </c>
      <c r="N148" s="61">
        <f>IF(VLOOKUP(Transactions[[#This Row],[Symbol]],Symbols[],COLUMN(Symbols[Currency])-COLUMN(Symbols[])+1,FALSE)=
       VLOOKUP(Transactions[[#This Row],[Account]],Accounts[],COLUMN(Accounts[Currency])-COLUMN(Accounts[])+1,FALSE),
     Transactions[[#This Row],[OrigCashImpact]],
     0
)</f>
        <v>0</v>
      </c>
      <c r="O14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182452.95054984998</v>
      </c>
      <c r="P14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14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v>
      </c>
      <c r="R148" s="41">
        <f>ROW()</f>
        <v>148</v>
      </c>
      <c r="S1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275536.63650000002</v>
      </c>
      <c r="T1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550931.14489999996</v>
      </c>
      <c r="U14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48" s="65">
        <f>IF(INDEX(TransTypes[],Transactions[[#This Row],[TTR]],TT_COL_GLFlag)=1,Transactions[[#This Row],[CalCashImpact]]+Transactions[[#This Row],[CostImpact]],0)</f>
        <v>0</v>
      </c>
      <c r="W148" s="66">
        <f>Transactions[[#This Row],[Amount]]*INDEX(TransTypes[],Transactions[[#This Row],[TTR]],TT_COL_AmntSign)</f>
        <v>-275536.63650000002</v>
      </c>
      <c r="X148" s="66">
        <f>IF(INDEX(TransTypes[],Transactions[[#This Row],[TTR]],TT_COL_LONGORSHORT)="S",
      IF( OR(INDEX(TransTypes[],Transactions[[#This Row],[TTR]],TT_COL_GLFlag)=1, INDEX(TransTypes[], Transactions[[#This Row],[TTR]], TT_COL_ShareTransferFlag)=1),
            Transactions[[#This Row],[CostImpact]]*-1,
            Transactions[[#This Row],[CalCashImpact]]
      ),
     0
)</f>
        <v>0</v>
      </c>
      <c r="Y148" s="67" t="str">
        <f>VLOOKUP(Transactions[[#This Row],[Symbol]],Symbols[], COLUMN(Symbols[Currency])-COLUMN(Symbols[])+1,FALSE)</f>
        <v>HKD</v>
      </c>
    </row>
    <row r="149" spans="1:25">
      <c r="A149" s="55" t="s">
        <v>65</v>
      </c>
      <c r="B149" s="56">
        <v>43055</v>
      </c>
      <c r="C149" s="55" t="s">
        <v>113</v>
      </c>
      <c r="D149" s="55"/>
      <c r="E149" s="55" t="s">
        <v>270</v>
      </c>
      <c r="F149" s="57">
        <v>3000</v>
      </c>
      <c r="G149" s="58">
        <v>17.64</v>
      </c>
      <c r="H149" s="57">
        <v>153.19368</v>
      </c>
      <c r="I149" s="57"/>
      <c r="J149" s="68">
        <v>53073.193679999997</v>
      </c>
      <c r="K149" s="6"/>
      <c r="L149" s="20">
        <f>IF(ISNA(MATCH(Transactions[[#This Row],[TransType]],TransTypes[TransType],0)),1,MATCH(Transactions[[#This Row],[TransType]],TransTypes[TransType],0))</f>
        <v>2</v>
      </c>
      <c r="M149" s="60">
        <f>IF( AND( INDEX(TransTypes[],Transactions[[#This Row],[TTR]],TT_COL_GLFlag)=1, INDEX(TransTypes[],Transactions[[#This Row],[TTR]],TT_COL_LONGORSHORT)="S" ),
      Transactions[[#This Row],[PL]],
      IF(INDEX(TransTypes[],Transactions[[#This Row],[TTR]],TT_COL_LONGORSHORT)="S",0,Transactions[[#This Row],[CalCashImpact]])
)</f>
        <v>-53073.193679999997</v>
      </c>
      <c r="N149" s="61">
        <f>IF(VLOOKUP(Transactions[[#This Row],[Symbol]],Symbols[],COLUMN(Symbols[Currency])-COLUMN(Symbols[])+1,FALSE)=
       VLOOKUP(Transactions[[#This Row],[Account]],Accounts[],COLUMN(Accounts[Currency])-COLUMN(Accounts[])+1,FALSE),
     Transactions[[#This Row],[OrigCashImpact]],
     0
)</f>
        <v>0</v>
      </c>
      <c r="O14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182452.95054984998</v>
      </c>
      <c r="P14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4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49000</v>
      </c>
      <c r="R149" s="41">
        <f>ROW()</f>
        <v>149</v>
      </c>
      <c r="S1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53073.193679999997</v>
      </c>
      <c r="T1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857866.52013999992</v>
      </c>
      <c r="U14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49000</v>
      </c>
      <c r="V149" s="65">
        <f>IF(INDEX(TransTypes[],Transactions[[#This Row],[TTR]],TT_COL_GLFlag)=1,Transactions[[#This Row],[CalCashImpact]]+Transactions[[#This Row],[CostImpact]],0)</f>
        <v>0</v>
      </c>
      <c r="W149" s="66">
        <f>Transactions[[#This Row],[Amount]]*INDEX(TransTypes[],Transactions[[#This Row],[TTR]],TT_COL_AmntSign)</f>
        <v>-53073.193679999997</v>
      </c>
      <c r="X149" s="66">
        <f>IF(INDEX(TransTypes[],Transactions[[#This Row],[TTR]],TT_COL_LONGORSHORT)="S",
      IF( OR(INDEX(TransTypes[],Transactions[[#This Row],[TTR]],TT_COL_GLFlag)=1, INDEX(TransTypes[], Transactions[[#This Row],[TTR]], TT_COL_ShareTransferFlag)=1),
            Transactions[[#This Row],[CostImpact]]*-1,
            Transactions[[#This Row],[CalCashImpact]]
      ),
     0
)</f>
        <v>0</v>
      </c>
      <c r="Y149" s="67" t="str">
        <f>VLOOKUP(Transactions[[#This Row],[Symbol]],Symbols[], COLUMN(Symbols[Currency])-COLUMN(Symbols[])+1,FALSE)</f>
        <v>HKD</v>
      </c>
    </row>
    <row r="150" spans="1:25">
      <c r="A150" s="55" t="s">
        <v>65</v>
      </c>
      <c r="B150" s="56">
        <v>43055</v>
      </c>
      <c r="C150" s="55" t="s">
        <v>113</v>
      </c>
      <c r="D150" s="55"/>
      <c r="E150" s="55" t="s">
        <v>7</v>
      </c>
      <c r="F150" s="57">
        <v>34</v>
      </c>
      <c r="G150" s="58">
        <v>1050.97</v>
      </c>
      <c r="H150" s="57">
        <v>1</v>
      </c>
      <c r="I150" s="57"/>
      <c r="J150" s="68">
        <v>35733.980000000003</v>
      </c>
      <c r="K150" s="6"/>
      <c r="L150" s="20">
        <f>IF(ISNA(MATCH(Transactions[[#This Row],[TransType]],TransTypes[TransType],0)),1,MATCH(Transactions[[#This Row],[TransType]],TransTypes[TransType],0))</f>
        <v>2</v>
      </c>
      <c r="M150" s="60">
        <f>IF( AND( INDEX(TransTypes[],Transactions[[#This Row],[TTR]],TT_COL_GLFlag)=1, INDEX(TransTypes[],Transactions[[#This Row],[TTR]],TT_COL_LONGORSHORT)="S" ),
      Transactions[[#This Row],[PL]],
      IF(INDEX(TransTypes[],Transactions[[#This Row],[TTR]],TT_COL_LONGORSHORT)="S",0,Transactions[[#This Row],[CalCashImpact]])
)</f>
        <v>-35733.980000000003</v>
      </c>
      <c r="N150" s="61">
        <f>IF(VLOOKUP(Transactions[[#This Row],[Symbol]],Symbols[],COLUMN(Symbols[Currency])-COLUMN(Symbols[])+1,FALSE)=
       VLOOKUP(Transactions[[#This Row],[Account]],Accounts[],COLUMN(Accounts[Currency])-COLUMN(Accounts[])+1,FALSE),
     Transactions[[#This Row],[OrigCashImpact]],
     0
)</f>
        <v>-35733.980000000003</v>
      </c>
      <c r="O15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146718.97054984997</v>
      </c>
      <c r="P15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34</v>
      </c>
      <c r="Q15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84</v>
      </c>
      <c r="R150" s="41">
        <f>ROW()</f>
        <v>150</v>
      </c>
      <c r="S1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35733.980000000003</v>
      </c>
      <c r="T1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88032.98000000001</v>
      </c>
      <c r="U15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84</v>
      </c>
      <c r="V150" s="65">
        <f>IF(INDEX(TransTypes[],Transactions[[#This Row],[TTR]],TT_COL_GLFlag)=1,Transactions[[#This Row],[CalCashImpact]]+Transactions[[#This Row],[CostImpact]],0)</f>
        <v>0</v>
      </c>
      <c r="W150" s="66">
        <f>Transactions[[#This Row],[Amount]]*INDEX(TransTypes[],Transactions[[#This Row],[TTR]],TT_COL_AmntSign)</f>
        <v>-35733.980000000003</v>
      </c>
      <c r="X150" s="66">
        <f>IF(INDEX(TransTypes[],Transactions[[#This Row],[TTR]],TT_COL_LONGORSHORT)="S",
      IF( OR(INDEX(TransTypes[],Transactions[[#This Row],[TTR]],TT_COL_GLFlag)=1, INDEX(TransTypes[], Transactions[[#This Row],[TTR]], TT_COL_ShareTransferFlag)=1),
            Transactions[[#This Row],[CostImpact]]*-1,
            Transactions[[#This Row],[CalCashImpact]]
      ),
     0
)</f>
        <v>0</v>
      </c>
      <c r="Y150" s="67" t="str">
        <f>VLOOKUP(Transactions[[#This Row],[Symbol]],Symbols[], COLUMN(Symbols[Currency])-COLUMN(Symbols[])+1,FALSE)</f>
        <v>USD</v>
      </c>
    </row>
    <row r="151" spans="1:25">
      <c r="A151" s="55" t="s">
        <v>65</v>
      </c>
      <c r="B151" s="56">
        <v>43055</v>
      </c>
      <c r="C151" s="55" t="s">
        <v>115</v>
      </c>
      <c r="D151" s="55"/>
      <c r="E151" s="55" t="s">
        <v>313</v>
      </c>
      <c r="F151" s="57">
        <v>359</v>
      </c>
      <c r="G151" s="58">
        <v>25.69</v>
      </c>
      <c r="H151" s="57">
        <v>2.0507656010000002</v>
      </c>
      <c r="I151" s="57"/>
      <c r="J151" s="68">
        <v>9220.6592343989996</v>
      </c>
      <c r="K151" s="6"/>
      <c r="L151" s="20">
        <f>IF(ISNA(MATCH(Transactions[[#This Row],[TransType]],TransTypes[TransType],0)),1,MATCH(Transactions[[#This Row],[TransType]],TransTypes[TransType],0))</f>
        <v>3</v>
      </c>
      <c r="M151" s="60">
        <f>IF( AND( INDEX(TransTypes[],Transactions[[#This Row],[TTR]],TT_COL_GLFlag)=1, INDEX(TransTypes[],Transactions[[#This Row],[TTR]],TT_COL_LONGORSHORT)="S" ),
      Transactions[[#This Row],[PL]],
      IF(INDEX(TransTypes[],Transactions[[#This Row],[TTR]],TT_COL_LONGORSHORT)="S",0,Transactions[[#This Row],[CalCashImpact]])
)</f>
        <v>9220.6592343989996</v>
      </c>
      <c r="N151" s="61">
        <f>IF(VLOOKUP(Transactions[[#This Row],[Symbol]],Symbols[],COLUMN(Symbols[Currency])-COLUMN(Symbols[])+1,FALSE)=
       VLOOKUP(Transactions[[#This Row],[Account]],Accounts[],COLUMN(Accounts[Currency])-COLUMN(Accounts[])+1,FALSE),
     Transactions[[#This Row],[OrigCashImpact]],
     0
)</f>
        <v>9220.6592343989996</v>
      </c>
      <c r="O15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155939.62978424897</v>
      </c>
      <c r="P15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-359</v>
      </c>
      <c r="Q15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3464</v>
      </c>
      <c r="R151" s="41">
        <f>ROW()</f>
        <v>151</v>
      </c>
      <c r="S1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-9323.9178376144391</v>
      </c>
      <c r="T1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89966.716962385559</v>
      </c>
      <c r="U15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3823</v>
      </c>
      <c r="V151" s="65">
        <f>IF(INDEX(TransTypes[],Transactions[[#This Row],[TTR]],TT_COL_GLFlag)=1,Transactions[[#This Row],[CalCashImpact]]+Transactions[[#This Row],[CostImpact]],0)</f>
        <v>-103.25860321543951</v>
      </c>
      <c r="W151" s="66">
        <f>Transactions[[#This Row],[Amount]]*INDEX(TransTypes[],Transactions[[#This Row],[TTR]],TT_COL_AmntSign)</f>
        <v>9220.6592343989996</v>
      </c>
      <c r="X151" s="66">
        <f>IF(INDEX(TransTypes[],Transactions[[#This Row],[TTR]],TT_COL_LONGORSHORT)="S",
      IF( OR(INDEX(TransTypes[],Transactions[[#This Row],[TTR]],TT_COL_GLFlag)=1, INDEX(TransTypes[], Transactions[[#This Row],[TTR]], TT_COL_ShareTransferFlag)=1),
            Transactions[[#This Row],[CostImpact]]*-1,
            Transactions[[#This Row],[CalCashImpact]]
      ),
     0
)</f>
        <v>0</v>
      </c>
      <c r="Y151" s="67" t="str">
        <f>VLOOKUP(Transactions[[#This Row],[Symbol]],Symbols[], COLUMN(Symbols[Currency])-COLUMN(Symbols[])+1,FALSE)</f>
        <v>USD</v>
      </c>
    </row>
    <row r="152" spans="1:25">
      <c r="A152" s="55" t="s">
        <v>65</v>
      </c>
      <c r="B152" s="56">
        <v>43055</v>
      </c>
      <c r="C152" s="55" t="s">
        <v>113</v>
      </c>
      <c r="D152" s="55"/>
      <c r="E152" s="55" t="s">
        <v>322</v>
      </c>
      <c r="F152" s="57">
        <v>950</v>
      </c>
      <c r="G152" s="58">
        <v>108.7369789</v>
      </c>
      <c r="H152" s="57">
        <v>4.3499999999999996</v>
      </c>
      <c r="I152" s="57"/>
      <c r="J152" s="68">
        <v>103304.48</v>
      </c>
      <c r="K152" s="6"/>
      <c r="L152" s="20">
        <f>IF(ISNA(MATCH(Transactions[[#This Row],[TransType]],TransTypes[TransType],0)),1,MATCH(Transactions[[#This Row],[TransType]],TransTypes[TransType],0))</f>
        <v>2</v>
      </c>
      <c r="M152" s="60">
        <f>IF( AND( INDEX(TransTypes[],Transactions[[#This Row],[TTR]],TT_COL_GLFlag)=1, INDEX(TransTypes[],Transactions[[#This Row],[TTR]],TT_COL_LONGORSHORT)="S" ),
      Transactions[[#This Row],[PL]],
      IF(INDEX(TransTypes[],Transactions[[#This Row],[TTR]],TT_COL_LONGORSHORT)="S",0,Transactions[[#This Row],[CalCashImpact]])
)</f>
        <v>-103304.48</v>
      </c>
      <c r="N152" s="61">
        <f>IF(VLOOKUP(Transactions[[#This Row],[Symbol]],Symbols[],COLUMN(Symbols[Currency])-COLUMN(Symbols[])+1,FALSE)=
       VLOOKUP(Transactions[[#This Row],[Account]],Accounts[],COLUMN(Accounts[Currency])-COLUMN(Accounts[])+1,FALSE),
     Transactions[[#This Row],[OrigCashImpact]],
     0
)</f>
        <v>-103304.48</v>
      </c>
      <c r="O15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52635.149784248977</v>
      </c>
      <c r="P15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950</v>
      </c>
      <c r="Q15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950</v>
      </c>
      <c r="R152" s="41">
        <f>ROW()</f>
        <v>152</v>
      </c>
      <c r="S1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103304.48</v>
      </c>
      <c r="T1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103304.48</v>
      </c>
      <c r="U15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950</v>
      </c>
      <c r="V152" s="65">
        <f>IF(INDEX(TransTypes[],Transactions[[#This Row],[TTR]],TT_COL_GLFlag)=1,Transactions[[#This Row],[CalCashImpact]]+Transactions[[#This Row],[CostImpact]],0)</f>
        <v>0</v>
      </c>
      <c r="W152" s="66">
        <f>Transactions[[#This Row],[Amount]]*INDEX(TransTypes[],Transactions[[#This Row],[TTR]],TT_COL_AmntSign)</f>
        <v>-103304.48</v>
      </c>
      <c r="X152" s="66">
        <f>IF(INDEX(TransTypes[],Transactions[[#This Row],[TTR]],TT_COL_LONGORSHORT)="S",
      IF( OR(INDEX(TransTypes[],Transactions[[#This Row],[TTR]],TT_COL_GLFlag)=1, INDEX(TransTypes[], Transactions[[#This Row],[TTR]], TT_COL_ShareTransferFlag)=1),
            Transactions[[#This Row],[CostImpact]]*-1,
            Transactions[[#This Row],[CalCashImpact]]
      ),
     0
)</f>
        <v>0</v>
      </c>
      <c r="Y152" s="67" t="str">
        <f>VLOOKUP(Transactions[[#This Row],[Symbol]],Symbols[], COLUMN(Symbols[Currency])-COLUMN(Symbols[])+1,FALSE)</f>
        <v>USD</v>
      </c>
    </row>
    <row r="153" spans="1:25">
      <c r="A153" s="55" t="s">
        <v>65</v>
      </c>
      <c r="B153" s="56">
        <v>43055</v>
      </c>
      <c r="C153" s="55" t="s">
        <v>152</v>
      </c>
      <c r="D153" s="55"/>
      <c r="E153" s="55" t="s">
        <v>210</v>
      </c>
      <c r="F153" s="57">
        <v>46943</v>
      </c>
      <c r="G153" s="58">
        <v>7.8079900000000002</v>
      </c>
      <c r="H153" s="57"/>
      <c r="I153" s="57"/>
      <c r="J153" s="68">
        <v>366530.47460000002</v>
      </c>
      <c r="K153" s="6"/>
      <c r="L153" s="20">
        <f>IF(ISNA(MATCH(Transactions[[#This Row],[TransType]],TransTypes[TransType],0)),1,MATCH(Transactions[[#This Row],[TransType]],TransTypes[TransType],0))</f>
        <v>15</v>
      </c>
      <c r="M153" s="60">
        <f>IF( AND( INDEX(TransTypes[],Transactions[[#This Row],[TTR]],TT_COL_GLFlag)=1, INDEX(TransTypes[],Transactions[[#This Row],[TTR]],TT_COL_LONGORSHORT)="S" ),
      Transactions[[#This Row],[PL]],
      IF(INDEX(TransTypes[],Transactions[[#This Row],[TTR]],TT_COL_LONGORSHORT)="S",0,Transactions[[#This Row],[CalCashImpact]])
)</f>
        <v>366530.47460000002</v>
      </c>
      <c r="N153" s="61">
        <f>IF(VLOOKUP(Transactions[[#This Row],[Symbol]],Symbols[],COLUMN(Symbols[Currency])-COLUMN(Symbols[])+1,FALSE)=
       VLOOKUP(Transactions[[#This Row],[Account]],Accounts[],COLUMN(Accounts[Currency])-COLUMN(Accounts[])+1,FALSE),
     Transactions[[#This Row],[OrigCashImpact]],
     0
)</f>
        <v>0</v>
      </c>
      <c r="O15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52635.149784248977</v>
      </c>
      <c r="P15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3" s="41">
        <f>ROW()</f>
        <v>153</v>
      </c>
      <c r="S1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3" s="65">
        <f>IF(INDEX(TransTypes[],Transactions[[#This Row],[TTR]],TT_COL_GLFlag)=1,Transactions[[#This Row],[CalCashImpact]]+Transactions[[#This Row],[CostImpact]],0)</f>
        <v>0</v>
      </c>
      <c r="W153" s="66">
        <f>Transactions[[#This Row],[Amount]]*INDEX(TransTypes[],Transactions[[#This Row],[TTR]],TT_COL_AmntSign)</f>
        <v>366530.47460000002</v>
      </c>
      <c r="X153" s="66">
        <f>IF(INDEX(TransTypes[],Transactions[[#This Row],[TTR]],TT_COL_LONGORSHORT)="S",
      IF( OR(INDEX(TransTypes[],Transactions[[#This Row],[TTR]],TT_COL_GLFlag)=1, INDEX(TransTypes[], Transactions[[#This Row],[TTR]], TT_COL_ShareTransferFlag)=1),
            Transactions[[#This Row],[CostImpact]]*-1,
            Transactions[[#This Row],[CalCashImpact]]
      ),
     0
)</f>
        <v>0</v>
      </c>
      <c r="Y153" s="67" t="str">
        <f>VLOOKUP(Transactions[[#This Row],[Symbol]],Symbols[], COLUMN(Symbols[Currency])-COLUMN(Symbols[])+1,FALSE)</f>
        <v>HKD</v>
      </c>
    </row>
    <row r="154" spans="1:25">
      <c r="A154" s="55" t="s">
        <v>65</v>
      </c>
      <c r="B154" s="56">
        <v>43055</v>
      </c>
      <c r="C154" s="55" t="s">
        <v>238</v>
      </c>
      <c r="D154" s="55"/>
      <c r="E154" s="55" t="s">
        <v>208</v>
      </c>
      <c r="F154" s="57">
        <v>46943</v>
      </c>
      <c r="G154" s="58">
        <v>1</v>
      </c>
      <c r="H154" s="57">
        <v>2</v>
      </c>
      <c r="I154" s="57"/>
      <c r="J154" s="68">
        <v>46945</v>
      </c>
      <c r="K154" s="6" t="s">
        <v>374</v>
      </c>
      <c r="L154" s="20">
        <f>IF(ISNA(MATCH(Transactions[[#This Row],[TransType]],TransTypes[TransType],0)),1,MATCH(Transactions[[#This Row],[TransType]],TransTypes[TransType],0))</f>
        <v>16</v>
      </c>
      <c r="M154" s="60">
        <f>IF( AND( INDEX(TransTypes[],Transactions[[#This Row],[TTR]],TT_COL_GLFlag)=1, INDEX(TransTypes[],Transactions[[#This Row],[TTR]],TT_COL_LONGORSHORT)="S" ),
      Transactions[[#This Row],[PL]],
      IF(INDEX(TransTypes[],Transactions[[#This Row],[TTR]],TT_COL_LONGORSHORT)="S",0,Transactions[[#This Row],[CalCashImpact]])
)</f>
        <v>-46945</v>
      </c>
      <c r="N154" s="61">
        <f>IF(VLOOKUP(Transactions[[#This Row],[Symbol]],Symbols[],COLUMN(Symbols[Currency])-COLUMN(Symbols[])+1,FALSE)=
       VLOOKUP(Transactions[[#This Row],[Account]],Accounts[],COLUMN(Accounts[Currency])-COLUMN(Accounts[])+1,FALSE),
     Transactions[[#This Row],[OrigCashImpact]],
     0
)</f>
        <v>-46945</v>
      </c>
      <c r="O15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5690.1497842489916</v>
      </c>
      <c r="P15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4" s="41">
        <f>ROW()</f>
        <v>154</v>
      </c>
      <c r="S1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4" s="65">
        <f>IF(INDEX(TransTypes[],Transactions[[#This Row],[TTR]],TT_COL_GLFlag)=1,Transactions[[#This Row],[CalCashImpact]]+Transactions[[#This Row],[CostImpact]],0)</f>
        <v>0</v>
      </c>
      <c r="W154" s="66">
        <f>Transactions[[#This Row],[Amount]]*INDEX(TransTypes[],Transactions[[#This Row],[TTR]],TT_COL_AmntSign)</f>
        <v>-46945</v>
      </c>
      <c r="X154" s="66">
        <f>IF(INDEX(TransTypes[],Transactions[[#This Row],[TTR]],TT_COL_LONGORSHORT)="S",
      IF( OR(INDEX(TransTypes[],Transactions[[#This Row],[TTR]],TT_COL_GLFlag)=1, INDEX(TransTypes[], Transactions[[#This Row],[TTR]], TT_COL_ShareTransferFlag)=1),
            Transactions[[#This Row],[CostImpact]]*-1,
            Transactions[[#This Row],[CalCashImpact]]
      ),
     0
)</f>
        <v>0</v>
      </c>
      <c r="Y154" s="67" t="str">
        <f>VLOOKUP(Transactions[[#This Row],[Symbol]],Symbols[], COLUMN(Symbols[Currency])-COLUMN(Symbols[])+1,FALSE)</f>
        <v>USD</v>
      </c>
    </row>
    <row r="155" spans="1:25">
      <c r="A155" s="55" t="s">
        <v>65</v>
      </c>
      <c r="B155" s="56">
        <v>43059</v>
      </c>
      <c r="C155" s="55" t="s">
        <v>152</v>
      </c>
      <c r="D155" s="55"/>
      <c r="E155" s="55" t="s">
        <v>210</v>
      </c>
      <c r="F155" s="57">
        <v>0.48349999999999999</v>
      </c>
      <c r="G155" s="58">
        <v>7.8109500000000001</v>
      </c>
      <c r="H155" s="57"/>
      <c r="I155" s="57"/>
      <c r="J155" s="68">
        <v>3.776594325</v>
      </c>
      <c r="K155" s="6"/>
      <c r="L155" s="20">
        <f>IF(ISNA(MATCH(Transactions[[#This Row],[TransType]],TransTypes[TransType],0)),1,MATCH(Transactions[[#This Row],[TransType]],TransTypes[TransType],0))</f>
        <v>15</v>
      </c>
      <c r="M155" s="60">
        <f>IF( AND( INDEX(TransTypes[],Transactions[[#This Row],[TTR]],TT_COL_GLFlag)=1, INDEX(TransTypes[],Transactions[[#This Row],[TTR]],TT_COL_LONGORSHORT)="S" ),
      Transactions[[#This Row],[PL]],
      IF(INDEX(TransTypes[],Transactions[[#This Row],[TTR]],TT_COL_LONGORSHORT)="S",0,Transactions[[#This Row],[CalCashImpact]])
)</f>
        <v>3.776594325</v>
      </c>
      <c r="N155" s="61">
        <f>IF(VLOOKUP(Transactions[[#This Row],[Symbol]],Symbols[],COLUMN(Symbols[Currency])-COLUMN(Symbols[])+1,FALSE)=
       VLOOKUP(Transactions[[#This Row],[Account]],Accounts[],COLUMN(Accounts[Currency])-COLUMN(Accounts[])+1,FALSE),
     Transactions[[#This Row],[OrigCashImpact]],
     0
)</f>
        <v>0</v>
      </c>
      <c r="O15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5690.1497842489744</v>
      </c>
      <c r="P15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5" s="41">
        <f>ROW()</f>
        <v>155</v>
      </c>
      <c r="S1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5" s="65">
        <f>IF(INDEX(TransTypes[],Transactions[[#This Row],[TTR]],TT_COL_GLFlag)=1,Transactions[[#This Row],[CalCashImpact]]+Transactions[[#This Row],[CostImpact]],0)</f>
        <v>0</v>
      </c>
      <c r="W155" s="66">
        <f>Transactions[[#This Row],[Amount]]*INDEX(TransTypes[],Transactions[[#This Row],[TTR]],TT_COL_AmntSign)</f>
        <v>3.776594325</v>
      </c>
      <c r="X155" s="66">
        <f>IF(INDEX(TransTypes[],Transactions[[#This Row],[TTR]],TT_COL_LONGORSHORT)="S",
      IF( OR(INDEX(TransTypes[],Transactions[[#This Row],[TTR]],TT_COL_GLFlag)=1, INDEX(TransTypes[], Transactions[[#This Row],[TTR]], TT_COL_ShareTransferFlag)=1),
            Transactions[[#This Row],[CostImpact]]*-1,
            Transactions[[#This Row],[CalCashImpact]]
      ),
     0
)</f>
        <v>0</v>
      </c>
      <c r="Y155" s="67" t="str">
        <f>VLOOKUP(Transactions[[#This Row],[Symbol]],Symbols[], COLUMN(Symbols[Currency])-COLUMN(Symbols[])+1,FALSE)</f>
        <v>HKD</v>
      </c>
    </row>
    <row r="156" spans="1:25">
      <c r="A156" s="55" t="s">
        <v>65</v>
      </c>
      <c r="B156" s="56">
        <v>43059</v>
      </c>
      <c r="C156" s="55" t="s">
        <v>238</v>
      </c>
      <c r="D156" s="55"/>
      <c r="E156" s="55" t="s">
        <v>208</v>
      </c>
      <c r="F156" s="57">
        <v>0.48349999999999999</v>
      </c>
      <c r="G156" s="58">
        <v>1</v>
      </c>
      <c r="H156" s="57">
        <v>0</v>
      </c>
      <c r="I156" s="57"/>
      <c r="J156" s="68">
        <v>0.48349999999999999</v>
      </c>
      <c r="K156" s="6" t="s">
        <v>375</v>
      </c>
      <c r="L156" s="20">
        <f>IF(ISNA(MATCH(Transactions[[#This Row],[TransType]],TransTypes[TransType],0)),1,MATCH(Transactions[[#This Row],[TransType]],TransTypes[TransType],0))</f>
        <v>16</v>
      </c>
      <c r="M156" s="60">
        <f>IF( AND( INDEX(TransTypes[],Transactions[[#This Row],[TTR]],TT_COL_GLFlag)=1, INDEX(TransTypes[],Transactions[[#This Row],[TTR]],TT_COL_LONGORSHORT)="S" ),
      Transactions[[#This Row],[PL]],
      IF(INDEX(TransTypes[],Transactions[[#This Row],[TTR]],TT_COL_LONGORSHORT)="S",0,Transactions[[#This Row],[CalCashImpact]])
)</f>
        <v>-0.48349999999999999</v>
      </c>
      <c r="N156" s="61">
        <f>IF(VLOOKUP(Transactions[[#This Row],[Symbol]],Symbols[],COLUMN(Symbols[Currency])-COLUMN(Symbols[])+1,FALSE)=
       VLOOKUP(Transactions[[#This Row],[Account]],Accounts[],COLUMN(Accounts[Currency])-COLUMN(Accounts[])+1,FALSE),
     Transactions[[#This Row],[OrigCashImpact]],
     0
)</f>
        <v>-0.48349999999999999</v>
      </c>
      <c r="O15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5689.6662842489741</v>
      </c>
      <c r="P15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6" s="41">
        <f>ROW()</f>
        <v>156</v>
      </c>
      <c r="S1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6" s="65">
        <f>IF(INDEX(TransTypes[],Transactions[[#This Row],[TTR]],TT_COL_GLFlag)=1,Transactions[[#This Row],[CalCashImpact]]+Transactions[[#This Row],[CostImpact]],0)</f>
        <v>0</v>
      </c>
      <c r="W156" s="66">
        <f>Transactions[[#This Row],[Amount]]*INDEX(TransTypes[],Transactions[[#This Row],[TTR]],TT_COL_AmntSign)</f>
        <v>-0.48349999999999999</v>
      </c>
      <c r="X156" s="66">
        <f>IF(INDEX(TransTypes[],Transactions[[#This Row],[TTR]],TT_COL_LONGORSHORT)="S",
      IF( OR(INDEX(TransTypes[],Transactions[[#This Row],[TTR]],TT_COL_GLFlag)=1, INDEX(TransTypes[], Transactions[[#This Row],[TTR]], TT_COL_ShareTransferFlag)=1),
            Transactions[[#This Row],[CostImpact]]*-1,
            Transactions[[#This Row],[CalCashImpact]]
      ),
     0
)</f>
        <v>0</v>
      </c>
      <c r="Y156" s="67" t="str">
        <f>VLOOKUP(Transactions[[#This Row],[Symbol]],Symbols[], COLUMN(Symbols[Currency])-COLUMN(Symbols[])+1,FALSE)</f>
        <v>USD</v>
      </c>
    </row>
    <row r="157" spans="1:25">
      <c r="A157" s="55" t="s">
        <v>65</v>
      </c>
      <c r="B157" s="56">
        <v>43062</v>
      </c>
      <c r="C157" s="55" t="s">
        <v>115</v>
      </c>
      <c r="D157" s="55"/>
      <c r="E157" s="55" t="s">
        <v>266</v>
      </c>
      <c r="F157" s="57">
        <v>7000</v>
      </c>
      <c r="G157" s="58">
        <v>40.9</v>
      </c>
      <c r="H157" s="57">
        <v>818.50019999999995</v>
      </c>
      <c r="I157" s="57"/>
      <c r="J157" s="68">
        <v>285481.49979999999</v>
      </c>
      <c r="K157" s="6"/>
      <c r="L157" s="20">
        <f>IF(ISNA(MATCH(Transactions[[#This Row],[TransType]],TransTypes[TransType],0)),1,MATCH(Transactions[[#This Row],[TransType]],TransTypes[TransType],0))</f>
        <v>3</v>
      </c>
      <c r="M157" s="60">
        <f>IF( AND( INDEX(TransTypes[],Transactions[[#This Row],[TTR]],TT_COL_GLFlag)=1, INDEX(TransTypes[],Transactions[[#This Row],[TTR]],TT_COL_LONGORSHORT)="S" ),
      Transactions[[#This Row],[PL]],
      IF(INDEX(TransTypes[],Transactions[[#This Row],[TTR]],TT_COL_LONGORSHORT)="S",0,Transactions[[#This Row],[CalCashImpact]])
)</f>
        <v>285481.49979999999</v>
      </c>
      <c r="N157" s="61">
        <f>IF(VLOOKUP(Transactions[[#This Row],[Symbol]],Symbols[],COLUMN(Symbols[Currency])-COLUMN(Symbols[])+1,FALSE)=
       VLOOKUP(Transactions[[#This Row],[Account]],Accounts[],COLUMN(Accounts[Currency])-COLUMN(Accounts[])+1,FALSE),
     Transactions[[#This Row],[OrigCashImpact]],
     0
)</f>
        <v>0</v>
      </c>
      <c r="O15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5689.6662842489741</v>
      </c>
      <c r="P15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15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57" s="41">
        <f>ROW()</f>
        <v>157</v>
      </c>
      <c r="S1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-275465.57244999998</v>
      </c>
      <c r="T1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275465.57244999998</v>
      </c>
      <c r="U15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57" s="65">
        <f>IF(INDEX(TransTypes[],Transactions[[#This Row],[TTR]],TT_COL_GLFlag)=1,Transactions[[#This Row],[CalCashImpact]]+Transactions[[#This Row],[CostImpact]],0)</f>
        <v>10015.927350000013</v>
      </c>
      <c r="W157" s="66">
        <f>Transactions[[#This Row],[Amount]]*INDEX(TransTypes[],Transactions[[#This Row],[TTR]],TT_COL_AmntSign)</f>
        <v>285481.49979999999</v>
      </c>
      <c r="X157" s="66">
        <f>IF(INDEX(TransTypes[],Transactions[[#This Row],[TTR]],TT_COL_LONGORSHORT)="S",
      IF( OR(INDEX(TransTypes[],Transactions[[#This Row],[TTR]],TT_COL_GLFlag)=1, INDEX(TransTypes[], Transactions[[#This Row],[TTR]], TT_COL_ShareTransferFlag)=1),
            Transactions[[#This Row],[CostImpact]]*-1,
            Transactions[[#This Row],[CalCashImpact]]
      ),
     0
)</f>
        <v>0</v>
      </c>
      <c r="Y157" s="67" t="str">
        <f>VLOOKUP(Transactions[[#This Row],[Symbol]],Symbols[], COLUMN(Symbols[Currency])-COLUMN(Symbols[])+1,FALSE)</f>
        <v>HKD</v>
      </c>
    </row>
    <row r="158" spans="1:25">
      <c r="A158" s="55" t="s">
        <v>65</v>
      </c>
      <c r="B158" s="56">
        <v>43062</v>
      </c>
      <c r="C158" s="55" t="s">
        <v>115</v>
      </c>
      <c r="D158" s="55"/>
      <c r="E158" s="55" t="s">
        <v>266</v>
      </c>
      <c r="F158" s="57">
        <v>7000</v>
      </c>
      <c r="G158" s="58">
        <v>40.450000000000003</v>
      </c>
      <c r="H158" s="57">
        <v>809.81009999999901</v>
      </c>
      <c r="I158" s="57"/>
      <c r="J158" s="68">
        <v>282340.1899</v>
      </c>
      <c r="K158" s="6"/>
      <c r="L158" s="20">
        <f>IF(ISNA(MATCH(Transactions[[#This Row],[TransType]],TransTypes[TransType],0)),1,MATCH(Transactions[[#This Row],[TransType]],TransTypes[TransType],0))</f>
        <v>3</v>
      </c>
      <c r="M158" s="60">
        <f>IF( AND( INDEX(TransTypes[],Transactions[[#This Row],[TTR]],TT_COL_GLFlag)=1, INDEX(TransTypes[],Transactions[[#This Row],[TTR]],TT_COL_LONGORSHORT)="S" ),
      Transactions[[#This Row],[PL]],
      IF(INDEX(TransTypes[],Transactions[[#This Row],[TTR]],TT_COL_LONGORSHORT)="S",0,Transactions[[#This Row],[CalCashImpact]])
)</f>
        <v>282340.1899</v>
      </c>
      <c r="N158" s="61">
        <f>IF(VLOOKUP(Transactions[[#This Row],[Symbol]],Symbols[],COLUMN(Symbols[Currency])-COLUMN(Symbols[])+1,FALSE)=
       VLOOKUP(Transactions[[#This Row],[Account]],Accounts[],COLUMN(Accounts[Currency])-COLUMN(Accounts[])+1,FALSE),
     Transactions[[#This Row],[OrigCashImpact]],
     0
)</f>
        <v>0</v>
      </c>
      <c r="O15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5689.6662842489741</v>
      </c>
      <c r="P15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15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8" s="41">
        <f>ROW()</f>
        <v>158</v>
      </c>
      <c r="S1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-275465.57244999998</v>
      </c>
      <c r="T1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58" s="65">
        <f>IF(INDEX(TransTypes[],Transactions[[#This Row],[TTR]],TT_COL_GLFlag)=1,Transactions[[#This Row],[CalCashImpact]]+Transactions[[#This Row],[CostImpact]],0)</f>
        <v>6874.6174500000197</v>
      </c>
      <c r="W158" s="66">
        <f>Transactions[[#This Row],[Amount]]*INDEX(TransTypes[],Transactions[[#This Row],[TTR]],TT_COL_AmntSign)</f>
        <v>282340.1899</v>
      </c>
      <c r="X158" s="66">
        <f>IF(INDEX(TransTypes[],Transactions[[#This Row],[TTR]],TT_COL_LONGORSHORT)="S",
      IF( OR(INDEX(TransTypes[],Transactions[[#This Row],[TTR]],TT_COL_GLFlag)=1, INDEX(TransTypes[], Transactions[[#This Row],[TTR]], TT_COL_ShareTransferFlag)=1),
            Transactions[[#This Row],[CostImpact]]*-1,
            Transactions[[#This Row],[CalCashImpact]]
      ),
     0
)</f>
        <v>0</v>
      </c>
      <c r="Y158" s="67" t="str">
        <f>VLOOKUP(Transactions[[#This Row],[Symbol]],Symbols[], COLUMN(Symbols[Currency])-COLUMN(Symbols[])+1,FALSE)</f>
        <v>HKD</v>
      </c>
    </row>
    <row r="159" spans="1:25">
      <c r="A159" s="55" t="s">
        <v>65</v>
      </c>
      <c r="B159" s="56">
        <v>43062</v>
      </c>
      <c r="C159" s="55" t="s">
        <v>113</v>
      </c>
      <c r="D159" s="55"/>
      <c r="E159" s="55" t="s">
        <v>199</v>
      </c>
      <c r="F159" s="57">
        <v>600</v>
      </c>
      <c r="G159" s="58">
        <v>427.6</v>
      </c>
      <c r="H159" s="57">
        <v>733.10223999999903</v>
      </c>
      <c r="I159" s="57"/>
      <c r="J159" s="68">
        <v>257293.10224000001</v>
      </c>
      <c r="K159" s="6"/>
      <c r="L159" s="20">
        <f>IF(ISNA(MATCH(Transactions[[#This Row],[TransType]],TransTypes[TransType],0)),1,MATCH(Transactions[[#This Row],[TransType]],TransTypes[TransType],0))</f>
        <v>2</v>
      </c>
      <c r="M159" s="60">
        <f>IF( AND( INDEX(TransTypes[],Transactions[[#This Row],[TTR]],TT_COL_GLFlag)=1, INDEX(TransTypes[],Transactions[[#This Row],[TTR]],TT_COL_LONGORSHORT)="S" ),
      Transactions[[#This Row],[PL]],
      IF(INDEX(TransTypes[],Transactions[[#This Row],[TTR]],TT_COL_LONGORSHORT)="S",0,Transactions[[#This Row],[CalCashImpact]])
)</f>
        <v>-257293.10224000001</v>
      </c>
      <c r="N159" s="61">
        <f>IF(VLOOKUP(Transactions[[#This Row],[Symbol]],Symbols[],COLUMN(Symbols[Currency])-COLUMN(Symbols[])+1,FALSE)=
       VLOOKUP(Transactions[[#This Row],[Account]],Accounts[],COLUMN(Accounts[Currency])-COLUMN(Accounts[])+1,FALSE),
     Transactions[[#This Row],[OrigCashImpact]],
     0
)</f>
        <v>0</v>
      </c>
      <c r="O15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5689.6662842489741</v>
      </c>
      <c r="P15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v>
      </c>
      <c r="Q15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2400</v>
      </c>
      <c r="R159" s="41">
        <f>ROW()</f>
        <v>159</v>
      </c>
      <c r="S1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257293.10224000001</v>
      </c>
      <c r="T1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846610.22270080005</v>
      </c>
      <c r="U15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2400</v>
      </c>
      <c r="V159" s="65">
        <f>IF(INDEX(TransTypes[],Transactions[[#This Row],[TTR]],TT_COL_GLFlag)=1,Transactions[[#This Row],[CalCashImpact]]+Transactions[[#This Row],[CostImpact]],0)</f>
        <v>0</v>
      </c>
      <c r="W159" s="66">
        <f>Transactions[[#This Row],[Amount]]*INDEX(TransTypes[],Transactions[[#This Row],[TTR]],TT_COL_AmntSign)</f>
        <v>-257293.10224000001</v>
      </c>
      <c r="X159" s="66">
        <f>IF(INDEX(TransTypes[],Transactions[[#This Row],[TTR]],TT_COL_LONGORSHORT)="S",
      IF( OR(INDEX(TransTypes[],Transactions[[#This Row],[TTR]],TT_COL_GLFlag)=1, INDEX(TransTypes[], Transactions[[#This Row],[TTR]], TT_COL_ShareTransferFlag)=1),
            Transactions[[#This Row],[CostImpact]]*-1,
            Transactions[[#This Row],[CalCashImpact]]
      ),
     0
)</f>
        <v>0</v>
      </c>
      <c r="Y159" s="67" t="str">
        <f>VLOOKUP(Transactions[[#This Row],[Symbol]],Symbols[], COLUMN(Symbols[Currency])-COLUMN(Symbols[])+1,FALSE)</f>
        <v>HKD</v>
      </c>
    </row>
    <row r="160" spans="1:25">
      <c r="A160" s="55" t="s">
        <v>65</v>
      </c>
      <c r="B160" s="56">
        <v>43063</v>
      </c>
      <c r="C160" s="55" t="s">
        <v>113</v>
      </c>
      <c r="D160" s="55"/>
      <c r="E160" s="55" t="s">
        <v>278</v>
      </c>
      <c r="F160" s="57">
        <v>30</v>
      </c>
      <c r="G160" s="58">
        <v>1178.7</v>
      </c>
      <c r="H160" s="57">
        <v>1</v>
      </c>
      <c r="I160" s="57"/>
      <c r="J160" s="68">
        <v>35362</v>
      </c>
      <c r="K160" s="6"/>
      <c r="L160" s="20">
        <f>IF(ISNA(MATCH(Transactions[[#This Row],[TransType]],TransTypes[TransType],0)),1,MATCH(Transactions[[#This Row],[TransType]],TransTypes[TransType],0))</f>
        <v>2</v>
      </c>
      <c r="M160" s="60">
        <f>IF( AND( INDEX(TransTypes[],Transactions[[#This Row],[TTR]],TT_COL_GLFlag)=1, INDEX(TransTypes[],Transactions[[#This Row],[TTR]],TT_COL_LONGORSHORT)="S" ),
      Transactions[[#This Row],[PL]],
      IF(INDEX(TransTypes[],Transactions[[#This Row],[TTR]],TT_COL_LONGORSHORT)="S",0,Transactions[[#This Row],[CalCashImpact]])
)</f>
        <v>-35362</v>
      </c>
      <c r="N160" s="61">
        <f>IF(VLOOKUP(Transactions[[#This Row],[Symbol]],Symbols[],COLUMN(Symbols[Currency])-COLUMN(Symbols[])+1,FALSE)=
       VLOOKUP(Transactions[[#This Row],[Account]],Accounts[],COLUMN(Accounts[Currency])-COLUMN(Accounts[])+1,FALSE),
     Transactions[[#This Row],[OrigCashImpact]],
     0
)</f>
        <v>-35362</v>
      </c>
      <c r="O16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-29672.333715751025</v>
      </c>
      <c r="P16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v>
      </c>
      <c r="Q16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v>
      </c>
      <c r="R160" s="41">
        <f>ROW()</f>
        <v>160</v>
      </c>
      <c r="S1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35362</v>
      </c>
      <c r="T1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111545.4</v>
      </c>
      <c r="U16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v>
      </c>
      <c r="V160" s="65">
        <f>IF(INDEX(TransTypes[],Transactions[[#This Row],[TTR]],TT_COL_GLFlag)=1,Transactions[[#This Row],[CalCashImpact]]+Transactions[[#This Row],[CostImpact]],0)</f>
        <v>0</v>
      </c>
      <c r="W160" s="66">
        <f>Transactions[[#This Row],[Amount]]*INDEX(TransTypes[],Transactions[[#This Row],[TTR]],TT_COL_AmntSign)</f>
        <v>-35362</v>
      </c>
      <c r="X160" s="66">
        <f>IF(INDEX(TransTypes[],Transactions[[#This Row],[TTR]],TT_COL_LONGORSHORT)="S",
      IF( OR(INDEX(TransTypes[],Transactions[[#This Row],[TTR]],TT_COL_GLFlag)=1, INDEX(TransTypes[], Transactions[[#This Row],[TTR]], TT_COL_ShareTransferFlag)=1),
            Transactions[[#This Row],[CostImpact]]*-1,
            Transactions[[#This Row],[CalCashImpact]]
      ),
     0
)</f>
        <v>0</v>
      </c>
      <c r="Y160" s="67" t="str">
        <f>VLOOKUP(Transactions[[#This Row],[Symbol]],Symbols[], COLUMN(Symbols[Currency])-COLUMN(Symbols[])+1,FALSE)</f>
        <v>USD</v>
      </c>
    </row>
    <row r="161" spans="1:25">
      <c r="A161" s="55" t="s">
        <v>65</v>
      </c>
      <c r="B161" s="56">
        <v>43063</v>
      </c>
      <c r="C161" s="55" t="s">
        <v>113</v>
      </c>
      <c r="D161" s="55"/>
      <c r="E161" s="55" t="s">
        <v>281</v>
      </c>
      <c r="F161" s="57">
        <v>200</v>
      </c>
      <c r="G161" s="58">
        <v>191</v>
      </c>
      <c r="H161" s="57">
        <v>1</v>
      </c>
      <c r="I161" s="57"/>
      <c r="J161" s="68">
        <v>38201</v>
      </c>
      <c r="K161" s="6"/>
      <c r="L161" s="20">
        <f>IF(ISNA(MATCH(Transactions[[#This Row],[TransType]],TransTypes[TransType],0)),1,MATCH(Transactions[[#This Row],[TransType]],TransTypes[TransType],0))</f>
        <v>2</v>
      </c>
      <c r="M161" s="60">
        <f>IF( AND( INDEX(TransTypes[],Transactions[[#This Row],[TTR]],TT_COL_GLFlag)=1, INDEX(TransTypes[],Transactions[[#This Row],[TTR]],TT_COL_LONGORSHORT)="S" ),
      Transactions[[#This Row],[PL]],
      IF(INDEX(TransTypes[],Transactions[[#This Row],[TTR]],TT_COL_LONGORSHORT)="S",0,Transactions[[#This Row],[CalCashImpact]])
)</f>
        <v>-38201</v>
      </c>
      <c r="N161" s="61">
        <f>IF(VLOOKUP(Transactions[[#This Row],[Symbol]],Symbols[],COLUMN(Symbols[Currency])-COLUMN(Symbols[])+1,FALSE)=
       VLOOKUP(Transactions[[#This Row],[Account]],Accounts[],COLUMN(Accounts[Currency])-COLUMN(Accounts[])+1,FALSE),
     Transactions[[#This Row],[OrigCashImpact]],
     0
)</f>
        <v>-38201</v>
      </c>
      <c r="O16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-67873.333715751025</v>
      </c>
      <c r="P16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6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161" s="41">
        <f>ROW()</f>
        <v>161</v>
      </c>
      <c r="S1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38201</v>
      </c>
      <c r="T1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56360</v>
      </c>
      <c r="U16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161" s="65">
        <f>IF(INDEX(TransTypes[],Transactions[[#This Row],[TTR]],TT_COL_GLFlag)=1,Transactions[[#This Row],[CalCashImpact]]+Transactions[[#This Row],[CostImpact]],0)</f>
        <v>0</v>
      </c>
      <c r="W161" s="66">
        <f>Transactions[[#This Row],[Amount]]*INDEX(TransTypes[],Transactions[[#This Row],[TTR]],TT_COL_AmntSign)</f>
        <v>-38201</v>
      </c>
      <c r="X161" s="66">
        <f>IF(INDEX(TransTypes[],Transactions[[#This Row],[TTR]],TT_COL_LONGORSHORT)="S",
      IF( OR(INDEX(TransTypes[],Transactions[[#This Row],[TTR]],TT_COL_GLFlag)=1, INDEX(TransTypes[], Transactions[[#This Row],[TTR]], TT_COL_ShareTransferFlag)=1),
            Transactions[[#This Row],[CostImpact]]*-1,
            Transactions[[#This Row],[CalCashImpact]]
      ),
     0
)</f>
        <v>0</v>
      </c>
      <c r="Y161" s="67" t="str">
        <f>VLOOKUP(Transactions[[#This Row],[Symbol]],Symbols[], COLUMN(Symbols[Currency])-COLUMN(Symbols[])+1,FALSE)</f>
        <v>USD</v>
      </c>
    </row>
    <row r="162" spans="1:25">
      <c r="A162" s="55" t="s">
        <v>65</v>
      </c>
      <c r="B162" s="56">
        <v>43063</v>
      </c>
      <c r="C162" s="55" t="s">
        <v>115</v>
      </c>
      <c r="D162" s="55"/>
      <c r="E162" s="55" t="s">
        <v>285</v>
      </c>
      <c r="F162" s="57">
        <v>200</v>
      </c>
      <c r="G162" s="58">
        <v>115.84054999999999</v>
      </c>
      <c r="H162" s="57">
        <v>1.558983341</v>
      </c>
      <c r="I162" s="57"/>
      <c r="J162" s="68">
        <v>23166.551016658999</v>
      </c>
      <c r="K162" s="6"/>
      <c r="L162" s="20">
        <f>IF(ISNA(MATCH(Transactions[[#This Row],[TransType]],TransTypes[TransType],0)),1,MATCH(Transactions[[#This Row],[TransType]],TransTypes[TransType],0))</f>
        <v>3</v>
      </c>
      <c r="M162" s="60">
        <f>IF( AND( INDEX(TransTypes[],Transactions[[#This Row],[TTR]],TT_COL_GLFlag)=1, INDEX(TransTypes[],Transactions[[#This Row],[TTR]],TT_COL_LONGORSHORT)="S" ),
      Transactions[[#This Row],[PL]],
      IF(INDEX(TransTypes[],Transactions[[#This Row],[TTR]],TT_COL_LONGORSHORT)="S",0,Transactions[[#This Row],[CalCashImpact]])
)</f>
        <v>23166.551016658999</v>
      </c>
      <c r="N162" s="61">
        <f>IF(VLOOKUP(Transactions[[#This Row],[Symbol]],Symbols[],COLUMN(Symbols[Currency])-COLUMN(Symbols[])+1,FALSE)=
       VLOOKUP(Transactions[[#This Row],[Account]],Accounts[],COLUMN(Accounts[Currency])-COLUMN(Accounts[])+1,FALSE),
     Transactions[[#This Row],[OrigCashImpact]],
     0
)</f>
        <v>23166.551016658999</v>
      </c>
      <c r="O16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-44706.782699092029</v>
      </c>
      <c r="P16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6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v>
      </c>
      <c r="R162" s="41">
        <f>ROW()</f>
        <v>162</v>
      </c>
      <c r="S1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-22918.772727272728</v>
      </c>
      <c r="T1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103134.47727272726</v>
      </c>
      <c r="U16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v>
      </c>
      <c r="V162" s="65">
        <f>IF(INDEX(TransTypes[],Transactions[[#This Row],[TTR]],TT_COL_GLFlag)=1,Transactions[[#This Row],[CalCashImpact]]+Transactions[[#This Row],[CostImpact]],0)</f>
        <v>247.77828938627135</v>
      </c>
      <c r="W162" s="66">
        <f>Transactions[[#This Row],[Amount]]*INDEX(TransTypes[],Transactions[[#This Row],[TTR]],TT_COL_AmntSign)</f>
        <v>23166.551016658999</v>
      </c>
      <c r="X162" s="66">
        <f>IF(INDEX(TransTypes[],Transactions[[#This Row],[TTR]],TT_COL_LONGORSHORT)="S",
      IF( OR(INDEX(TransTypes[],Transactions[[#This Row],[TTR]],TT_COL_GLFlag)=1, INDEX(TransTypes[], Transactions[[#This Row],[TTR]], TT_COL_ShareTransferFlag)=1),
            Transactions[[#This Row],[CostImpact]]*-1,
            Transactions[[#This Row],[CalCashImpact]]
      ),
     0
)</f>
        <v>0</v>
      </c>
      <c r="Y162" s="67" t="str">
        <f>VLOOKUP(Transactions[[#This Row],[Symbol]],Symbols[], COLUMN(Symbols[Currency])-COLUMN(Symbols[])+1,FALSE)</f>
        <v>USD</v>
      </c>
    </row>
    <row r="163" spans="1:25">
      <c r="A163" s="55" t="s">
        <v>65</v>
      </c>
      <c r="B163" s="56">
        <v>43063</v>
      </c>
      <c r="C163" s="55" t="s">
        <v>115</v>
      </c>
      <c r="D163" s="55"/>
      <c r="E163" s="55" t="s">
        <v>27</v>
      </c>
      <c r="F163" s="57">
        <v>735</v>
      </c>
      <c r="G163" s="58">
        <v>122.2812177</v>
      </c>
      <c r="H163" s="57">
        <v>5.2036166550000003</v>
      </c>
      <c r="I163" s="57"/>
      <c r="J163" s="68">
        <v>89871.491383344997</v>
      </c>
      <c r="K163" s="6"/>
      <c r="L163" s="20">
        <f>IF(ISNA(MATCH(Transactions[[#This Row],[TransType]],TransTypes[TransType],0)),1,MATCH(Transactions[[#This Row],[TransType]],TransTypes[TransType],0))</f>
        <v>3</v>
      </c>
      <c r="M163" s="60">
        <f>IF( AND( INDEX(TransTypes[],Transactions[[#This Row],[TTR]],TT_COL_GLFlag)=1, INDEX(TransTypes[],Transactions[[#This Row],[TTR]],TT_COL_LONGORSHORT)="S" ),
      Transactions[[#This Row],[PL]],
      IF(INDEX(TransTypes[],Transactions[[#This Row],[TTR]],TT_COL_LONGORSHORT)="S",0,Transactions[[#This Row],[CalCashImpact]])
)</f>
        <v>89871.491383344997</v>
      </c>
      <c r="N163" s="61">
        <f>IF(VLOOKUP(Transactions[[#This Row],[Symbol]],Symbols[],COLUMN(Symbols[Currency])-COLUMN(Symbols[])+1,FALSE)=
       VLOOKUP(Transactions[[#This Row],[Account]],Accounts[],COLUMN(Accounts[Currency])-COLUMN(Accounts[])+1,FALSE),
     Transactions[[#This Row],[OrigCashImpact]],
     0
)</f>
        <v>89871.491383344997</v>
      </c>
      <c r="O16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45164.708684252968</v>
      </c>
      <c r="P16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-735</v>
      </c>
      <c r="Q16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3" s="41">
        <f>ROW()</f>
        <v>163</v>
      </c>
      <c r="S1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-89372.324999999997</v>
      </c>
      <c r="T1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735</v>
      </c>
      <c r="V163" s="65">
        <f>IF(INDEX(TransTypes[],Transactions[[#This Row],[TTR]],TT_COL_GLFlag)=1,Transactions[[#This Row],[CalCashImpact]]+Transactions[[#This Row],[CostImpact]],0)</f>
        <v>499.16638334500021</v>
      </c>
      <c r="W163" s="66">
        <f>Transactions[[#This Row],[Amount]]*INDEX(TransTypes[],Transactions[[#This Row],[TTR]],TT_COL_AmntSign)</f>
        <v>89871.491383344997</v>
      </c>
      <c r="X163" s="66">
        <f>IF(INDEX(TransTypes[],Transactions[[#This Row],[TTR]],TT_COL_LONGORSHORT)="S",
      IF( OR(INDEX(TransTypes[],Transactions[[#This Row],[TTR]],TT_COL_GLFlag)=1, INDEX(TransTypes[], Transactions[[#This Row],[TTR]], TT_COL_ShareTransferFlag)=1),
            Transactions[[#This Row],[CostImpact]]*-1,
            Transactions[[#This Row],[CalCashImpact]]
      ),
     0
)</f>
        <v>0</v>
      </c>
      <c r="Y163" s="67" t="str">
        <f>VLOOKUP(Transactions[[#This Row],[Symbol]],Symbols[], COLUMN(Symbols[Currency])-COLUMN(Symbols[])+1,FALSE)</f>
        <v>USD</v>
      </c>
    </row>
    <row r="164" spans="1:25">
      <c r="A164" s="55" t="s">
        <v>65</v>
      </c>
      <c r="B164" s="56">
        <v>43063</v>
      </c>
      <c r="C164" s="55" t="s">
        <v>113</v>
      </c>
      <c r="D164" s="55"/>
      <c r="E164" s="55" t="s">
        <v>7</v>
      </c>
      <c r="F164" s="57">
        <v>16</v>
      </c>
      <c r="G164" s="58">
        <v>1058.3889999999999</v>
      </c>
      <c r="H164" s="57">
        <v>1</v>
      </c>
      <c r="I164" s="57"/>
      <c r="J164" s="68">
        <v>16935.223999999998</v>
      </c>
      <c r="K164" s="6"/>
      <c r="L164" s="20">
        <f>IF(ISNA(MATCH(Transactions[[#This Row],[TransType]],TransTypes[TransType],0)),1,MATCH(Transactions[[#This Row],[TransType]],TransTypes[TransType],0))</f>
        <v>2</v>
      </c>
      <c r="M164" s="60">
        <f>IF( AND( INDEX(TransTypes[],Transactions[[#This Row],[TTR]],TT_COL_GLFlag)=1, INDEX(TransTypes[],Transactions[[#This Row],[TTR]],TT_COL_LONGORSHORT)="S" ),
      Transactions[[#This Row],[PL]],
      IF(INDEX(TransTypes[],Transactions[[#This Row],[TTR]],TT_COL_LONGORSHORT)="S",0,Transactions[[#This Row],[CalCashImpact]])
)</f>
        <v>-16935.223999999998</v>
      </c>
      <c r="N164" s="61">
        <f>IF(VLOOKUP(Transactions[[#This Row],[Symbol]],Symbols[],COLUMN(Symbols[Currency])-COLUMN(Symbols[])+1,FALSE)=
       VLOOKUP(Transactions[[#This Row],[Account]],Accounts[],COLUMN(Accounts[Currency])-COLUMN(Accounts[])+1,FALSE),
     Transactions[[#This Row],[OrigCashImpact]],
     0
)</f>
        <v>-16935.223999999998</v>
      </c>
      <c r="O16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28229.48468425297</v>
      </c>
      <c r="P16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v>
      </c>
      <c r="Q16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v>
      </c>
      <c r="R164" s="41">
        <f>ROW()</f>
        <v>164</v>
      </c>
      <c r="S1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16935.223999999998</v>
      </c>
      <c r="T1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104968.20400000001</v>
      </c>
      <c r="U16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v>
      </c>
      <c r="V164" s="65">
        <f>IF(INDEX(TransTypes[],Transactions[[#This Row],[TTR]],TT_COL_GLFlag)=1,Transactions[[#This Row],[CalCashImpact]]+Transactions[[#This Row],[CostImpact]],0)</f>
        <v>0</v>
      </c>
      <c r="W164" s="66">
        <f>Transactions[[#This Row],[Amount]]*INDEX(TransTypes[],Transactions[[#This Row],[TTR]],TT_COL_AmntSign)</f>
        <v>-16935.223999999998</v>
      </c>
      <c r="X164" s="66">
        <f>IF(INDEX(TransTypes[],Transactions[[#This Row],[TTR]],TT_COL_LONGORSHORT)="S",
      IF( OR(INDEX(TransTypes[],Transactions[[#This Row],[TTR]],TT_COL_GLFlag)=1, INDEX(TransTypes[], Transactions[[#This Row],[TTR]], TT_COL_ShareTransferFlag)=1),
            Transactions[[#This Row],[CostImpact]]*-1,
            Transactions[[#This Row],[CalCashImpact]]
      ),
     0
)</f>
        <v>0</v>
      </c>
      <c r="Y164" s="67" t="str">
        <f>VLOOKUP(Transactions[[#This Row],[Symbol]],Symbols[], COLUMN(Symbols[Currency])-COLUMN(Symbols[])+1,FALSE)</f>
        <v>USD</v>
      </c>
    </row>
    <row r="165" spans="1:25">
      <c r="A165" s="55" t="s">
        <v>65</v>
      </c>
      <c r="B165" s="56">
        <v>43063</v>
      </c>
      <c r="C165" s="55" t="s">
        <v>113</v>
      </c>
      <c r="D165" s="55"/>
      <c r="E165" s="55" t="s">
        <v>319</v>
      </c>
      <c r="F165" s="57">
        <v>250</v>
      </c>
      <c r="G165" s="58">
        <v>112.04934</v>
      </c>
      <c r="H165" s="57">
        <v>1.1000000000000001</v>
      </c>
      <c r="I165" s="57"/>
      <c r="J165" s="68">
        <v>28013.435000000001</v>
      </c>
      <c r="K165" s="6"/>
      <c r="L165" s="20">
        <f>IF(ISNA(MATCH(Transactions[[#This Row],[TransType]],TransTypes[TransType],0)),1,MATCH(Transactions[[#This Row],[TransType]],TransTypes[TransType],0))</f>
        <v>2</v>
      </c>
      <c r="M165" s="60">
        <f>IF( AND( INDEX(TransTypes[],Transactions[[#This Row],[TTR]],TT_COL_GLFlag)=1, INDEX(TransTypes[],Transactions[[#This Row],[TTR]],TT_COL_LONGORSHORT)="S" ),
      Transactions[[#This Row],[PL]],
      IF(INDEX(TransTypes[],Transactions[[#This Row],[TTR]],TT_COL_LONGORSHORT)="S",0,Transactions[[#This Row],[CalCashImpact]])
)</f>
        <v>-28013.435000000001</v>
      </c>
      <c r="N165" s="61">
        <f>IF(VLOOKUP(Transactions[[#This Row],[Symbol]],Symbols[],COLUMN(Symbols[Currency])-COLUMN(Symbols[])+1,FALSE)=
       VLOOKUP(Transactions[[#This Row],[Account]],Accounts[],COLUMN(Accounts[Currency])-COLUMN(Accounts[])+1,FALSE),
     Transactions[[#This Row],[OrigCashImpact]],
     0
)</f>
        <v>-28013.435000000001</v>
      </c>
      <c r="O16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216.04968425296738</v>
      </c>
      <c r="P16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v>
      </c>
      <c r="Q16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v>
      </c>
      <c r="R165" s="41">
        <f>ROW()</f>
        <v>165</v>
      </c>
      <c r="S1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28013.435000000001</v>
      </c>
      <c r="T1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28013.435000000001</v>
      </c>
      <c r="U16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v>
      </c>
      <c r="V165" s="65">
        <f>IF(INDEX(TransTypes[],Transactions[[#This Row],[TTR]],TT_COL_GLFlag)=1,Transactions[[#This Row],[CalCashImpact]]+Transactions[[#This Row],[CostImpact]],0)</f>
        <v>0</v>
      </c>
      <c r="W165" s="66">
        <f>Transactions[[#This Row],[Amount]]*INDEX(TransTypes[],Transactions[[#This Row],[TTR]],TT_COL_AmntSign)</f>
        <v>-28013.435000000001</v>
      </c>
      <c r="X165" s="66">
        <f>IF(INDEX(TransTypes[],Transactions[[#This Row],[TTR]],TT_COL_LONGORSHORT)="S",
      IF( OR(INDEX(TransTypes[],Transactions[[#This Row],[TTR]],TT_COL_GLFlag)=1, INDEX(TransTypes[], Transactions[[#This Row],[TTR]], TT_COL_ShareTransferFlag)=1),
            Transactions[[#This Row],[CostImpact]]*-1,
            Transactions[[#This Row],[CalCashImpact]]
      ),
     0
)</f>
        <v>0</v>
      </c>
      <c r="Y165" s="67" t="str">
        <f>VLOOKUP(Transactions[[#This Row],[Symbol]],Symbols[], COLUMN(Symbols[Currency])-COLUMN(Symbols[])+1,FALSE)</f>
        <v>USD</v>
      </c>
    </row>
    <row r="166" spans="1:25">
      <c r="A166" s="55" t="s">
        <v>65</v>
      </c>
      <c r="B166" s="56">
        <v>43066</v>
      </c>
      <c r="C166" s="55" t="s">
        <v>158</v>
      </c>
      <c r="D166" s="55"/>
      <c r="E166" s="114" t="s">
        <v>596</v>
      </c>
      <c r="F166" s="57">
        <v>1</v>
      </c>
      <c r="G166" s="58">
        <v>3.7</v>
      </c>
      <c r="H166" s="57">
        <v>0.80204699999999995</v>
      </c>
      <c r="I166" s="57"/>
      <c r="J166" s="68">
        <v>369.19795299999998</v>
      </c>
      <c r="K166" s="6"/>
      <c r="L166" s="20">
        <f>IF(ISNA(MATCH(Transactions[[#This Row],[TransType]],TransTypes[TransType],0)),1,MATCH(Transactions[[#This Row],[TransType]],TransTypes[TransType],0))</f>
        <v>19</v>
      </c>
      <c r="M166" s="60">
        <f>IF( AND( INDEX(TransTypes[],Transactions[[#This Row],[TTR]],TT_COL_GLFlag)=1, INDEX(TransTypes[],Transactions[[#This Row],[TTR]],TT_COL_LONGORSHORT)="S" ),
      Transactions[[#This Row],[PL]],
      IF(INDEX(TransTypes[],Transactions[[#This Row],[TTR]],TT_COL_LONGORSHORT)="S",0,Transactions[[#This Row],[CalCashImpact]])
)</f>
        <v>0</v>
      </c>
      <c r="N166" s="61">
        <f>IF(VLOOKUP(Transactions[[#This Row],[Symbol]],Symbols[],COLUMN(Symbols[Currency])-COLUMN(Symbols[])+1,FALSE)=
       VLOOKUP(Transactions[[#This Row],[Account]],Accounts[],COLUMN(Accounts[Currency])-COLUMN(Accounts[])+1,FALSE),
     Transactions[[#This Row],[OrigCashImpact]],
     0
)</f>
        <v>0</v>
      </c>
      <c r="O16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216.04968425296482</v>
      </c>
      <c r="P16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16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166" s="41">
        <f>ROW()</f>
        <v>166</v>
      </c>
      <c r="S1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-369.19795299999998</v>
      </c>
      <c r="T1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-369.19795299999998</v>
      </c>
      <c r="U16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166" s="65">
        <f>IF(INDEX(TransTypes[],Transactions[[#This Row],[TTR]],TT_COL_GLFlag)=1,Transactions[[#This Row],[CalCashImpact]]+Transactions[[#This Row],[CostImpact]],0)</f>
        <v>0</v>
      </c>
      <c r="W166" s="66">
        <f>Transactions[[#This Row],[Amount]]*INDEX(TransTypes[],Transactions[[#This Row],[TTR]],TT_COL_AmntSign)</f>
        <v>369.19795299999998</v>
      </c>
      <c r="X166" s="66">
        <f>IF(INDEX(TransTypes[],Transactions[[#This Row],[TTR]],TT_COL_LONGORSHORT)="S",
      IF( OR(INDEX(TransTypes[],Transactions[[#This Row],[TTR]],TT_COL_GLFlag)=1, INDEX(TransTypes[], Transactions[[#This Row],[TTR]], TT_COL_ShareTransferFlag)=1),
            Transactions[[#This Row],[CostImpact]]*-1,
            Transactions[[#This Row],[CalCashImpact]]
      ),
     0
)</f>
        <v>369.19795299999998</v>
      </c>
      <c r="Y166" s="67" t="str">
        <f>VLOOKUP(Transactions[[#This Row],[Symbol]],Symbols[], COLUMN(Symbols[Currency])-COLUMN(Symbols[])+1,FALSE)</f>
        <v>USD</v>
      </c>
    </row>
    <row r="167" spans="1:25">
      <c r="A167" s="55" t="s">
        <v>65</v>
      </c>
      <c r="B167" s="56">
        <v>43067</v>
      </c>
      <c r="C167" s="55" t="s">
        <v>113</v>
      </c>
      <c r="D167" s="55"/>
      <c r="E167" s="55" t="s">
        <v>270</v>
      </c>
      <c r="F167" s="57">
        <v>4000</v>
      </c>
      <c r="G167" s="58">
        <v>16.78</v>
      </c>
      <c r="H167" s="57">
        <v>195.32048</v>
      </c>
      <c r="I167" s="57"/>
      <c r="J167" s="68">
        <v>67315.320479999995</v>
      </c>
      <c r="K167" s="6"/>
      <c r="L167" s="20">
        <f>IF(ISNA(MATCH(Transactions[[#This Row],[TransType]],TransTypes[TransType],0)),1,MATCH(Transactions[[#This Row],[TransType]],TransTypes[TransType],0))</f>
        <v>2</v>
      </c>
      <c r="M167" s="60">
        <f>IF( AND( INDEX(TransTypes[],Transactions[[#This Row],[TTR]],TT_COL_GLFlag)=1, INDEX(TransTypes[],Transactions[[#This Row],[TTR]],TT_COL_LONGORSHORT)="S" ),
      Transactions[[#This Row],[PL]],
      IF(INDEX(TransTypes[],Transactions[[#This Row],[TTR]],TT_COL_LONGORSHORT)="S",0,Transactions[[#This Row],[CalCashImpact]])
)</f>
        <v>-67315.320479999995</v>
      </c>
      <c r="N167" s="61">
        <f>IF(VLOOKUP(Transactions[[#This Row],[Symbol]],Symbols[],COLUMN(Symbols[Currency])-COLUMN(Symbols[])+1,FALSE)=
       VLOOKUP(Transactions[[#This Row],[Account]],Accounts[],COLUMN(Accounts[Currency])-COLUMN(Accounts[])+1,FALSE),
     Transactions[[#This Row],[OrigCashImpact]],
     0
)</f>
        <v>0</v>
      </c>
      <c r="O16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216.04968425296482</v>
      </c>
      <c r="P16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6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53000</v>
      </c>
      <c r="R167" s="41">
        <f>ROW()</f>
        <v>167</v>
      </c>
      <c r="S1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67315.320479999995</v>
      </c>
      <c r="T1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925181.84061999992</v>
      </c>
      <c r="U16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53000</v>
      </c>
      <c r="V167" s="65">
        <f>IF(INDEX(TransTypes[],Transactions[[#This Row],[TTR]],TT_COL_GLFlag)=1,Transactions[[#This Row],[CalCashImpact]]+Transactions[[#This Row],[CostImpact]],0)</f>
        <v>0</v>
      </c>
      <c r="W167" s="66">
        <f>Transactions[[#This Row],[Amount]]*INDEX(TransTypes[],Transactions[[#This Row],[TTR]],TT_COL_AmntSign)</f>
        <v>-67315.320479999995</v>
      </c>
      <c r="X167" s="66">
        <f>IF(INDEX(TransTypes[],Transactions[[#This Row],[TTR]],TT_COL_LONGORSHORT)="S",
      IF( OR(INDEX(TransTypes[],Transactions[[#This Row],[TTR]],TT_COL_GLFlag)=1, INDEX(TransTypes[], Transactions[[#This Row],[TTR]], TT_COL_ShareTransferFlag)=1),
            Transactions[[#This Row],[CostImpact]]*-1,
            Transactions[[#This Row],[CalCashImpact]]
      ),
     0
)</f>
        <v>0</v>
      </c>
      <c r="Y167" s="67" t="str">
        <f>VLOOKUP(Transactions[[#This Row],[Symbol]],Symbols[], COLUMN(Symbols[Currency])-COLUMN(Symbols[])+1,FALSE)</f>
        <v>HKD</v>
      </c>
    </row>
    <row r="168" spans="1:25">
      <c r="A168" s="55" t="s">
        <v>65</v>
      </c>
      <c r="B168" s="56">
        <v>43067</v>
      </c>
      <c r="C168" s="55" t="s">
        <v>113</v>
      </c>
      <c r="D168" s="55"/>
      <c r="E168" s="55" t="s">
        <v>199</v>
      </c>
      <c r="F168" s="57">
        <v>600</v>
      </c>
      <c r="G168" s="58">
        <v>404.2</v>
      </c>
      <c r="H168" s="57">
        <v>693.11207999999999</v>
      </c>
      <c r="I168" s="57"/>
      <c r="J168" s="68">
        <v>243213.11207999999</v>
      </c>
      <c r="K168" s="6"/>
      <c r="L168" s="20">
        <f>IF(ISNA(MATCH(Transactions[[#This Row],[TransType]],TransTypes[TransType],0)),1,MATCH(Transactions[[#This Row],[TransType]],TransTypes[TransType],0))</f>
        <v>2</v>
      </c>
      <c r="M168" s="60">
        <f>IF( AND( INDEX(TransTypes[],Transactions[[#This Row],[TTR]],TT_COL_GLFlag)=1, INDEX(TransTypes[],Transactions[[#This Row],[TTR]],TT_COL_LONGORSHORT)="S" ),
      Transactions[[#This Row],[PL]],
      IF(INDEX(TransTypes[],Transactions[[#This Row],[TTR]],TT_COL_LONGORSHORT)="S",0,Transactions[[#This Row],[CalCashImpact]])
)</f>
        <v>-243213.11207999999</v>
      </c>
      <c r="N168" s="61">
        <f>IF(VLOOKUP(Transactions[[#This Row],[Symbol]],Symbols[],COLUMN(Symbols[Currency])-COLUMN(Symbols[])+1,FALSE)=
       VLOOKUP(Transactions[[#This Row],[Account]],Accounts[],COLUMN(Accounts[Currency])-COLUMN(Accounts[])+1,FALSE),
     Transactions[[#This Row],[OrigCashImpact]],
     0
)</f>
        <v>0</v>
      </c>
      <c r="O16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216.04968425296482</v>
      </c>
      <c r="P16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v>
      </c>
      <c r="Q16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68" s="41">
        <f>ROW()</f>
        <v>168</v>
      </c>
      <c r="S1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243213.11207999999</v>
      </c>
      <c r="T1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1089823.3347808002</v>
      </c>
      <c r="U16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68" s="65">
        <f>IF(INDEX(TransTypes[],Transactions[[#This Row],[TTR]],TT_COL_GLFlag)=1,Transactions[[#This Row],[CalCashImpact]]+Transactions[[#This Row],[CostImpact]],0)</f>
        <v>0</v>
      </c>
      <c r="W168" s="66">
        <f>Transactions[[#This Row],[Amount]]*INDEX(TransTypes[],Transactions[[#This Row],[TTR]],TT_COL_AmntSign)</f>
        <v>-243213.11207999999</v>
      </c>
      <c r="X168" s="66">
        <f>IF(INDEX(TransTypes[],Transactions[[#This Row],[TTR]],TT_COL_LONGORSHORT)="S",
      IF( OR(INDEX(TransTypes[],Transactions[[#This Row],[TTR]],TT_COL_GLFlag)=1, INDEX(TransTypes[], Transactions[[#This Row],[TTR]], TT_COL_ShareTransferFlag)=1),
            Transactions[[#This Row],[CostImpact]]*-1,
            Transactions[[#This Row],[CalCashImpact]]
      ),
     0
)</f>
        <v>0</v>
      </c>
      <c r="Y168" s="67" t="str">
        <f>VLOOKUP(Transactions[[#This Row],[Symbol]],Symbols[], COLUMN(Symbols[Currency])-COLUMN(Symbols[])+1,FALSE)</f>
        <v>HKD</v>
      </c>
    </row>
    <row r="169" spans="1:25">
      <c r="A169" s="55" t="s">
        <v>65</v>
      </c>
      <c r="B169" s="56">
        <v>43067</v>
      </c>
      <c r="C169" s="55" t="s">
        <v>115</v>
      </c>
      <c r="D169" s="55"/>
      <c r="E169" s="55" t="s">
        <v>285</v>
      </c>
      <c r="F169" s="57">
        <v>300</v>
      </c>
      <c r="G169" s="58">
        <v>116.02066670000001</v>
      </c>
      <c r="H169" s="57">
        <v>2.3397232200000002</v>
      </c>
      <c r="I169" s="57"/>
      <c r="J169" s="68">
        <v>34803.860276779997</v>
      </c>
      <c r="K169" s="6"/>
      <c r="L169" s="20">
        <f>IF(ISNA(MATCH(Transactions[[#This Row],[TransType]],TransTypes[TransType],0)),1,MATCH(Transactions[[#This Row],[TransType]],TransTypes[TransType],0))</f>
        <v>3</v>
      </c>
      <c r="M169" s="60">
        <f>IF( AND( INDEX(TransTypes[],Transactions[[#This Row],[TTR]],TT_COL_GLFlag)=1, INDEX(TransTypes[],Transactions[[#This Row],[TTR]],TT_COL_LONGORSHORT)="S" ),
      Transactions[[#This Row],[PL]],
      IF(INDEX(TransTypes[],Transactions[[#This Row],[TTR]],TT_COL_LONGORSHORT)="S",0,Transactions[[#This Row],[CalCashImpact]])
)</f>
        <v>34803.860276779997</v>
      </c>
      <c r="N169" s="61">
        <f>IF(VLOOKUP(Transactions[[#This Row],[Symbol]],Symbols[],COLUMN(Symbols[Currency])-COLUMN(Symbols[])+1,FALSE)=
       VLOOKUP(Transactions[[#This Row],[Account]],Accounts[],COLUMN(Accounts[Currency])-COLUMN(Accounts[])+1,FALSE),
     Transactions[[#This Row],[OrigCashImpact]],
     0
)</f>
        <v>34803.860276779997</v>
      </c>
      <c r="O16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35019.909961032965</v>
      </c>
      <c r="P16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16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v>
      </c>
      <c r="R169" s="41">
        <f>ROW()</f>
        <v>169</v>
      </c>
      <c r="S1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-34378.159090909088</v>
      </c>
      <c r="T1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68756.318181818177</v>
      </c>
      <c r="U16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v>
      </c>
      <c r="V169" s="65">
        <f>IF(INDEX(TransTypes[],Transactions[[#This Row],[TTR]],TT_COL_GLFlag)=1,Transactions[[#This Row],[CalCashImpact]]+Transactions[[#This Row],[CostImpact]],0)</f>
        <v>425.70118587090838</v>
      </c>
      <c r="W169" s="66">
        <f>Transactions[[#This Row],[Amount]]*INDEX(TransTypes[],Transactions[[#This Row],[TTR]],TT_COL_AmntSign)</f>
        <v>34803.860276779997</v>
      </c>
      <c r="X169" s="66">
        <f>IF(INDEX(TransTypes[],Transactions[[#This Row],[TTR]],TT_COL_LONGORSHORT)="S",
      IF( OR(INDEX(TransTypes[],Transactions[[#This Row],[TTR]],TT_COL_GLFlag)=1, INDEX(TransTypes[], Transactions[[#This Row],[TTR]], TT_COL_ShareTransferFlag)=1),
            Transactions[[#This Row],[CostImpact]]*-1,
            Transactions[[#This Row],[CalCashImpact]]
      ),
     0
)</f>
        <v>0</v>
      </c>
      <c r="Y169" s="67" t="str">
        <f>VLOOKUP(Transactions[[#This Row],[Symbol]],Symbols[], COLUMN(Symbols[Currency])-COLUMN(Symbols[])+1,FALSE)</f>
        <v>USD</v>
      </c>
    </row>
    <row r="170" spans="1:25">
      <c r="A170" s="55" t="s">
        <v>65</v>
      </c>
      <c r="B170" s="56">
        <v>43067</v>
      </c>
      <c r="C170" s="55" t="s">
        <v>115</v>
      </c>
      <c r="D170" s="55"/>
      <c r="E170" s="55" t="s">
        <v>292</v>
      </c>
      <c r="F170" s="57">
        <v>616</v>
      </c>
      <c r="G170" s="58">
        <v>87.712435069999998</v>
      </c>
      <c r="H170" s="57">
        <v>3.8014168659999998</v>
      </c>
      <c r="I170" s="57"/>
      <c r="J170" s="68">
        <v>54027.058583133999</v>
      </c>
      <c r="K170" s="6"/>
      <c r="L170" s="20">
        <f>IF(ISNA(MATCH(Transactions[[#This Row],[TransType]],TransTypes[TransType],0)),1,MATCH(Transactions[[#This Row],[TransType]],TransTypes[TransType],0))</f>
        <v>3</v>
      </c>
      <c r="M170" s="60">
        <f>IF( AND( INDEX(TransTypes[],Transactions[[#This Row],[TTR]],TT_COL_GLFlag)=1, INDEX(TransTypes[],Transactions[[#This Row],[TTR]],TT_COL_LONGORSHORT)="S" ),
      Transactions[[#This Row],[PL]],
      IF(INDEX(TransTypes[],Transactions[[#This Row],[TTR]],TT_COL_LONGORSHORT)="S",0,Transactions[[#This Row],[CalCashImpact]])
)</f>
        <v>54027.058583133999</v>
      </c>
      <c r="N170" s="61">
        <f>IF(VLOOKUP(Transactions[[#This Row],[Symbol]],Symbols[],COLUMN(Symbols[Currency])-COLUMN(Symbols[])+1,FALSE)=
       VLOOKUP(Transactions[[#This Row],[Account]],Accounts[],COLUMN(Accounts[Currency])-COLUMN(Accounts[])+1,FALSE),
     Transactions[[#This Row],[OrigCashImpact]],
     0
)</f>
        <v>54027.058583133999</v>
      </c>
      <c r="O17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89046.968544166972</v>
      </c>
      <c r="P17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-616</v>
      </c>
      <c r="Q17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0" s="41">
        <f>ROW()</f>
        <v>170</v>
      </c>
      <c r="S1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-53896.5717</v>
      </c>
      <c r="T1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616</v>
      </c>
      <c r="V170" s="65">
        <f>IF(INDEX(TransTypes[],Transactions[[#This Row],[TTR]],TT_COL_GLFlag)=1,Transactions[[#This Row],[CalCashImpact]]+Transactions[[#This Row],[CostImpact]],0)</f>
        <v>130.48688313399907</v>
      </c>
      <c r="W170" s="66">
        <f>Transactions[[#This Row],[Amount]]*INDEX(TransTypes[],Transactions[[#This Row],[TTR]],TT_COL_AmntSign)</f>
        <v>54027.058583133999</v>
      </c>
      <c r="X170" s="66">
        <f>IF(INDEX(TransTypes[],Transactions[[#This Row],[TTR]],TT_COL_LONGORSHORT)="S",
      IF( OR(INDEX(TransTypes[],Transactions[[#This Row],[TTR]],TT_COL_GLFlag)=1, INDEX(TransTypes[], Transactions[[#This Row],[TTR]], TT_COL_ShareTransferFlag)=1),
            Transactions[[#This Row],[CostImpact]]*-1,
            Transactions[[#This Row],[CalCashImpact]]
      ),
     0
)</f>
        <v>0</v>
      </c>
      <c r="Y170" s="67" t="str">
        <f>VLOOKUP(Transactions[[#This Row],[Symbol]],Symbols[], COLUMN(Symbols[Currency])-COLUMN(Symbols[])+1,FALSE)</f>
        <v>USD</v>
      </c>
    </row>
    <row r="171" spans="1:25">
      <c r="A171" s="55" t="s">
        <v>65</v>
      </c>
      <c r="B171" s="56">
        <v>43067</v>
      </c>
      <c r="C171" s="55" t="s">
        <v>113</v>
      </c>
      <c r="D171" s="55"/>
      <c r="E171" s="55" t="s">
        <v>311</v>
      </c>
      <c r="F171" s="57">
        <v>1314</v>
      </c>
      <c r="G171" s="58">
        <v>26.495008680000002</v>
      </c>
      <c r="H171" s="57">
        <v>5.2560000000000002</v>
      </c>
      <c r="I171" s="57"/>
      <c r="J171" s="68">
        <v>34819.697399999997</v>
      </c>
      <c r="K171" s="6"/>
      <c r="L171" s="20">
        <f>IF(ISNA(MATCH(Transactions[[#This Row],[TransType]],TransTypes[TransType],0)),1,MATCH(Transactions[[#This Row],[TransType]],TransTypes[TransType],0))</f>
        <v>2</v>
      </c>
      <c r="M171" s="60">
        <f>IF( AND( INDEX(TransTypes[],Transactions[[#This Row],[TTR]],TT_COL_GLFlag)=1, INDEX(TransTypes[],Transactions[[#This Row],[TTR]],TT_COL_LONGORSHORT)="S" ),
      Transactions[[#This Row],[PL]],
      IF(INDEX(TransTypes[],Transactions[[#This Row],[TTR]],TT_COL_LONGORSHORT)="S",0,Transactions[[#This Row],[CalCashImpact]])
)</f>
        <v>-34819.697399999997</v>
      </c>
      <c r="N171" s="61">
        <f>IF(VLOOKUP(Transactions[[#This Row],[Symbol]],Symbols[],COLUMN(Symbols[Currency])-COLUMN(Symbols[])+1,FALSE)=
       VLOOKUP(Transactions[[#This Row],[Account]],Accounts[],COLUMN(Accounts[Currency])-COLUMN(Accounts[])+1,FALSE),
     Transactions[[#This Row],[OrigCashImpact]],
     0
)</f>
        <v>-34819.697399999997</v>
      </c>
      <c r="O17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54227.271144166974</v>
      </c>
      <c r="P17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1314</v>
      </c>
      <c r="Q17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1314</v>
      </c>
      <c r="R171" s="41">
        <f>ROW()</f>
        <v>171</v>
      </c>
      <c r="S1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34819.697399999997</v>
      </c>
      <c r="T1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34819.697399999997</v>
      </c>
      <c r="U17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1314</v>
      </c>
      <c r="V171" s="65">
        <f>IF(INDEX(TransTypes[],Transactions[[#This Row],[TTR]],TT_COL_GLFlag)=1,Transactions[[#This Row],[CalCashImpact]]+Transactions[[#This Row],[CostImpact]],0)</f>
        <v>0</v>
      </c>
      <c r="W171" s="66">
        <f>Transactions[[#This Row],[Amount]]*INDEX(TransTypes[],Transactions[[#This Row],[TTR]],TT_COL_AmntSign)</f>
        <v>-34819.697399999997</v>
      </c>
      <c r="X171" s="66">
        <f>IF(INDEX(TransTypes[],Transactions[[#This Row],[TTR]],TT_COL_LONGORSHORT)="S",
      IF( OR(INDEX(TransTypes[],Transactions[[#This Row],[TTR]],TT_COL_GLFlag)=1, INDEX(TransTypes[], Transactions[[#This Row],[TTR]], TT_COL_ShareTransferFlag)=1),
            Transactions[[#This Row],[CostImpact]]*-1,
            Transactions[[#This Row],[CalCashImpact]]
      ),
     0
)</f>
        <v>0</v>
      </c>
      <c r="Y171" s="67" t="str">
        <f>VLOOKUP(Transactions[[#This Row],[Symbol]],Symbols[], COLUMN(Symbols[Currency])-COLUMN(Symbols[])+1,FALSE)</f>
        <v>USD</v>
      </c>
    </row>
    <row r="172" spans="1:25">
      <c r="A172" s="55" t="s">
        <v>65</v>
      </c>
      <c r="B172" s="56">
        <v>43067</v>
      </c>
      <c r="C172" s="55" t="s">
        <v>113</v>
      </c>
      <c r="D172" s="55"/>
      <c r="E172" s="55" t="s">
        <v>311</v>
      </c>
      <c r="F172" s="57">
        <v>2000</v>
      </c>
      <c r="G172" s="58">
        <v>26.178194999999999</v>
      </c>
      <c r="H172" s="57">
        <v>8.5</v>
      </c>
      <c r="I172" s="57"/>
      <c r="J172" s="68">
        <v>52364.89</v>
      </c>
      <c r="K172" s="6"/>
      <c r="L172" s="20">
        <f>IF(ISNA(MATCH(Transactions[[#This Row],[TransType]],TransTypes[TransType],0)),1,MATCH(Transactions[[#This Row],[TransType]],TransTypes[TransType],0))</f>
        <v>2</v>
      </c>
      <c r="M172" s="60">
        <f>IF( AND( INDEX(TransTypes[],Transactions[[#This Row],[TTR]],TT_COL_GLFlag)=1, INDEX(TransTypes[],Transactions[[#This Row],[TTR]],TT_COL_LONGORSHORT)="S" ),
      Transactions[[#This Row],[PL]],
      IF(INDEX(TransTypes[],Transactions[[#This Row],[TTR]],TT_COL_LONGORSHORT)="S",0,Transactions[[#This Row],[CalCashImpact]])
)</f>
        <v>-52364.89</v>
      </c>
      <c r="N172" s="61">
        <f>IF(VLOOKUP(Transactions[[#This Row],[Symbol]],Symbols[],COLUMN(Symbols[Currency])-COLUMN(Symbols[])+1,FALSE)=
       VLOOKUP(Transactions[[#This Row],[Account]],Accounts[],COLUMN(Accounts[Currency])-COLUMN(Accounts[])+1,FALSE),
     Transactions[[#This Row],[OrigCashImpact]],
     0
)</f>
        <v>-52364.89</v>
      </c>
      <c r="O17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1862.3811441669716</v>
      </c>
      <c r="P17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3314</v>
      </c>
      <c r="R172" s="41">
        <f>ROW()</f>
        <v>172</v>
      </c>
      <c r="S1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52364.89</v>
      </c>
      <c r="T1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87184.587399999989</v>
      </c>
      <c r="U17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3314</v>
      </c>
      <c r="V172" s="65">
        <f>IF(INDEX(TransTypes[],Transactions[[#This Row],[TTR]],TT_COL_GLFlag)=1,Transactions[[#This Row],[CalCashImpact]]+Transactions[[#This Row],[CostImpact]],0)</f>
        <v>0</v>
      </c>
      <c r="W172" s="66">
        <f>Transactions[[#This Row],[Amount]]*INDEX(TransTypes[],Transactions[[#This Row],[TTR]],TT_COL_AmntSign)</f>
        <v>-52364.89</v>
      </c>
      <c r="X172" s="66">
        <f>IF(INDEX(TransTypes[],Transactions[[#This Row],[TTR]],TT_COL_LONGORSHORT)="S",
      IF( OR(INDEX(TransTypes[],Transactions[[#This Row],[TTR]],TT_COL_GLFlag)=1, INDEX(TransTypes[], Transactions[[#This Row],[TTR]], TT_COL_ShareTransferFlag)=1),
            Transactions[[#This Row],[CostImpact]]*-1,
            Transactions[[#This Row],[CalCashImpact]]
      ),
     0
)</f>
        <v>0</v>
      </c>
      <c r="Y172" s="67" t="str">
        <f>VLOOKUP(Transactions[[#This Row],[Symbol]],Symbols[], COLUMN(Symbols[Currency])-COLUMN(Symbols[])+1,FALSE)</f>
        <v>USD</v>
      </c>
    </row>
    <row r="173" spans="1:25">
      <c r="A173" s="55" t="s">
        <v>65</v>
      </c>
      <c r="B173" s="56">
        <v>43067</v>
      </c>
      <c r="C173" s="55" t="s">
        <v>113</v>
      </c>
      <c r="D173" s="55"/>
      <c r="E173" s="55" t="s">
        <v>311</v>
      </c>
      <c r="F173" s="57">
        <v>1000</v>
      </c>
      <c r="G173" s="58">
        <v>25.23</v>
      </c>
      <c r="H173" s="57">
        <v>4</v>
      </c>
      <c r="I173" s="57"/>
      <c r="J173" s="68">
        <v>25234</v>
      </c>
      <c r="K173" s="6"/>
      <c r="L173" s="20">
        <f>IF(ISNA(MATCH(Transactions[[#This Row],[TransType]],TransTypes[TransType],0)),1,MATCH(Transactions[[#This Row],[TransType]],TransTypes[TransType],0))</f>
        <v>2</v>
      </c>
      <c r="M173" s="60">
        <f>IF( AND( INDEX(TransTypes[],Transactions[[#This Row],[TTR]],TT_COL_GLFlag)=1, INDEX(TransTypes[],Transactions[[#This Row],[TTR]],TT_COL_LONGORSHORT)="S" ),
      Transactions[[#This Row],[PL]],
      IF(INDEX(TransTypes[],Transactions[[#This Row],[TTR]],TT_COL_LONGORSHORT)="S",0,Transactions[[#This Row],[CalCashImpact]])
)</f>
        <v>-25234</v>
      </c>
      <c r="N173" s="61">
        <f>IF(VLOOKUP(Transactions[[#This Row],[Symbol]],Symbols[],COLUMN(Symbols[Currency])-COLUMN(Symbols[])+1,FALSE)=
       VLOOKUP(Transactions[[#This Row],[Account]],Accounts[],COLUMN(Accounts[Currency])-COLUMN(Accounts[])+1,FALSE),
     Transactions[[#This Row],[OrigCashImpact]],
     0
)</f>
        <v>-25234</v>
      </c>
      <c r="O17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-23371.618855833029</v>
      </c>
      <c r="P17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7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4314</v>
      </c>
      <c r="R173" s="41">
        <f>ROW()</f>
        <v>173</v>
      </c>
      <c r="S1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25234</v>
      </c>
      <c r="T1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112418.58739999999</v>
      </c>
      <c r="U17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4314</v>
      </c>
      <c r="V173" s="65">
        <f>IF(INDEX(TransTypes[],Transactions[[#This Row],[TTR]],TT_COL_GLFlag)=1,Transactions[[#This Row],[CalCashImpact]]+Transactions[[#This Row],[CostImpact]],0)</f>
        <v>0</v>
      </c>
      <c r="W173" s="66">
        <f>Transactions[[#This Row],[Amount]]*INDEX(TransTypes[],Transactions[[#This Row],[TTR]],TT_COL_AmntSign)</f>
        <v>-25234</v>
      </c>
      <c r="X173" s="66">
        <f>IF(INDEX(TransTypes[],Transactions[[#This Row],[TTR]],TT_COL_LONGORSHORT)="S",
      IF( OR(INDEX(TransTypes[],Transactions[[#This Row],[TTR]],TT_COL_GLFlag)=1, INDEX(TransTypes[], Transactions[[#This Row],[TTR]], TT_COL_ShareTransferFlag)=1),
            Transactions[[#This Row],[CostImpact]]*-1,
            Transactions[[#This Row],[CalCashImpact]]
      ),
     0
)</f>
        <v>0</v>
      </c>
      <c r="Y173" s="67" t="str">
        <f>VLOOKUP(Transactions[[#This Row],[Symbol]],Symbols[], COLUMN(Symbols[Currency])-COLUMN(Symbols[])+1,FALSE)</f>
        <v>USD</v>
      </c>
    </row>
    <row r="174" spans="1:25">
      <c r="A174" s="55" t="s">
        <v>65</v>
      </c>
      <c r="B174" s="56">
        <v>43067</v>
      </c>
      <c r="C174" s="55" t="s">
        <v>115</v>
      </c>
      <c r="D174" s="55"/>
      <c r="E174" s="55" t="s">
        <v>325</v>
      </c>
      <c r="F174" s="57">
        <v>250</v>
      </c>
      <c r="G174" s="58">
        <v>112.13</v>
      </c>
      <c r="H174" s="57">
        <v>1.6773007499999999</v>
      </c>
      <c r="I174" s="57"/>
      <c r="J174" s="68">
        <v>28030.822699249999</v>
      </c>
      <c r="K174" s="6"/>
      <c r="L174" s="20">
        <f>IF(ISNA(MATCH(Transactions[[#This Row],[TransType]],TransTypes[TransType],0)),1,MATCH(Transactions[[#This Row],[TransType]],TransTypes[TransType],0))</f>
        <v>3</v>
      </c>
      <c r="M174" s="60">
        <f>IF( AND( INDEX(TransTypes[],Transactions[[#This Row],[TTR]],TT_COL_GLFlag)=1, INDEX(TransTypes[],Transactions[[#This Row],[TTR]],TT_COL_LONGORSHORT)="S" ),
      Transactions[[#This Row],[PL]],
      IF(INDEX(TransTypes[],Transactions[[#This Row],[TTR]],TT_COL_LONGORSHORT)="S",0,Transactions[[#This Row],[CalCashImpact]])
)</f>
        <v>28030.822699249999</v>
      </c>
      <c r="N174" s="61">
        <f>IF(VLOOKUP(Transactions[[#This Row],[Symbol]],Symbols[],COLUMN(Symbols[Currency])-COLUMN(Symbols[])+1,FALSE)=
       VLOOKUP(Transactions[[#This Row],[Account]],Accounts[],COLUMN(Accounts[Currency])-COLUMN(Accounts[])+1,FALSE),
     Transactions[[#This Row],[OrigCashImpact]],
     0
)</f>
        <v>28030.822699249999</v>
      </c>
      <c r="O17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4659.2038434169699</v>
      </c>
      <c r="P17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v>
      </c>
      <c r="Q17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v>
      </c>
      <c r="R174" s="41">
        <f>ROW()</f>
        <v>174</v>
      </c>
      <c r="S1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-22074.154347826086</v>
      </c>
      <c r="T1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22074.154347826086</v>
      </c>
      <c r="U17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74" s="65">
        <f>IF(INDEX(TransTypes[],Transactions[[#This Row],[TTR]],TT_COL_GLFlag)=1,Transactions[[#This Row],[CalCashImpact]]+Transactions[[#This Row],[CostImpact]],0)</f>
        <v>5956.6683514239121</v>
      </c>
      <c r="W174" s="66">
        <f>Transactions[[#This Row],[Amount]]*INDEX(TransTypes[],Transactions[[#This Row],[TTR]],TT_COL_AmntSign)</f>
        <v>28030.822699249999</v>
      </c>
      <c r="X174" s="66">
        <f>IF(INDEX(TransTypes[],Transactions[[#This Row],[TTR]],TT_COL_LONGORSHORT)="S",
      IF( OR(INDEX(TransTypes[],Transactions[[#This Row],[TTR]],TT_COL_GLFlag)=1, INDEX(TransTypes[], Transactions[[#This Row],[TTR]], TT_COL_ShareTransferFlag)=1),
            Transactions[[#This Row],[CostImpact]]*-1,
            Transactions[[#This Row],[CalCashImpact]]
      ),
     0
)</f>
        <v>0</v>
      </c>
      <c r="Y174" s="67" t="str">
        <f>VLOOKUP(Transactions[[#This Row],[Symbol]],Symbols[], COLUMN(Symbols[Currency])-COLUMN(Symbols[])+1,FALSE)</f>
        <v>USD</v>
      </c>
    </row>
    <row r="175" spans="1:25">
      <c r="A175" s="55" t="s">
        <v>65</v>
      </c>
      <c r="B175" s="56">
        <v>43068</v>
      </c>
      <c r="C175" s="55" t="s">
        <v>113</v>
      </c>
      <c r="D175" s="55"/>
      <c r="E175" s="55" t="s">
        <v>283</v>
      </c>
      <c r="F175" s="57">
        <v>200</v>
      </c>
      <c r="G175" s="58">
        <v>191.33</v>
      </c>
      <c r="H175" s="57">
        <v>1</v>
      </c>
      <c r="I175" s="57"/>
      <c r="J175" s="68">
        <v>38267</v>
      </c>
      <c r="K175" s="6"/>
      <c r="L175" s="20">
        <f>IF(ISNA(MATCH(Transactions[[#This Row],[TransType]],TransTypes[TransType],0)),1,MATCH(Transactions[[#This Row],[TransType]],TransTypes[TransType],0))</f>
        <v>2</v>
      </c>
      <c r="M175" s="60">
        <f>IF( AND( INDEX(TransTypes[],Transactions[[#This Row],[TTR]],TT_COL_GLFlag)=1, INDEX(TransTypes[],Transactions[[#This Row],[TTR]],TT_COL_LONGORSHORT)="S" ),
      Transactions[[#This Row],[PL]],
      IF(INDEX(TransTypes[],Transactions[[#This Row],[TTR]],TT_COL_LONGORSHORT)="S",0,Transactions[[#This Row],[CalCashImpact]])
)</f>
        <v>-38267</v>
      </c>
      <c r="N175" s="61">
        <f>IF(VLOOKUP(Transactions[[#This Row],[Symbol]],Symbols[],COLUMN(Symbols[Currency])-COLUMN(Symbols[])+1,FALSE)=
       VLOOKUP(Transactions[[#This Row],[Account]],Accounts[],COLUMN(Accounts[Currency])-COLUMN(Accounts[])+1,FALSE),
     Transactions[[#This Row],[OrigCashImpact]],
     0
)</f>
        <v>-38267</v>
      </c>
      <c r="O17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-33607.796156583026</v>
      </c>
      <c r="P17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7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310</v>
      </c>
      <c r="R175" s="41">
        <f>ROW()</f>
        <v>175</v>
      </c>
      <c r="S1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38267</v>
      </c>
      <c r="T1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58061.4</v>
      </c>
      <c r="U17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310</v>
      </c>
      <c r="V175" s="65">
        <f>IF(INDEX(TransTypes[],Transactions[[#This Row],[TTR]],TT_COL_GLFlag)=1,Transactions[[#This Row],[CalCashImpact]]+Transactions[[#This Row],[CostImpact]],0)</f>
        <v>0</v>
      </c>
      <c r="W175" s="66">
        <f>Transactions[[#This Row],[Amount]]*INDEX(TransTypes[],Transactions[[#This Row],[TTR]],TT_COL_AmntSign)</f>
        <v>-38267</v>
      </c>
      <c r="X175" s="66">
        <f>IF(INDEX(TransTypes[],Transactions[[#This Row],[TTR]],TT_COL_LONGORSHORT)="S",
      IF( OR(INDEX(TransTypes[],Transactions[[#This Row],[TTR]],TT_COL_GLFlag)=1, INDEX(TransTypes[], Transactions[[#This Row],[TTR]], TT_COL_ShareTransferFlag)=1),
            Transactions[[#This Row],[CostImpact]]*-1,
            Transactions[[#This Row],[CalCashImpact]]
      ),
     0
)</f>
        <v>0</v>
      </c>
      <c r="Y175" s="67" t="str">
        <f>VLOOKUP(Transactions[[#This Row],[Symbol]],Symbols[], COLUMN(Symbols[Currency])-COLUMN(Symbols[])+1,FALSE)</f>
        <v>USD</v>
      </c>
    </row>
    <row r="176" spans="1:25">
      <c r="A176" s="55" t="s">
        <v>65</v>
      </c>
      <c r="B176" s="56">
        <v>43068</v>
      </c>
      <c r="C176" s="55" t="s">
        <v>115</v>
      </c>
      <c r="D176" s="55"/>
      <c r="E176" s="55" t="s">
        <v>322</v>
      </c>
      <c r="F176" s="57">
        <v>950</v>
      </c>
      <c r="G176" s="58">
        <v>118.1937842</v>
      </c>
      <c r="H176" s="57">
        <v>6.6068125950000001</v>
      </c>
      <c r="I176" s="57"/>
      <c r="J176" s="68">
        <v>112277.488187405</v>
      </c>
      <c r="K176" s="6"/>
      <c r="L176" s="20">
        <f>IF(ISNA(MATCH(Transactions[[#This Row],[TransType]],TransTypes[TransType],0)),1,MATCH(Transactions[[#This Row],[TransType]],TransTypes[TransType],0))</f>
        <v>3</v>
      </c>
      <c r="M176" s="60">
        <f>IF( AND( INDEX(TransTypes[],Transactions[[#This Row],[TTR]],TT_COL_GLFlag)=1, INDEX(TransTypes[],Transactions[[#This Row],[TTR]],TT_COL_LONGORSHORT)="S" ),
      Transactions[[#This Row],[PL]],
      IF(INDEX(TransTypes[],Transactions[[#This Row],[TTR]],TT_COL_LONGORSHORT)="S",0,Transactions[[#This Row],[CalCashImpact]])
)</f>
        <v>112277.488187405</v>
      </c>
      <c r="N176" s="61">
        <f>IF(VLOOKUP(Transactions[[#This Row],[Symbol]],Symbols[],COLUMN(Symbols[Currency])-COLUMN(Symbols[])+1,FALSE)=
       VLOOKUP(Transactions[[#This Row],[Account]],Accounts[],COLUMN(Accounts[Currency])-COLUMN(Accounts[])+1,FALSE),
     Transactions[[#This Row],[OrigCashImpact]],
     0
)</f>
        <v>112277.488187405</v>
      </c>
      <c r="O17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78669.692030821971</v>
      </c>
      <c r="P17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-950</v>
      </c>
      <c r="Q17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6" s="41">
        <f>ROW()</f>
        <v>176</v>
      </c>
      <c r="S1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-103304.48</v>
      </c>
      <c r="T1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950</v>
      </c>
      <c r="V176" s="65">
        <f>IF(INDEX(TransTypes[],Transactions[[#This Row],[TTR]],TT_COL_GLFlag)=1,Transactions[[#This Row],[CalCashImpact]]+Transactions[[#This Row],[CostImpact]],0)</f>
        <v>8973.0081874050084</v>
      </c>
      <c r="W176" s="66">
        <f>Transactions[[#This Row],[Amount]]*INDEX(TransTypes[],Transactions[[#This Row],[TTR]],TT_COL_AmntSign)</f>
        <v>112277.488187405</v>
      </c>
      <c r="X176" s="66">
        <f>IF(INDEX(TransTypes[],Transactions[[#This Row],[TTR]],TT_COL_LONGORSHORT)="S",
      IF( OR(INDEX(TransTypes[],Transactions[[#This Row],[TTR]],TT_COL_GLFlag)=1, INDEX(TransTypes[], Transactions[[#This Row],[TTR]], TT_COL_ShareTransferFlag)=1),
            Transactions[[#This Row],[CostImpact]]*-1,
            Transactions[[#This Row],[CalCashImpact]]
      ),
     0
)</f>
        <v>0</v>
      </c>
      <c r="Y176" s="67" t="str">
        <f>VLOOKUP(Transactions[[#This Row],[Symbol]],Symbols[], COLUMN(Symbols[Currency])-COLUMN(Symbols[])+1,FALSE)</f>
        <v>USD</v>
      </c>
    </row>
    <row r="177" spans="1:25">
      <c r="A177" s="55" t="s">
        <v>65</v>
      </c>
      <c r="B177" s="56">
        <v>43068</v>
      </c>
      <c r="C177" s="55" t="s">
        <v>158</v>
      </c>
      <c r="D177" s="55"/>
      <c r="E177" s="55" t="s">
        <v>49</v>
      </c>
      <c r="F177" s="57">
        <v>3</v>
      </c>
      <c r="G177" s="58">
        <v>6318.25</v>
      </c>
      <c r="H177" s="57">
        <v>6.12</v>
      </c>
      <c r="I177" s="57"/>
      <c r="J177" s="68">
        <v>379088.88</v>
      </c>
      <c r="K177" s="6"/>
      <c r="L177" s="20">
        <f>IF(ISNA(MATCH(Transactions[[#This Row],[TransType]],TransTypes[TransType],0)),1,MATCH(Transactions[[#This Row],[TransType]],TransTypes[TransType],0))</f>
        <v>19</v>
      </c>
      <c r="M177" s="60">
        <f>IF( AND( INDEX(TransTypes[],Transactions[[#This Row],[TTR]],TT_COL_GLFlag)=1, INDEX(TransTypes[],Transactions[[#This Row],[TTR]],TT_COL_LONGORSHORT)="S" ),
      Transactions[[#This Row],[PL]],
      IF(INDEX(TransTypes[],Transactions[[#This Row],[TTR]],TT_COL_LONGORSHORT)="S",0,Transactions[[#This Row],[CalCashImpact]])
)</f>
        <v>0</v>
      </c>
      <c r="N177" s="61">
        <f>IF(VLOOKUP(Transactions[[#This Row],[Symbol]],Symbols[],COLUMN(Symbols[Currency])-COLUMN(Symbols[])+1,FALSE)=
       VLOOKUP(Transactions[[#This Row],[Account]],Accounts[],COLUMN(Accounts[Currency])-COLUMN(Accounts[])+1,FALSE),
     Transactions[[#This Row],[OrigCashImpact]],
     0
)</f>
        <v>0</v>
      </c>
      <c r="O17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78669.692030821971</v>
      </c>
      <c r="P17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17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v>
      </c>
      <c r="R177" s="41">
        <f>ROW()</f>
        <v>177</v>
      </c>
      <c r="S1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-379088.88</v>
      </c>
      <c r="T1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-379088.88</v>
      </c>
      <c r="U17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177" s="65">
        <f>IF(INDEX(TransTypes[],Transactions[[#This Row],[TTR]],TT_COL_GLFlag)=1,Transactions[[#This Row],[CalCashImpact]]+Transactions[[#This Row],[CostImpact]],0)</f>
        <v>0</v>
      </c>
      <c r="W177" s="66">
        <f>Transactions[[#This Row],[Amount]]*INDEX(TransTypes[],Transactions[[#This Row],[TTR]],TT_COL_AmntSign)</f>
        <v>379088.88</v>
      </c>
      <c r="X177" s="66">
        <f>IF(INDEX(TransTypes[],Transactions[[#This Row],[TTR]],TT_COL_LONGORSHORT)="S",
      IF( OR(INDEX(TransTypes[],Transactions[[#This Row],[TTR]],TT_COL_GLFlag)=1, INDEX(TransTypes[], Transactions[[#This Row],[TTR]], TT_COL_ShareTransferFlag)=1),
            Transactions[[#This Row],[CostImpact]]*-1,
            Transactions[[#This Row],[CalCashImpact]]
      ),
     0
)</f>
        <v>379088.88</v>
      </c>
      <c r="Y177" s="67" t="str">
        <f>VLOOKUP(Transactions[[#This Row],[Symbol]],Symbols[], COLUMN(Symbols[Currency])-COLUMN(Symbols[])+1,FALSE)</f>
        <v>USD</v>
      </c>
    </row>
    <row r="178" spans="1:25">
      <c r="A178" s="55" t="s">
        <v>65</v>
      </c>
      <c r="B178" s="56">
        <v>43068</v>
      </c>
      <c r="C178" s="55" t="s">
        <v>158</v>
      </c>
      <c r="D178" s="55"/>
      <c r="E178" s="55" t="s">
        <v>49</v>
      </c>
      <c r="F178" s="57">
        <v>3</v>
      </c>
      <c r="G178" s="58">
        <v>6312.25</v>
      </c>
      <c r="H178" s="57">
        <v>6.12</v>
      </c>
      <c r="I178" s="57"/>
      <c r="J178" s="68">
        <v>378728.88</v>
      </c>
      <c r="K178" s="6"/>
      <c r="L178" s="20">
        <f>IF(ISNA(MATCH(Transactions[[#This Row],[TransType]],TransTypes[TransType],0)),1,MATCH(Transactions[[#This Row],[TransType]],TransTypes[TransType],0))</f>
        <v>19</v>
      </c>
      <c r="M178" s="60">
        <f>IF( AND( INDEX(TransTypes[],Transactions[[#This Row],[TTR]],TT_COL_GLFlag)=1, INDEX(TransTypes[],Transactions[[#This Row],[TTR]],TT_COL_LONGORSHORT)="S" ),
      Transactions[[#This Row],[PL]],
      IF(INDEX(TransTypes[],Transactions[[#This Row],[TTR]],TT_COL_LONGORSHORT)="S",0,Transactions[[#This Row],[CalCashImpact]])
)</f>
        <v>0</v>
      </c>
      <c r="N178" s="61">
        <f>IF(VLOOKUP(Transactions[[#This Row],[Symbol]],Symbols[],COLUMN(Symbols[Currency])-COLUMN(Symbols[])+1,FALSE)=
       VLOOKUP(Transactions[[#This Row],[Account]],Accounts[],COLUMN(Accounts[Currency])-COLUMN(Accounts[])+1,FALSE),
     Transactions[[#This Row],[OrigCashImpact]],
     0
)</f>
        <v>0</v>
      </c>
      <c r="O17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78669.692030821971</v>
      </c>
      <c r="P17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17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v>
      </c>
      <c r="R178" s="41">
        <f>ROW()</f>
        <v>178</v>
      </c>
      <c r="S1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-378728.88</v>
      </c>
      <c r="T1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-757817.76</v>
      </c>
      <c r="U17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v>
      </c>
      <c r="V178" s="65">
        <f>IF(INDEX(TransTypes[],Transactions[[#This Row],[TTR]],TT_COL_GLFlag)=1,Transactions[[#This Row],[CalCashImpact]]+Transactions[[#This Row],[CostImpact]],0)</f>
        <v>0</v>
      </c>
      <c r="W178" s="66">
        <f>Transactions[[#This Row],[Amount]]*INDEX(TransTypes[],Transactions[[#This Row],[TTR]],TT_COL_AmntSign)</f>
        <v>378728.88</v>
      </c>
      <c r="X178" s="66">
        <f>IF(INDEX(TransTypes[],Transactions[[#This Row],[TTR]],TT_COL_LONGORSHORT)="S",
      IF( OR(INDEX(TransTypes[],Transactions[[#This Row],[TTR]],TT_COL_GLFlag)=1, INDEX(TransTypes[], Transactions[[#This Row],[TTR]], TT_COL_ShareTransferFlag)=1),
            Transactions[[#This Row],[CostImpact]]*-1,
            Transactions[[#This Row],[CalCashImpact]]
      ),
     0
)</f>
        <v>378728.88</v>
      </c>
      <c r="Y178" s="67" t="str">
        <f>VLOOKUP(Transactions[[#This Row],[Symbol]],Symbols[], COLUMN(Symbols[Currency])-COLUMN(Symbols[])+1,FALSE)</f>
        <v>USD</v>
      </c>
    </row>
    <row r="179" spans="1:25">
      <c r="A179" s="55" t="s">
        <v>65</v>
      </c>
      <c r="B179" s="56">
        <v>43068</v>
      </c>
      <c r="C179" s="55" t="s">
        <v>158</v>
      </c>
      <c r="D179" s="55"/>
      <c r="E179" s="55" t="s">
        <v>49</v>
      </c>
      <c r="F179" s="57">
        <v>4</v>
      </c>
      <c r="G179" s="58">
        <v>6303.5</v>
      </c>
      <c r="H179" s="57">
        <v>8.16</v>
      </c>
      <c r="I179" s="57"/>
      <c r="J179" s="68">
        <v>504271.84</v>
      </c>
      <c r="K179" s="6"/>
      <c r="L179" s="20">
        <f>IF(ISNA(MATCH(Transactions[[#This Row],[TransType]],TransTypes[TransType],0)),1,MATCH(Transactions[[#This Row],[TransType]],TransTypes[TransType],0))</f>
        <v>19</v>
      </c>
      <c r="M179" s="60">
        <f>IF( AND( INDEX(TransTypes[],Transactions[[#This Row],[TTR]],TT_COL_GLFlag)=1, INDEX(TransTypes[],Transactions[[#This Row],[TTR]],TT_COL_LONGORSHORT)="S" ),
      Transactions[[#This Row],[PL]],
      IF(INDEX(TransTypes[],Transactions[[#This Row],[TTR]],TT_COL_LONGORSHORT)="S",0,Transactions[[#This Row],[CalCashImpact]])
)</f>
        <v>0</v>
      </c>
      <c r="N179" s="61">
        <f>IF(VLOOKUP(Transactions[[#This Row],[Symbol]],Symbols[],COLUMN(Symbols[Currency])-COLUMN(Symbols[])+1,FALSE)=
       VLOOKUP(Transactions[[#This Row],[Account]],Accounts[],COLUMN(Accounts[Currency])-COLUMN(Accounts[])+1,FALSE),
     Transactions[[#This Row],[OrigCashImpact]],
     0
)</f>
        <v>0</v>
      </c>
      <c r="O17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78669.692030821971</v>
      </c>
      <c r="P17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17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v>
      </c>
      <c r="R179" s="41">
        <f>ROW()</f>
        <v>179</v>
      </c>
      <c r="S1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-504271.84</v>
      </c>
      <c r="T1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-1262089.6000000001</v>
      </c>
      <c r="U17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v>
      </c>
      <c r="V179" s="65">
        <f>IF(INDEX(TransTypes[],Transactions[[#This Row],[TTR]],TT_COL_GLFlag)=1,Transactions[[#This Row],[CalCashImpact]]+Transactions[[#This Row],[CostImpact]],0)</f>
        <v>0</v>
      </c>
      <c r="W179" s="66">
        <f>Transactions[[#This Row],[Amount]]*INDEX(TransTypes[],Transactions[[#This Row],[TTR]],TT_COL_AmntSign)</f>
        <v>504271.84</v>
      </c>
      <c r="X179" s="66">
        <f>IF(INDEX(TransTypes[],Transactions[[#This Row],[TTR]],TT_COL_LONGORSHORT)="S",
      IF( OR(INDEX(TransTypes[],Transactions[[#This Row],[TTR]],TT_COL_GLFlag)=1, INDEX(TransTypes[], Transactions[[#This Row],[TTR]], TT_COL_ShareTransferFlag)=1),
            Transactions[[#This Row],[CostImpact]]*-1,
            Transactions[[#This Row],[CalCashImpact]]
      ),
     0
)</f>
        <v>504271.84</v>
      </c>
      <c r="Y179" s="67" t="str">
        <f>VLOOKUP(Transactions[[#This Row],[Symbol]],Symbols[], COLUMN(Symbols[Currency])-COLUMN(Symbols[])+1,FALSE)</f>
        <v>USD</v>
      </c>
    </row>
    <row r="180" spans="1:25">
      <c r="A180" s="55" t="s">
        <v>65</v>
      </c>
      <c r="B180" s="56">
        <v>43069</v>
      </c>
      <c r="C180" s="55" t="s">
        <v>113</v>
      </c>
      <c r="D180" s="55"/>
      <c r="E180" s="55" t="s">
        <v>263</v>
      </c>
      <c r="F180" s="57">
        <v>3000</v>
      </c>
      <c r="G180" s="58">
        <v>78.2</v>
      </c>
      <c r="H180" s="57">
        <v>674.34839999999997</v>
      </c>
      <c r="I180" s="57"/>
      <c r="J180" s="68">
        <v>235274.34839999999</v>
      </c>
      <c r="K180" s="6"/>
      <c r="L180" s="20">
        <f>IF(ISNA(MATCH(Transactions[[#This Row],[TransType]],TransTypes[TransType],0)),1,MATCH(Transactions[[#This Row],[TransType]],TransTypes[TransType],0))</f>
        <v>2</v>
      </c>
      <c r="M180" s="60">
        <f>IF( AND( INDEX(TransTypes[],Transactions[[#This Row],[TTR]],TT_COL_GLFlag)=1, INDEX(TransTypes[],Transactions[[#This Row],[TTR]],TT_COL_LONGORSHORT)="S" ),
      Transactions[[#This Row],[PL]],
      IF(INDEX(TransTypes[],Transactions[[#This Row],[TTR]],TT_COL_LONGORSHORT)="S",0,Transactions[[#This Row],[CalCashImpact]])
)</f>
        <v>-235274.34839999999</v>
      </c>
      <c r="N180" s="61">
        <f>IF(VLOOKUP(Transactions[[#This Row],[Symbol]],Symbols[],COLUMN(Symbols[Currency])-COLUMN(Symbols[])+1,FALSE)=
       VLOOKUP(Transactions[[#This Row],[Account]],Accounts[],COLUMN(Accounts[Currency])-COLUMN(Accounts[])+1,FALSE),
     Transactions[[#This Row],[OrigCashImpact]],
     0
)</f>
        <v>0</v>
      </c>
      <c r="O18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78669.692030821985</v>
      </c>
      <c r="P18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8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80" s="41">
        <f>ROW()</f>
        <v>180</v>
      </c>
      <c r="S1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235274.34839999999</v>
      </c>
      <c r="T1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235274.34839999999</v>
      </c>
      <c r="U18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80" s="65">
        <f>IF(INDEX(TransTypes[],Transactions[[#This Row],[TTR]],TT_COL_GLFlag)=1,Transactions[[#This Row],[CalCashImpact]]+Transactions[[#This Row],[CostImpact]],0)</f>
        <v>0</v>
      </c>
      <c r="W180" s="66">
        <f>Transactions[[#This Row],[Amount]]*INDEX(TransTypes[],Transactions[[#This Row],[TTR]],TT_COL_AmntSign)</f>
        <v>-235274.34839999999</v>
      </c>
      <c r="X180" s="66">
        <f>IF(INDEX(TransTypes[],Transactions[[#This Row],[TTR]],TT_COL_LONGORSHORT)="S",
      IF( OR(INDEX(TransTypes[],Transactions[[#This Row],[TTR]],TT_COL_GLFlag)=1, INDEX(TransTypes[], Transactions[[#This Row],[TTR]], TT_COL_ShareTransferFlag)=1),
            Transactions[[#This Row],[CostImpact]]*-1,
            Transactions[[#This Row],[CalCashImpact]]
      ),
     0
)</f>
        <v>0</v>
      </c>
      <c r="Y180" s="67" t="str">
        <f>VLOOKUP(Transactions[[#This Row],[Symbol]],Symbols[], COLUMN(Symbols[Currency])-COLUMN(Symbols[])+1,FALSE)</f>
        <v>HKD</v>
      </c>
    </row>
    <row r="181" spans="1:25">
      <c r="A181" s="55" t="s">
        <v>65</v>
      </c>
      <c r="B181" s="56">
        <v>43069</v>
      </c>
      <c r="C181" s="55" t="s">
        <v>113</v>
      </c>
      <c r="D181" s="55"/>
      <c r="E181" s="55" t="s">
        <v>263</v>
      </c>
      <c r="F181" s="57">
        <v>3000</v>
      </c>
      <c r="G181" s="58">
        <v>78.25</v>
      </c>
      <c r="H181" s="57">
        <v>670.47649999999999</v>
      </c>
      <c r="I181" s="57"/>
      <c r="J181" s="68">
        <v>235420.47649999999</v>
      </c>
      <c r="K181" s="6"/>
      <c r="L181" s="20">
        <f>IF(ISNA(MATCH(Transactions[[#This Row],[TransType]],TransTypes[TransType],0)),1,MATCH(Transactions[[#This Row],[TransType]],TransTypes[TransType],0))</f>
        <v>2</v>
      </c>
      <c r="M181" s="60">
        <f>IF( AND( INDEX(TransTypes[],Transactions[[#This Row],[TTR]],TT_COL_GLFlag)=1, INDEX(TransTypes[],Transactions[[#This Row],[TTR]],TT_COL_LONGORSHORT)="S" ),
      Transactions[[#This Row],[PL]],
      IF(INDEX(TransTypes[],Transactions[[#This Row],[TTR]],TT_COL_LONGORSHORT)="S",0,Transactions[[#This Row],[CalCashImpact]])
)</f>
        <v>-235420.47649999999</v>
      </c>
      <c r="N181" s="61">
        <f>IF(VLOOKUP(Transactions[[#This Row],[Symbol]],Symbols[],COLUMN(Symbols[Currency])-COLUMN(Symbols[])+1,FALSE)=
       VLOOKUP(Transactions[[#This Row],[Account]],Accounts[],COLUMN(Accounts[Currency])-COLUMN(Accounts[])+1,FALSE),
     Transactions[[#This Row],[OrigCashImpact]],
     0
)</f>
        <v>0</v>
      </c>
      <c r="O18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78669.692030821985</v>
      </c>
      <c r="P18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8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81" s="41">
        <f>ROW()</f>
        <v>181</v>
      </c>
      <c r="S1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235420.47649999999</v>
      </c>
      <c r="T1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470694.82490000001</v>
      </c>
      <c r="U18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81" s="65">
        <f>IF(INDEX(TransTypes[],Transactions[[#This Row],[TTR]],TT_COL_GLFlag)=1,Transactions[[#This Row],[CalCashImpact]]+Transactions[[#This Row],[CostImpact]],0)</f>
        <v>0</v>
      </c>
      <c r="W181" s="66">
        <f>Transactions[[#This Row],[Amount]]*INDEX(TransTypes[],Transactions[[#This Row],[TTR]],TT_COL_AmntSign)</f>
        <v>-235420.47649999999</v>
      </c>
      <c r="X181" s="66">
        <f>IF(INDEX(TransTypes[],Transactions[[#This Row],[TTR]],TT_COL_LONGORSHORT)="S",
      IF( OR(INDEX(TransTypes[],Transactions[[#This Row],[TTR]],TT_COL_GLFlag)=1, INDEX(TransTypes[], Transactions[[#This Row],[TTR]], TT_COL_ShareTransferFlag)=1),
            Transactions[[#This Row],[CostImpact]]*-1,
            Transactions[[#This Row],[CalCashImpact]]
      ),
     0
)</f>
        <v>0</v>
      </c>
      <c r="Y181" s="67" t="str">
        <f>VLOOKUP(Transactions[[#This Row],[Symbol]],Symbols[], COLUMN(Symbols[Currency])-COLUMN(Symbols[])+1,FALSE)</f>
        <v>HKD</v>
      </c>
    </row>
    <row r="182" spans="1:25">
      <c r="A182" s="55" t="s">
        <v>65</v>
      </c>
      <c r="B182" s="56">
        <v>43069</v>
      </c>
      <c r="C182" s="55" t="s">
        <v>113</v>
      </c>
      <c r="D182" s="55"/>
      <c r="E182" s="55" t="s">
        <v>311</v>
      </c>
      <c r="F182" s="57">
        <v>500</v>
      </c>
      <c r="G182" s="58">
        <v>23.96</v>
      </c>
      <c r="H182" s="57">
        <v>2.5</v>
      </c>
      <c r="I182" s="57"/>
      <c r="J182" s="68">
        <v>11982.5</v>
      </c>
      <c r="K182" s="6"/>
      <c r="L182" s="20">
        <f>IF(ISNA(MATCH(Transactions[[#This Row],[TransType]],TransTypes[TransType],0)),1,MATCH(Transactions[[#This Row],[TransType]],TransTypes[TransType],0))</f>
        <v>2</v>
      </c>
      <c r="M182" s="60">
        <f>IF( AND( INDEX(TransTypes[],Transactions[[#This Row],[TTR]],TT_COL_GLFlag)=1, INDEX(TransTypes[],Transactions[[#This Row],[TTR]],TT_COL_LONGORSHORT)="S" ),
      Transactions[[#This Row],[PL]],
      IF(INDEX(TransTypes[],Transactions[[#This Row],[TTR]],TT_COL_LONGORSHORT)="S",0,Transactions[[#This Row],[CalCashImpact]])
)</f>
        <v>-11982.5</v>
      </c>
      <c r="N182" s="61">
        <f>IF(VLOOKUP(Transactions[[#This Row],[Symbol]],Symbols[],COLUMN(Symbols[Currency])-COLUMN(Symbols[])+1,FALSE)=
       VLOOKUP(Transactions[[#This Row],[Account]],Accounts[],COLUMN(Accounts[Currency])-COLUMN(Accounts[])+1,FALSE),
     Transactions[[#This Row],[OrigCashImpact]],
     0
)</f>
        <v>-11982.5</v>
      </c>
      <c r="O18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66687.192030821985</v>
      </c>
      <c r="P18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8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4814</v>
      </c>
      <c r="R182" s="41">
        <f>ROW()</f>
        <v>182</v>
      </c>
      <c r="S1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11982.5</v>
      </c>
      <c r="T1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124401.08739999999</v>
      </c>
      <c r="U18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4814</v>
      </c>
      <c r="V182" s="65">
        <f>IF(INDEX(TransTypes[],Transactions[[#This Row],[TTR]],TT_COL_GLFlag)=1,Transactions[[#This Row],[CalCashImpact]]+Transactions[[#This Row],[CostImpact]],0)</f>
        <v>0</v>
      </c>
      <c r="W182" s="66">
        <f>Transactions[[#This Row],[Amount]]*INDEX(TransTypes[],Transactions[[#This Row],[TTR]],TT_COL_AmntSign)</f>
        <v>-11982.5</v>
      </c>
      <c r="X182" s="66">
        <f>IF(INDEX(TransTypes[],Transactions[[#This Row],[TTR]],TT_COL_LONGORSHORT)="S",
      IF( OR(INDEX(TransTypes[],Transactions[[#This Row],[TTR]],TT_COL_GLFlag)=1, INDEX(TransTypes[], Transactions[[#This Row],[TTR]], TT_COL_ShareTransferFlag)=1),
            Transactions[[#This Row],[CostImpact]]*-1,
            Transactions[[#This Row],[CalCashImpact]]
      ),
     0
)</f>
        <v>0</v>
      </c>
      <c r="Y182" s="67" t="str">
        <f>VLOOKUP(Transactions[[#This Row],[Symbol]],Symbols[], COLUMN(Symbols[Currency])-COLUMN(Symbols[])+1,FALSE)</f>
        <v>USD</v>
      </c>
    </row>
    <row r="183" spans="1:25">
      <c r="A183" s="55" t="s">
        <v>65</v>
      </c>
      <c r="B183" s="56">
        <v>43069</v>
      </c>
      <c r="C183" s="55" t="s">
        <v>115</v>
      </c>
      <c r="D183" s="55"/>
      <c r="E183" s="55" t="s">
        <v>325</v>
      </c>
      <c r="F183" s="57">
        <v>250</v>
      </c>
      <c r="G183" s="58">
        <v>102.74</v>
      </c>
      <c r="H183" s="57">
        <v>1.6230735000000001</v>
      </c>
      <c r="I183" s="57"/>
      <c r="J183" s="68">
        <v>25683.376926500001</v>
      </c>
      <c r="K183" s="6"/>
      <c r="L183" s="20">
        <f>IF(ISNA(MATCH(Transactions[[#This Row],[TransType]],TransTypes[TransType],0)),1,MATCH(Transactions[[#This Row],[TransType]],TransTypes[TransType],0))</f>
        <v>3</v>
      </c>
      <c r="M183" s="60">
        <f>IF( AND( INDEX(TransTypes[],Transactions[[#This Row],[TTR]],TT_COL_GLFlag)=1, INDEX(TransTypes[],Transactions[[#This Row],[TTR]],TT_COL_LONGORSHORT)="S" ),
      Transactions[[#This Row],[PL]],
      IF(INDEX(TransTypes[],Transactions[[#This Row],[TTR]],TT_COL_LONGORSHORT)="S",0,Transactions[[#This Row],[CalCashImpact]])
)</f>
        <v>25683.376926500001</v>
      </c>
      <c r="N183" s="61">
        <f>IF(VLOOKUP(Transactions[[#This Row],[Symbol]],Symbols[],COLUMN(Symbols[Currency])-COLUMN(Symbols[])+1,FALSE)=
       VLOOKUP(Transactions[[#This Row],[Account]],Accounts[],COLUMN(Accounts[Currency])-COLUMN(Accounts[])+1,FALSE),
     Transactions[[#This Row],[OrigCashImpact]],
     0
)</f>
        <v>25683.376926500001</v>
      </c>
      <c r="O18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92370.568957321986</v>
      </c>
      <c r="P18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v>
      </c>
      <c r="Q18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3" s="41">
        <f>ROW()</f>
        <v>183</v>
      </c>
      <c r="S1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-22074.154347826086</v>
      </c>
      <c r="T1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v>
      </c>
      <c r="V183" s="65">
        <f>IF(INDEX(TransTypes[],Transactions[[#This Row],[TTR]],TT_COL_GLFlag)=1,Transactions[[#This Row],[CalCashImpact]]+Transactions[[#This Row],[CostImpact]],0)</f>
        <v>3609.2225786739145</v>
      </c>
      <c r="W183" s="66">
        <f>Transactions[[#This Row],[Amount]]*INDEX(TransTypes[],Transactions[[#This Row],[TTR]],TT_COL_AmntSign)</f>
        <v>25683.376926500001</v>
      </c>
      <c r="X183" s="66">
        <f>IF(INDEX(TransTypes[],Transactions[[#This Row],[TTR]],TT_COL_LONGORSHORT)="S",
      IF( OR(INDEX(TransTypes[],Transactions[[#This Row],[TTR]],TT_COL_GLFlag)=1, INDEX(TransTypes[], Transactions[[#This Row],[TTR]], TT_COL_ShareTransferFlag)=1),
            Transactions[[#This Row],[CostImpact]]*-1,
            Transactions[[#This Row],[CalCashImpact]]
      ),
     0
)</f>
        <v>0</v>
      </c>
      <c r="Y183" s="67" t="str">
        <f>VLOOKUP(Transactions[[#This Row],[Symbol]],Symbols[], COLUMN(Symbols[Currency])-COLUMN(Symbols[])+1,FALSE)</f>
        <v>USD</v>
      </c>
    </row>
    <row r="184" spans="1:25">
      <c r="A184" s="55" t="s">
        <v>65</v>
      </c>
      <c r="B184" s="56">
        <v>43069</v>
      </c>
      <c r="C184" s="55" t="s">
        <v>160</v>
      </c>
      <c r="D184" s="55"/>
      <c r="E184" s="55" t="s">
        <v>49</v>
      </c>
      <c r="F184" s="57">
        <v>10</v>
      </c>
      <c r="G184" s="58">
        <v>6334.25</v>
      </c>
      <c r="H184" s="57">
        <v>20.399999999999999</v>
      </c>
      <c r="I184" s="57"/>
      <c r="J184" s="68">
        <v>1266870.3999999999</v>
      </c>
      <c r="K184" s="6"/>
      <c r="L184" s="20">
        <f>IF(ISNA(MATCH(Transactions[[#This Row],[TransType]],TransTypes[TransType],0)),1,MATCH(Transactions[[#This Row],[TransType]],TransTypes[TransType],0))</f>
        <v>20</v>
      </c>
      <c r="M184" s="60">
        <f>IF( AND( INDEX(TransTypes[],Transactions[[#This Row],[TTR]],TT_COL_GLFlag)=1, INDEX(TransTypes[],Transactions[[#This Row],[TTR]],TT_COL_LONGORSHORT)="S" ),
      Transactions[[#This Row],[PL]],
      IF(INDEX(TransTypes[],Transactions[[#This Row],[TTR]],TT_COL_LONGORSHORT)="S",0,Transactions[[#This Row],[CalCashImpact]])
)</f>
        <v>-4780.7999999998137</v>
      </c>
      <c r="N184" s="61">
        <f>IF(VLOOKUP(Transactions[[#This Row],[Symbol]],Symbols[],COLUMN(Symbols[Currency])-COLUMN(Symbols[])+1,FALSE)=
       VLOOKUP(Transactions[[#This Row],[Account]],Accounts[],COLUMN(Accounts[Currency])-COLUMN(Accounts[])+1,FALSE),
     Transactions[[#This Row],[OrigCashImpact]],
     0
)</f>
        <v>-4780.7999999998137</v>
      </c>
      <c r="O18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87589.768957322172</v>
      </c>
      <c r="P18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v>
      </c>
      <c r="Q18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4" s="41">
        <f>ROW()</f>
        <v>184</v>
      </c>
      <c r="S1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1262089.6000000001</v>
      </c>
      <c r="T1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v>
      </c>
      <c r="V184" s="65">
        <f>IF(INDEX(TransTypes[],Transactions[[#This Row],[TTR]],TT_COL_GLFlag)=1,Transactions[[#This Row],[CalCashImpact]]+Transactions[[#This Row],[CostImpact]],0)</f>
        <v>-4780.7999999998137</v>
      </c>
      <c r="W184" s="66">
        <f>Transactions[[#This Row],[Amount]]*INDEX(TransTypes[],Transactions[[#This Row],[TTR]],TT_COL_AmntSign)</f>
        <v>-1266870.3999999999</v>
      </c>
      <c r="X184" s="66">
        <f>IF(INDEX(TransTypes[],Transactions[[#This Row],[TTR]],TT_COL_LONGORSHORT)="S",
      IF( OR(INDEX(TransTypes[],Transactions[[#This Row],[TTR]],TT_COL_GLFlag)=1, INDEX(TransTypes[], Transactions[[#This Row],[TTR]], TT_COL_ShareTransferFlag)=1),
            Transactions[[#This Row],[CostImpact]]*-1,
            Transactions[[#This Row],[CalCashImpact]]
      ),
     0
)</f>
        <v>-1262089.6000000001</v>
      </c>
      <c r="Y184" s="67" t="str">
        <f>VLOOKUP(Transactions[[#This Row],[Symbol]],Symbols[], COLUMN(Symbols[Currency])-COLUMN(Symbols[])+1,FALSE)</f>
        <v>USD</v>
      </c>
    </row>
    <row r="185" spans="1:25">
      <c r="A185" s="55" t="s">
        <v>65</v>
      </c>
      <c r="B185" s="56">
        <v>43069</v>
      </c>
      <c r="C185" s="55" t="s">
        <v>152</v>
      </c>
      <c r="D185" s="55"/>
      <c r="E185" s="55" t="s">
        <v>210</v>
      </c>
      <c r="F185" s="57">
        <v>30050</v>
      </c>
      <c r="G185" s="58">
        <v>7.8068400000000002</v>
      </c>
      <c r="H185" s="57"/>
      <c r="I185" s="57"/>
      <c r="J185" s="68">
        <v>234595.54199999999</v>
      </c>
      <c r="K185" s="6"/>
      <c r="L185" s="20">
        <f>IF(ISNA(MATCH(Transactions[[#This Row],[TransType]],TransTypes[TransType],0)),1,MATCH(Transactions[[#This Row],[TransType]],TransTypes[TransType],0))</f>
        <v>15</v>
      </c>
      <c r="M185" s="60">
        <f>IF( AND( INDEX(TransTypes[],Transactions[[#This Row],[TTR]],TT_COL_GLFlag)=1, INDEX(TransTypes[],Transactions[[#This Row],[TTR]],TT_COL_LONGORSHORT)="S" ),
      Transactions[[#This Row],[PL]],
      IF(INDEX(TransTypes[],Transactions[[#This Row],[TTR]],TT_COL_LONGORSHORT)="S",0,Transactions[[#This Row],[CalCashImpact]])
)</f>
        <v>234595.54199999999</v>
      </c>
      <c r="N185" s="61">
        <f>IF(VLOOKUP(Transactions[[#This Row],[Symbol]],Symbols[],COLUMN(Symbols[Currency])-COLUMN(Symbols[])+1,FALSE)=
       VLOOKUP(Transactions[[#This Row],[Account]],Accounts[],COLUMN(Accounts[Currency])-COLUMN(Accounts[])+1,FALSE),
     Transactions[[#This Row],[OrigCashImpact]],
     0
)</f>
        <v>0</v>
      </c>
      <c r="O18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87589.768957322172</v>
      </c>
      <c r="P18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5" s="41">
        <f>ROW()</f>
        <v>185</v>
      </c>
      <c r="S1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5" s="65">
        <f>IF(INDEX(TransTypes[],Transactions[[#This Row],[TTR]],TT_COL_GLFlag)=1,Transactions[[#This Row],[CalCashImpact]]+Transactions[[#This Row],[CostImpact]],0)</f>
        <v>0</v>
      </c>
      <c r="W185" s="66">
        <f>Transactions[[#This Row],[Amount]]*INDEX(TransTypes[],Transactions[[#This Row],[TTR]],TT_COL_AmntSign)</f>
        <v>234595.54199999999</v>
      </c>
      <c r="X185" s="66">
        <f>IF(INDEX(TransTypes[],Transactions[[#This Row],[TTR]],TT_COL_LONGORSHORT)="S",
      IF( OR(INDEX(TransTypes[],Transactions[[#This Row],[TTR]],TT_COL_GLFlag)=1, INDEX(TransTypes[], Transactions[[#This Row],[TTR]], TT_COL_ShareTransferFlag)=1),
            Transactions[[#This Row],[CostImpact]]*-1,
            Transactions[[#This Row],[CalCashImpact]]
      ),
     0
)</f>
        <v>0</v>
      </c>
      <c r="Y185" s="67" t="str">
        <f>VLOOKUP(Transactions[[#This Row],[Symbol]],Symbols[], COLUMN(Symbols[Currency])-COLUMN(Symbols[])+1,FALSE)</f>
        <v>HKD</v>
      </c>
    </row>
    <row r="186" spans="1:25">
      <c r="A186" s="55" t="s">
        <v>65</v>
      </c>
      <c r="B186" s="56">
        <v>43069</v>
      </c>
      <c r="C186" s="55" t="s">
        <v>238</v>
      </c>
      <c r="D186" s="55"/>
      <c r="E186" s="55" t="s">
        <v>208</v>
      </c>
      <c r="F186" s="57">
        <v>30050</v>
      </c>
      <c r="G186" s="58">
        <v>1</v>
      </c>
      <c r="H186" s="57">
        <v>2</v>
      </c>
      <c r="I186" s="57"/>
      <c r="J186" s="68">
        <v>30052</v>
      </c>
      <c r="K186" s="6" t="s">
        <v>376</v>
      </c>
      <c r="L186" s="20">
        <f>IF(ISNA(MATCH(Transactions[[#This Row],[TransType]],TransTypes[TransType],0)),1,MATCH(Transactions[[#This Row],[TransType]],TransTypes[TransType],0))</f>
        <v>16</v>
      </c>
      <c r="M186" s="60">
        <f>IF( AND( INDEX(TransTypes[],Transactions[[#This Row],[TTR]],TT_COL_GLFlag)=1, INDEX(TransTypes[],Transactions[[#This Row],[TTR]],TT_COL_LONGORSHORT)="S" ),
      Transactions[[#This Row],[PL]],
      IF(INDEX(TransTypes[],Transactions[[#This Row],[TTR]],TT_COL_LONGORSHORT)="S",0,Transactions[[#This Row],[CalCashImpact]])
)</f>
        <v>-30052</v>
      </c>
      <c r="N186" s="61">
        <f>IF(VLOOKUP(Transactions[[#This Row],[Symbol]],Symbols[],COLUMN(Symbols[Currency])-COLUMN(Symbols[])+1,FALSE)=
       VLOOKUP(Transactions[[#This Row],[Account]],Accounts[],COLUMN(Accounts[Currency])-COLUMN(Accounts[])+1,FALSE),
     Transactions[[#This Row],[OrigCashImpact]],
     0
)</f>
        <v>-30052</v>
      </c>
      <c r="O18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57537.768957322172</v>
      </c>
      <c r="P18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6" s="41">
        <f>ROW()</f>
        <v>186</v>
      </c>
      <c r="S1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6" s="65">
        <f>IF(INDEX(TransTypes[],Transactions[[#This Row],[TTR]],TT_COL_GLFlag)=1,Transactions[[#This Row],[CalCashImpact]]+Transactions[[#This Row],[CostImpact]],0)</f>
        <v>0</v>
      </c>
      <c r="W186" s="66">
        <f>Transactions[[#This Row],[Amount]]*INDEX(TransTypes[],Transactions[[#This Row],[TTR]],TT_COL_AmntSign)</f>
        <v>-30052</v>
      </c>
      <c r="X186" s="66">
        <f>IF(INDEX(TransTypes[],Transactions[[#This Row],[TTR]],TT_COL_LONGORSHORT)="S",
      IF( OR(INDEX(TransTypes[],Transactions[[#This Row],[TTR]],TT_COL_GLFlag)=1, INDEX(TransTypes[], Transactions[[#This Row],[TTR]], TT_COL_ShareTransferFlag)=1),
            Transactions[[#This Row],[CostImpact]]*-1,
            Transactions[[#This Row],[CalCashImpact]]
      ),
     0
)</f>
        <v>0</v>
      </c>
      <c r="Y186" s="67" t="str">
        <f>VLOOKUP(Transactions[[#This Row],[Symbol]],Symbols[], COLUMN(Symbols[Currency])-COLUMN(Symbols[])+1,FALSE)</f>
        <v>USD</v>
      </c>
    </row>
    <row r="187" spans="1:25">
      <c r="A187" s="55" t="s">
        <v>65</v>
      </c>
      <c r="B187" s="56">
        <v>43069</v>
      </c>
      <c r="C187" s="55" t="s">
        <v>152</v>
      </c>
      <c r="D187" s="55"/>
      <c r="E187" s="55" t="s">
        <v>210</v>
      </c>
      <c r="F187" s="57">
        <v>30069</v>
      </c>
      <c r="G187" s="58">
        <v>7.8068200000000001</v>
      </c>
      <c r="H187" s="57"/>
      <c r="I187" s="57"/>
      <c r="J187" s="68">
        <v>234743.27059999999</v>
      </c>
      <c r="K187" s="6"/>
      <c r="L187" s="20">
        <f>IF(ISNA(MATCH(Transactions[[#This Row],[TransType]],TransTypes[TransType],0)),1,MATCH(Transactions[[#This Row],[TransType]],TransTypes[TransType],0))</f>
        <v>15</v>
      </c>
      <c r="M187" s="60">
        <f>IF( AND( INDEX(TransTypes[],Transactions[[#This Row],[TTR]],TT_COL_GLFlag)=1, INDEX(TransTypes[],Transactions[[#This Row],[TTR]],TT_COL_LONGORSHORT)="S" ),
      Transactions[[#This Row],[PL]],
      IF(INDEX(TransTypes[],Transactions[[#This Row],[TTR]],TT_COL_LONGORSHORT)="S",0,Transactions[[#This Row],[CalCashImpact]])
)</f>
        <v>234743.27059999999</v>
      </c>
      <c r="N187" s="61">
        <f>IF(VLOOKUP(Transactions[[#This Row],[Symbol]],Symbols[],COLUMN(Symbols[Currency])-COLUMN(Symbols[])+1,FALSE)=
       VLOOKUP(Transactions[[#This Row],[Account]],Accounts[],COLUMN(Accounts[Currency])-COLUMN(Accounts[])+1,FALSE),
     Transactions[[#This Row],[OrigCashImpact]],
     0
)</f>
        <v>0</v>
      </c>
      <c r="O18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57537.768957322172</v>
      </c>
      <c r="P18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7" s="41">
        <f>ROW()</f>
        <v>187</v>
      </c>
      <c r="S1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7" s="65">
        <f>IF(INDEX(TransTypes[],Transactions[[#This Row],[TTR]],TT_COL_GLFlag)=1,Transactions[[#This Row],[CalCashImpact]]+Transactions[[#This Row],[CostImpact]],0)</f>
        <v>0</v>
      </c>
      <c r="W187" s="66">
        <f>Transactions[[#This Row],[Amount]]*INDEX(TransTypes[],Transactions[[#This Row],[TTR]],TT_COL_AmntSign)</f>
        <v>234743.27059999999</v>
      </c>
      <c r="X187" s="66">
        <f>IF(INDEX(TransTypes[],Transactions[[#This Row],[TTR]],TT_COL_LONGORSHORT)="S",
      IF( OR(INDEX(TransTypes[],Transactions[[#This Row],[TTR]],TT_COL_GLFlag)=1, INDEX(TransTypes[], Transactions[[#This Row],[TTR]], TT_COL_ShareTransferFlag)=1),
            Transactions[[#This Row],[CostImpact]]*-1,
            Transactions[[#This Row],[CalCashImpact]]
      ),
     0
)</f>
        <v>0</v>
      </c>
      <c r="Y187" s="67" t="str">
        <f>VLOOKUP(Transactions[[#This Row],[Symbol]],Symbols[], COLUMN(Symbols[Currency])-COLUMN(Symbols[])+1,FALSE)</f>
        <v>HKD</v>
      </c>
    </row>
    <row r="188" spans="1:25">
      <c r="A188" s="55" t="s">
        <v>65</v>
      </c>
      <c r="B188" s="56">
        <v>43069</v>
      </c>
      <c r="C188" s="55" t="s">
        <v>238</v>
      </c>
      <c r="D188" s="55"/>
      <c r="E188" s="55" t="s">
        <v>208</v>
      </c>
      <c r="F188" s="57">
        <v>30069</v>
      </c>
      <c r="G188" s="58">
        <v>1</v>
      </c>
      <c r="H188" s="57">
        <v>2</v>
      </c>
      <c r="I188" s="57"/>
      <c r="J188" s="68">
        <v>30071</v>
      </c>
      <c r="K188" s="6" t="s">
        <v>377</v>
      </c>
      <c r="L188" s="20">
        <f>IF(ISNA(MATCH(Transactions[[#This Row],[TransType]],TransTypes[TransType],0)),1,MATCH(Transactions[[#This Row],[TransType]],TransTypes[TransType],0))</f>
        <v>16</v>
      </c>
      <c r="M188" s="60">
        <f>IF( AND( INDEX(TransTypes[],Transactions[[#This Row],[TTR]],TT_COL_GLFlag)=1, INDEX(TransTypes[],Transactions[[#This Row],[TTR]],TT_COL_LONGORSHORT)="S" ),
      Transactions[[#This Row],[PL]],
      IF(INDEX(TransTypes[],Transactions[[#This Row],[TTR]],TT_COL_LONGORSHORT)="S",0,Transactions[[#This Row],[CalCashImpact]])
)</f>
        <v>-30071</v>
      </c>
      <c r="N188" s="61">
        <f>IF(VLOOKUP(Transactions[[#This Row],[Symbol]],Symbols[],COLUMN(Symbols[Currency])-COLUMN(Symbols[])+1,FALSE)=
       VLOOKUP(Transactions[[#This Row],[Account]],Accounts[],COLUMN(Accounts[Currency])-COLUMN(Accounts[])+1,FALSE),
     Transactions[[#This Row],[OrigCashImpact]],
     0
)</f>
        <v>-30071</v>
      </c>
      <c r="O18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27466.768957322172</v>
      </c>
      <c r="P18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8" s="41">
        <f>ROW()</f>
        <v>188</v>
      </c>
      <c r="S1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8" s="65">
        <f>IF(INDEX(TransTypes[],Transactions[[#This Row],[TTR]],TT_COL_GLFlag)=1,Transactions[[#This Row],[CalCashImpact]]+Transactions[[#This Row],[CostImpact]],0)</f>
        <v>0</v>
      </c>
      <c r="W188" s="66">
        <f>Transactions[[#This Row],[Amount]]*INDEX(TransTypes[],Transactions[[#This Row],[TTR]],TT_COL_AmntSign)</f>
        <v>-30071</v>
      </c>
      <c r="X188" s="66">
        <f>IF(INDEX(TransTypes[],Transactions[[#This Row],[TTR]],TT_COL_LONGORSHORT)="S",
      IF( OR(INDEX(TransTypes[],Transactions[[#This Row],[TTR]],TT_COL_GLFlag)=1, INDEX(TransTypes[], Transactions[[#This Row],[TTR]], TT_COL_ShareTransferFlag)=1),
            Transactions[[#This Row],[CostImpact]]*-1,
            Transactions[[#This Row],[CalCashImpact]]
      ),
     0
)</f>
        <v>0</v>
      </c>
      <c r="Y188" s="67" t="str">
        <f>VLOOKUP(Transactions[[#This Row],[Symbol]],Symbols[], COLUMN(Symbols[Currency])-COLUMN(Symbols[])+1,FALSE)</f>
        <v>USD</v>
      </c>
    </row>
    <row r="189" spans="1:25">
      <c r="A189" s="55" t="s">
        <v>65</v>
      </c>
      <c r="B189" s="56">
        <v>43070</v>
      </c>
      <c r="C189" s="55" t="s">
        <v>115</v>
      </c>
      <c r="D189" s="55"/>
      <c r="E189" s="55" t="s">
        <v>281</v>
      </c>
      <c r="F189" s="57">
        <v>100</v>
      </c>
      <c r="G189" s="58">
        <v>175.77</v>
      </c>
      <c r="H189" s="57">
        <v>1.4179287</v>
      </c>
      <c r="I189" s="57"/>
      <c r="J189" s="68">
        <v>17575.582071299999</v>
      </c>
      <c r="K189" s="6"/>
      <c r="L189" s="20">
        <f>IF(ISNA(MATCH(Transactions[[#This Row],[TransType]],TransTypes[TransType],0)),1,MATCH(Transactions[[#This Row],[TransType]],TransTypes[TransType],0))</f>
        <v>3</v>
      </c>
      <c r="M189" s="60">
        <f>IF( AND( INDEX(TransTypes[],Transactions[[#This Row],[TTR]],TT_COL_GLFlag)=1, INDEX(TransTypes[],Transactions[[#This Row],[TTR]],TT_COL_LONGORSHORT)="S" ),
      Transactions[[#This Row],[PL]],
      IF(INDEX(TransTypes[],Transactions[[#This Row],[TTR]],TT_COL_LONGORSHORT)="S",0,Transactions[[#This Row],[CalCashImpact]])
)</f>
        <v>17575.582071299999</v>
      </c>
      <c r="N189" s="61">
        <f>IF(VLOOKUP(Transactions[[#This Row],[Symbol]],Symbols[],COLUMN(Symbols[Currency])-COLUMN(Symbols[])+1,FALSE)=
       VLOOKUP(Transactions[[#This Row],[Account]],Accounts[],COLUMN(Accounts[Currency])-COLUMN(Accounts[])+1,FALSE),
     Transactions[[#This Row],[OrigCashImpact]],
     0
)</f>
        <v>17575.582071299999</v>
      </c>
      <c r="O18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45042.351028622164</v>
      </c>
      <c r="P18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8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89" s="41">
        <f>ROW()</f>
        <v>189</v>
      </c>
      <c r="S1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-18786.666666666668</v>
      </c>
      <c r="T1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37573.333333333328</v>
      </c>
      <c r="U18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189" s="65">
        <f>IF(INDEX(TransTypes[],Transactions[[#This Row],[TTR]],TT_COL_GLFlag)=1,Transactions[[#This Row],[CalCashImpact]]+Transactions[[#This Row],[CostImpact]],0)</f>
        <v>-1211.0845953666685</v>
      </c>
      <c r="W189" s="66">
        <f>Transactions[[#This Row],[Amount]]*INDEX(TransTypes[],Transactions[[#This Row],[TTR]],TT_COL_AmntSign)</f>
        <v>17575.582071299999</v>
      </c>
      <c r="X189" s="66">
        <f>IF(INDEX(TransTypes[],Transactions[[#This Row],[TTR]],TT_COL_LONGORSHORT)="S",
      IF( OR(INDEX(TransTypes[],Transactions[[#This Row],[TTR]],TT_COL_GLFlag)=1, INDEX(TransTypes[], Transactions[[#This Row],[TTR]], TT_COL_ShareTransferFlag)=1),
            Transactions[[#This Row],[CostImpact]]*-1,
            Transactions[[#This Row],[CalCashImpact]]
      ),
     0
)</f>
        <v>0</v>
      </c>
      <c r="Y189" s="67" t="str">
        <f>VLOOKUP(Transactions[[#This Row],[Symbol]],Symbols[], COLUMN(Symbols[Currency])-COLUMN(Symbols[])+1,FALSE)</f>
        <v>USD</v>
      </c>
    </row>
    <row r="190" spans="1:25">
      <c r="A190" s="55" t="s">
        <v>65</v>
      </c>
      <c r="B190" s="56">
        <v>43070</v>
      </c>
      <c r="C190" s="55" t="s">
        <v>115</v>
      </c>
      <c r="D190" s="55"/>
      <c r="E190" s="55" t="s">
        <v>316</v>
      </c>
      <c r="F190" s="57">
        <v>36</v>
      </c>
      <c r="G190" s="58">
        <v>306.66000000000003</v>
      </c>
      <c r="H190" s="57">
        <v>1.2593024559999999</v>
      </c>
      <c r="I190" s="57"/>
      <c r="J190" s="68">
        <v>11038.500697543999</v>
      </c>
      <c r="K190" s="6"/>
      <c r="L190" s="20">
        <f>IF(ISNA(MATCH(Transactions[[#This Row],[TransType]],TransTypes[TransType],0)),1,MATCH(Transactions[[#This Row],[TransType]],TransTypes[TransType],0))</f>
        <v>3</v>
      </c>
      <c r="M190" s="60">
        <f>IF( AND( INDEX(TransTypes[],Transactions[[#This Row],[TTR]],TT_COL_GLFlag)=1, INDEX(TransTypes[],Transactions[[#This Row],[TTR]],TT_COL_LONGORSHORT)="S" ),
      Transactions[[#This Row],[PL]],
      IF(INDEX(TransTypes[],Transactions[[#This Row],[TTR]],TT_COL_LONGORSHORT)="S",0,Transactions[[#This Row],[CalCashImpact]])
)</f>
        <v>11038.500697543999</v>
      </c>
      <c r="N190" s="61">
        <f>IF(VLOOKUP(Transactions[[#This Row],[Symbol]],Symbols[],COLUMN(Symbols[Currency])-COLUMN(Symbols[])+1,FALSE)=
       VLOOKUP(Transactions[[#This Row],[Account]],Accounts[],COLUMN(Accounts[Currency])-COLUMN(Accounts[])+1,FALSE),
     Transactions[[#This Row],[OrigCashImpact]],
     0
)</f>
        <v>11038.500697543999</v>
      </c>
      <c r="O19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56080.851726166162</v>
      </c>
      <c r="P19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-36</v>
      </c>
      <c r="Q19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190" s="41">
        <f>ROW()</f>
        <v>190</v>
      </c>
      <c r="S1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-11198.463853211009</v>
      </c>
      <c r="T1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124427.37614678899</v>
      </c>
      <c r="U19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436</v>
      </c>
      <c r="V190" s="65">
        <f>IF(INDEX(TransTypes[],Transactions[[#This Row],[TTR]],TT_COL_GLFlag)=1,Transactions[[#This Row],[CalCashImpact]]+Transactions[[#This Row],[CostImpact]],0)</f>
        <v>-159.96315566701014</v>
      </c>
      <c r="W190" s="66">
        <f>Transactions[[#This Row],[Amount]]*INDEX(TransTypes[],Transactions[[#This Row],[TTR]],TT_COL_AmntSign)</f>
        <v>11038.500697543999</v>
      </c>
      <c r="X190" s="66">
        <f>IF(INDEX(TransTypes[],Transactions[[#This Row],[TTR]],TT_COL_LONGORSHORT)="S",
      IF( OR(INDEX(TransTypes[],Transactions[[#This Row],[TTR]],TT_COL_GLFlag)=1, INDEX(TransTypes[], Transactions[[#This Row],[TTR]], TT_COL_ShareTransferFlag)=1),
            Transactions[[#This Row],[CostImpact]]*-1,
            Transactions[[#This Row],[CalCashImpact]]
      ),
     0
)</f>
        <v>0</v>
      </c>
      <c r="Y190" s="67" t="str">
        <f>VLOOKUP(Transactions[[#This Row],[Symbol]],Symbols[], COLUMN(Symbols[Currency])-COLUMN(Symbols[])+1,FALSE)</f>
        <v>USD</v>
      </c>
    </row>
    <row r="191" spans="1:25">
      <c r="A191" s="55" t="s">
        <v>65</v>
      </c>
      <c r="B191" s="56">
        <v>43070</v>
      </c>
      <c r="C191" s="55" t="s">
        <v>115</v>
      </c>
      <c r="D191" s="55"/>
      <c r="E191" s="55" t="s">
        <v>319</v>
      </c>
      <c r="F191" s="57">
        <v>250</v>
      </c>
      <c r="G191" s="58">
        <v>109.78</v>
      </c>
      <c r="H191" s="57">
        <v>1.9137295000000001</v>
      </c>
      <c r="I191" s="57"/>
      <c r="J191" s="68">
        <v>27443.0862705</v>
      </c>
      <c r="K191" s="6"/>
      <c r="L191" s="20">
        <f>IF(ISNA(MATCH(Transactions[[#This Row],[TransType]],TransTypes[TransType],0)),1,MATCH(Transactions[[#This Row],[TransType]],TransTypes[TransType],0))</f>
        <v>3</v>
      </c>
      <c r="M191" s="60">
        <f>IF( AND( INDEX(TransTypes[],Transactions[[#This Row],[TTR]],TT_COL_GLFlag)=1, INDEX(TransTypes[],Transactions[[#This Row],[TTR]],TT_COL_LONGORSHORT)="S" ),
      Transactions[[#This Row],[PL]],
      IF(INDEX(TransTypes[],Transactions[[#This Row],[TTR]],TT_COL_LONGORSHORT)="S",0,Transactions[[#This Row],[CalCashImpact]])
)</f>
        <v>27443.0862705</v>
      </c>
      <c r="N191" s="61">
        <f>IF(VLOOKUP(Transactions[[#This Row],[Symbol]],Symbols[],COLUMN(Symbols[Currency])-COLUMN(Symbols[])+1,FALSE)=
       VLOOKUP(Transactions[[#This Row],[Account]],Accounts[],COLUMN(Accounts[Currency])-COLUMN(Accounts[])+1,FALSE),
     Transactions[[#This Row],[OrigCashImpact]],
     0
)</f>
        <v>27443.0862705</v>
      </c>
      <c r="O19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83523.937996666151</v>
      </c>
      <c r="P19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v>
      </c>
      <c r="Q19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91" s="41">
        <f>ROW()</f>
        <v>191</v>
      </c>
      <c r="S1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-28013.435000000001</v>
      </c>
      <c r="T1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9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v>
      </c>
      <c r="V191" s="65">
        <f>IF(INDEX(TransTypes[],Transactions[[#This Row],[TTR]],TT_COL_GLFlag)=1,Transactions[[#This Row],[CalCashImpact]]+Transactions[[#This Row],[CostImpact]],0)</f>
        <v>-570.34872950000135</v>
      </c>
      <c r="W191" s="66">
        <f>Transactions[[#This Row],[Amount]]*INDEX(TransTypes[],Transactions[[#This Row],[TTR]],TT_COL_AmntSign)</f>
        <v>27443.0862705</v>
      </c>
      <c r="X191" s="66">
        <f>IF(INDEX(TransTypes[],Transactions[[#This Row],[TTR]],TT_COL_LONGORSHORT)="S",
      IF( OR(INDEX(TransTypes[],Transactions[[#This Row],[TTR]],TT_COL_GLFlag)=1, INDEX(TransTypes[], Transactions[[#This Row],[TTR]], TT_COL_ShareTransferFlag)=1),
            Transactions[[#This Row],[CostImpact]]*-1,
            Transactions[[#This Row],[CalCashImpact]]
      ),
     0
)</f>
        <v>0</v>
      </c>
      <c r="Y191" s="67" t="str">
        <f>VLOOKUP(Transactions[[#This Row],[Symbol]],Symbols[], COLUMN(Symbols[Currency])-COLUMN(Symbols[])+1,FALSE)</f>
        <v>USD</v>
      </c>
    </row>
    <row r="192" spans="1:25">
      <c r="A192" s="55" t="s">
        <v>65</v>
      </c>
      <c r="B192" s="56">
        <v>43070</v>
      </c>
      <c r="C192" s="55" t="s">
        <v>160</v>
      </c>
      <c r="D192" s="55" t="s">
        <v>378</v>
      </c>
      <c r="E192" s="114" t="s">
        <v>596</v>
      </c>
      <c r="F192" s="57">
        <v>1</v>
      </c>
      <c r="G192" s="58">
        <v>0</v>
      </c>
      <c r="H192" s="57">
        <v>0</v>
      </c>
      <c r="I192" s="57"/>
      <c r="J192" s="68">
        <v>0</v>
      </c>
      <c r="K192" s="6"/>
      <c r="L192" s="20">
        <f>IF(ISNA(MATCH(Transactions[[#This Row],[TransType]],TransTypes[TransType],0)),1,MATCH(Transactions[[#This Row],[TransType]],TransTypes[TransType],0))</f>
        <v>20</v>
      </c>
      <c r="M192" s="60">
        <f>IF( AND( INDEX(TransTypes[],Transactions[[#This Row],[TTR]],TT_COL_GLFlag)=1, INDEX(TransTypes[],Transactions[[#This Row],[TTR]],TT_COL_LONGORSHORT)="S" ),
      Transactions[[#This Row],[PL]],
      IF(INDEX(TransTypes[],Transactions[[#This Row],[TTR]],TT_COL_LONGORSHORT)="S",0,Transactions[[#This Row],[CalCashImpact]])
)</f>
        <v>369.19795299999998</v>
      </c>
      <c r="N192" s="61">
        <f>IF(VLOOKUP(Transactions[[#This Row],[Symbol]],Symbols[],COLUMN(Symbols[Currency])-COLUMN(Symbols[])+1,FALSE)=
       VLOOKUP(Transactions[[#This Row],[Account]],Accounts[],COLUMN(Accounts[Currency])-COLUMN(Accounts[])+1,FALSE),
     Transactions[[#This Row],[OrigCashImpact]],
     0
)</f>
        <v>369.19795299999998</v>
      </c>
      <c r="O19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83893.135949666161</v>
      </c>
      <c r="P19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19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92" s="41">
        <f>ROW()</f>
        <v>192</v>
      </c>
      <c r="S1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369.19795299999998</v>
      </c>
      <c r="T1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9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192" s="65">
        <f>IF(INDEX(TransTypes[],Transactions[[#This Row],[TTR]],TT_COL_GLFlag)=1,Transactions[[#This Row],[CalCashImpact]]+Transactions[[#This Row],[CostImpact]],0)</f>
        <v>369.19795299999998</v>
      </c>
      <c r="W192" s="66">
        <f>Transactions[[#This Row],[Amount]]*INDEX(TransTypes[],Transactions[[#This Row],[TTR]],TT_COL_AmntSign)</f>
        <v>0</v>
      </c>
      <c r="X192" s="66">
        <f>IF(INDEX(TransTypes[],Transactions[[#This Row],[TTR]],TT_COL_LONGORSHORT)="S",
      IF( OR(INDEX(TransTypes[],Transactions[[#This Row],[TTR]],TT_COL_GLFlag)=1, INDEX(TransTypes[], Transactions[[#This Row],[TTR]], TT_COL_ShareTransferFlag)=1),
            Transactions[[#This Row],[CostImpact]]*-1,
            Transactions[[#This Row],[CalCashImpact]]
      ),
     0
)</f>
        <v>-369.19795299999998</v>
      </c>
      <c r="Y192" s="67" t="str">
        <f>VLOOKUP(Transactions[[#This Row],[Symbol]],Symbols[], COLUMN(Symbols[Currency])-COLUMN(Symbols[])+1,FALSE)</f>
        <v>USD</v>
      </c>
    </row>
    <row r="193" spans="1:25">
      <c r="A193" s="55" t="s">
        <v>65</v>
      </c>
      <c r="B193" s="56">
        <v>43070</v>
      </c>
      <c r="C193" s="55" t="s">
        <v>160</v>
      </c>
      <c r="D193" s="55"/>
      <c r="E193" s="55" t="s">
        <v>327</v>
      </c>
      <c r="F193" s="57">
        <v>4</v>
      </c>
      <c r="G193" s="58">
        <v>2.4300000000000002</v>
      </c>
      <c r="H193" s="57">
        <v>3.1659999999999999</v>
      </c>
      <c r="I193" s="57"/>
      <c r="J193" s="68">
        <v>975.16600000000005</v>
      </c>
      <c r="K193" s="6"/>
      <c r="L193" s="20">
        <f>IF(ISNA(MATCH(Transactions[[#This Row],[TransType]],TransTypes[TransType],0)),1,MATCH(Transactions[[#This Row],[TransType]],TransTypes[TransType],0))</f>
        <v>20</v>
      </c>
      <c r="M193" s="60">
        <f>IF( AND( INDEX(TransTypes[],Transactions[[#This Row],[TTR]],TT_COL_GLFlag)=1, INDEX(TransTypes[],Transactions[[#This Row],[TTR]],TT_COL_LONGORSHORT)="S" ),
      Transactions[[#This Row],[PL]],
      IF(INDEX(TransTypes[],Transactions[[#This Row],[TTR]],TT_COL_LONGORSHORT)="S",0,Transactions[[#This Row],[CalCashImpact]])
)</f>
        <v>-445.15228920000004</v>
      </c>
      <c r="N193" s="61">
        <f>IF(VLOOKUP(Transactions[[#This Row],[Symbol]],Symbols[],COLUMN(Symbols[Currency])-COLUMN(Symbols[])+1,FALSE)=
       VLOOKUP(Transactions[[#This Row],[Account]],Accounts[],COLUMN(Accounts[Currency])-COLUMN(Accounts[])+1,FALSE),
     Transactions[[#This Row],[OrigCashImpact]],
     0
)</f>
        <v>-445.15228920000004</v>
      </c>
      <c r="O19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83447.983660466154</v>
      </c>
      <c r="P19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19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93" s="41">
        <f>ROW()</f>
        <v>193</v>
      </c>
      <c r="S1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530.01371080000001</v>
      </c>
      <c r="T1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9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193" s="65">
        <f>IF(INDEX(TransTypes[],Transactions[[#This Row],[TTR]],TT_COL_GLFlag)=1,Transactions[[#This Row],[CalCashImpact]]+Transactions[[#This Row],[CostImpact]],0)</f>
        <v>-445.15228920000004</v>
      </c>
      <c r="W193" s="66">
        <f>Transactions[[#This Row],[Amount]]*INDEX(TransTypes[],Transactions[[#This Row],[TTR]],TT_COL_AmntSign)</f>
        <v>-975.16600000000005</v>
      </c>
      <c r="X193" s="66">
        <f>IF(INDEX(TransTypes[],Transactions[[#This Row],[TTR]],TT_COL_LONGORSHORT)="S",
      IF( OR(INDEX(TransTypes[],Transactions[[#This Row],[TTR]],TT_COL_GLFlag)=1, INDEX(TransTypes[], Transactions[[#This Row],[TTR]], TT_COL_ShareTransferFlag)=1),
            Transactions[[#This Row],[CostImpact]]*-1,
            Transactions[[#This Row],[CalCashImpact]]
      ),
     0
)</f>
        <v>-530.01371080000001</v>
      </c>
      <c r="Y193" s="67" t="str">
        <f>VLOOKUP(Transactions[[#This Row],[Symbol]],Symbols[], COLUMN(Symbols[Currency])-COLUMN(Symbols[])+1,FALSE)</f>
        <v>USD</v>
      </c>
    </row>
    <row r="194" spans="1:25">
      <c r="A194" s="55" t="s">
        <v>65</v>
      </c>
      <c r="B194" s="56">
        <v>43070</v>
      </c>
      <c r="C194" s="55" t="s">
        <v>160</v>
      </c>
      <c r="D194" s="55"/>
      <c r="E194" s="55" t="s">
        <v>328</v>
      </c>
      <c r="F194" s="57">
        <v>1</v>
      </c>
      <c r="G194" s="58">
        <v>12</v>
      </c>
      <c r="H194" s="57">
        <v>0.34150000000000003</v>
      </c>
      <c r="I194" s="57"/>
      <c r="J194" s="68">
        <v>1200.3415</v>
      </c>
      <c r="K194" s="6"/>
      <c r="L194" s="20">
        <f>IF(ISNA(MATCH(Transactions[[#This Row],[TransType]],TransTypes[TransType],0)),1,MATCH(Transactions[[#This Row],[TransType]],TransTypes[TransType],0))</f>
        <v>20</v>
      </c>
      <c r="M194" s="60">
        <f>IF( AND( INDEX(TransTypes[],Transactions[[#This Row],[TTR]],TT_COL_GLFlag)=1, INDEX(TransTypes[],Transactions[[#This Row],[TTR]],TT_COL_LONGORSHORT)="S" ),
      Transactions[[#This Row],[PL]],
      IF(INDEX(TransTypes[],Transactions[[#This Row],[TTR]],TT_COL_LONGORSHORT)="S",0,Transactions[[#This Row],[CalCashImpact]])
)</f>
        <v>108.5847389999999</v>
      </c>
      <c r="N194" s="61">
        <f>IF(VLOOKUP(Transactions[[#This Row],[Symbol]],Symbols[],COLUMN(Symbols[Currency])-COLUMN(Symbols[])+1,FALSE)=
       VLOOKUP(Transactions[[#This Row],[Account]],Accounts[],COLUMN(Accounts[Currency])-COLUMN(Accounts[])+1,FALSE),
     Transactions[[#This Row],[OrigCashImpact]],
     0
)</f>
        <v>108.5847389999999</v>
      </c>
      <c r="O19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83556.568399466167</v>
      </c>
      <c r="P19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19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94" s="41">
        <f>ROW()</f>
        <v>194</v>
      </c>
      <c r="S1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1308.9262389999999</v>
      </c>
      <c r="T1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9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194" s="65">
        <f>IF(INDEX(TransTypes[],Transactions[[#This Row],[TTR]],TT_COL_GLFlag)=1,Transactions[[#This Row],[CalCashImpact]]+Transactions[[#This Row],[CostImpact]],0)</f>
        <v>108.5847389999999</v>
      </c>
      <c r="W194" s="66">
        <f>Transactions[[#This Row],[Amount]]*INDEX(TransTypes[],Transactions[[#This Row],[TTR]],TT_COL_AmntSign)</f>
        <v>-1200.3415</v>
      </c>
      <c r="X194" s="66">
        <f>IF(INDEX(TransTypes[],Transactions[[#This Row],[TTR]],TT_COL_LONGORSHORT)="S",
      IF( OR(INDEX(TransTypes[],Transactions[[#This Row],[TTR]],TT_COL_GLFlag)=1, INDEX(TransTypes[], Transactions[[#This Row],[TTR]], TT_COL_ShareTransferFlag)=1),
            Transactions[[#This Row],[CostImpact]]*-1,
            Transactions[[#This Row],[CalCashImpact]]
      ),
     0
)</f>
        <v>-1308.9262389999999</v>
      </c>
      <c r="Y194" s="67" t="str">
        <f>VLOOKUP(Transactions[[#This Row],[Symbol]],Symbols[], COLUMN(Symbols[Currency])-COLUMN(Symbols[])+1,FALSE)</f>
        <v>USD</v>
      </c>
    </row>
    <row r="195" spans="1:25">
      <c r="A195" s="55" t="s">
        <v>65</v>
      </c>
      <c r="B195" s="56">
        <v>43070</v>
      </c>
      <c r="C195" s="55" t="s">
        <v>158</v>
      </c>
      <c r="D195" s="55"/>
      <c r="E195" s="55" t="s">
        <v>49</v>
      </c>
      <c r="F195" s="57">
        <v>3</v>
      </c>
      <c r="G195" s="58">
        <v>6305.5</v>
      </c>
      <c r="H195" s="57">
        <v>6.12</v>
      </c>
      <c r="I195" s="57"/>
      <c r="J195" s="68">
        <v>378323.88</v>
      </c>
      <c r="K195" s="6"/>
      <c r="L195" s="20">
        <f>IF(ISNA(MATCH(Transactions[[#This Row],[TransType]],TransTypes[TransType],0)),1,MATCH(Transactions[[#This Row],[TransType]],TransTypes[TransType],0))</f>
        <v>19</v>
      </c>
      <c r="M195" s="60">
        <f>IF( AND( INDEX(TransTypes[],Transactions[[#This Row],[TTR]],TT_COL_GLFlag)=1, INDEX(TransTypes[],Transactions[[#This Row],[TTR]],TT_COL_LONGORSHORT)="S" ),
      Transactions[[#This Row],[PL]],
      IF(INDEX(TransTypes[],Transactions[[#This Row],[TTR]],TT_COL_LONGORSHORT)="S",0,Transactions[[#This Row],[CalCashImpact]])
)</f>
        <v>0</v>
      </c>
      <c r="N195" s="61">
        <f>IF(VLOOKUP(Transactions[[#This Row],[Symbol]],Symbols[],COLUMN(Symbols[Currency])-COLUMN(Symbols[])+1,FALSE)=
       VLOOKUP(Transactions[[#This Row],[Account]],Accounts[],COLUMN(Accounts[Currency])-COLUMN(Accounts[])+1,FALSE),
     Transactions[[#This Row],[OrigCashImpact]],
     0
)</f>
        <v>0</v>
      </c>
      <c r="O19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83556.568399466167</v>
      </c>
      <c r="P19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19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v>
      </c>
      <c r="R195" s="41">
        <f>ROW()</f>
        <v>195</v>
      </c>
      <c r="S1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-378323.88</v>
      </c>
      <c r="T1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-378323.88</v>
      </c>
      <c r="U19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195" s="65">
        <f>IF(INDEX(TransTypes[],Transactions[[#This Row],[TTR]],TT_COL_GLFlag)=1,Transactions[[#This Row],[CalCashImpact]]+Transactions[[#This Row],[CostImpact]],0)</f>
        <v>0</v>
      </c>
      <c r="W195" s="66">
        <f>Transactions[[#This Row],[Amount]]*INDEX(TransTypes[],Transactions[[#This Row],[TTR]],TT_COL_AmntSign)</f>
        <v>378323.88</v>
      </c>
      <c r="X195" s="66">
        <f>IF(INDEX(TransTypes[],Transactions[[#This Row],[TTR]],TT_COL_LONGORSHORT)="S",
      IF( OR(INDEX(TransTypes[],Transactions[[#This Row],[TTR]],TT_COL_GLFlag)=1, INDEX(TransTypes[], Transactions[[#This Row],[TTR]], TT_COL_ShareTransferFlag)=1),
            Transactions[[#This Row],[CostImpact]]*-1,
            Transactions[[#This Row],[CalCashImpact]]
      ),
     0
)</f>
        <v>378323.88</v>
      </c>
      <c r="Y195" s="67" t="str">
        <f>VLOOKUP(Transactions[[#This Row],[Symbol]],Symbols[], COLUMN(Symbols[Currency])-COLUMN(Symbols[])+1,FALSE)</f>
        <v>USD</v>
      </c>
    </row>
    <row r="196" spans="1:25">
      <c r="A196" s="55" t="s">
        <v>65</v>
      </c>
      <c r="B196" s="56">
        <v>43070</v>
      </c>
      <c r="C196" s="55" t="s">
        <v>158</v>
      </c>
      <c r="D196" s="55"/>
      <c r="E196" s="55" t="s">
        <v>49</v>
      </c>
      <c r="F196" s="57">
        <v>3</v>
      </c>
      <c r="G196" s="58">
        <v>6301.5</v>
      </c>
      <c r="H196" s="57">
        <v>6.12</v>
      </c>
      <c r="I196" s="57"/>
      <c r="J196" s="68">
        <v>378083.88</v>
      </c>
      <c r="K196" s="6"/>
      <c r="L196" s="20">
        <f>IF(ISNA(MATCH(Transactions[[#This Row],[TransType]],TransTypes[TransType],0)),1,MATCH(Transactions[[#This Row],[TransType]],TransTypes[TransType],0))</f>
        <v>19</v>
      </c>
      <c r="M196" s="60">
        <f>IF( AND( INDEX(TransTypes[],Transactions[[#This Row],[TTR]],TT_COL_GLFlag)=1, INDEX(TransTypes[],Transactions[[#This Row],[TTR]],TT_COL_LONGORSHORT)="S" ),
      Transactions[[#This Row],[PL]],
      IF(INDEX(TransTypes[],Transactions[[#This Row],[TTR]],TT_COL_LONGORSHORT)="S",0,Transactions[[#This Row],[CalCashImpact]])
)</f>
        <v>0</v>
      </c>
      <c r="N196" s="61">
        <f>IF(VLOOKUP(Transactions[[#This Row],[Symbol]],Symbols[],COLUMN(Symbols[Currency])-COLUMN(Symbols[])+1,FALSE)=
       VLOOKUP(Transactions[[#This Row],[Account]],Accounts[],COLUMN(Accounts[Currency])-COLUMN(Accounts[])+1,FALSE),
     Transactions[[#This Row],[OrigCashImpact]],
     0
)</f>
        <v>0</v>
      </c>
      <c r="O19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83556.568399466167</v>
      </c>
      <c r="P19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19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v>
      </c>
      <c r="R196" s="41">
        <f>ROW()</f>
        <v>196</v>
      </c>
      <c r="S1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-378083.88</v>
      </c>
      <c r="T1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-756407.76</v>
      </c>
      <c r="U19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v>
      </c>
      <c r="V196" s="65">
        <f>IF(INDEX(TransTypes[],Transactions[[#This Row],[TTR]],TT_COL_GLFlag)=1,Transactions[[#This Row],[CalCashImpact]]+Transactions[[#This Row],[CostImpact]],0)</f>
        <v>0</v>
      </c>
      <c r="W196" s="66">
        <f>Transactions[[#This Row],[Amount]]*INDEX(TransTypes[],Transactions[[#This Row],[TTR]],TT_COL_AmntSign)</f>
        <v>378083.88</v>
      </c>
      <c r="X196" s="66">
        <f>IF(INDEX(TransTypes[],Transactions[[#This Row],[TTR]],TT_COL_LONGORSHORT)="S",
      IF( OR(INDEX(TransTypes[],Transactions[[#This Row],[TTR]],TT_COL_GLFlag)=1, INDEX(TransTypes[], Transactions[[#This Row],[TTR]], TT_COL_ShareTransferFlag)=1),
            Transactions[[#This Row],[CostImpact]]*-1,
            Transactions[[#This Row],[CalCashImpact]]
      ),
     0
)</f>
        <v>378083.88</v>
      </c>
      <c r="Y196" s="67" t="str">
        <f>VLOOKUP(Transactions[[#This Row],[Symbol]],Symbols[], COLUMN(Symbols[Currency])-COLUMN(Symbols[])+1,FALSE)</f>
        <v>USD</v>
      </c>
    </row>
    <row r="197" spans="1:25">
      <c r="A197" s="55" t="s">
        <v>65</v>
      </c>
      <c r="B197" s="56">
        <v>43070</v>
      </c>
      <c r="C197" s="55" t="s">
        <v>160</v>
      </c>
      <c r="D197" s="55"/>
      <c r="E197" s="55" t="s">
        <v>49</v>
      </c>
      <c r="F197" s="57">
        <v>6</v>
      </c>
      <c r="G197" s="58">
        <v>6343</v>
      </c>
      <c r="H197" s="57">
        <v>12.24</v>
      </c>
      <c r="I197" s="57"/>
      <c r="J197" s="68">
        <v>761172.24</v>
      </c>
      <c r="K197" s="6"/>
      <c r="L197" s="20">
        <f>IF(ISNA(MATCH(Transactions[[#This Row],[TransType]],TransTypes[TransType],0)),1,MATCH(Transactions[[#This Row],[TransType]],TransTypes[TransType],0))</f>
        <v>20</v>
      </c>
      <c r="M197" s="60">
        <f>IF( AND( INDEX(TransTypes[],Transactions[[#This Row],[TTR]],TT_COL_GLFlag)=1, INDEX(TransTypes[],Transactions[[#This Row],[TTR]],TT_COL_LONGORSHORT)="S" ),
      Transactions[[#This Row],[PL]],
      IF(INDEX(TransTypes[],Transactions[[#This Row],[TTR]],TT_COL_LONGORSHORT)="S",0,Transactions[[#This Row],[CalCashImpact]])
)</f>
        <v>-4764.4799999999814</v>
      </c>
      <c r="N197" s="61">
        <f>IF(VLOOKUP(Transactions[[#This Row],[Symbol]],Symbols[],COLUMN(Symbols[Currency])-COLUMN(Symbols[])+1,FALSE)=
       VLOOKUP(Transactions[[#This Row],[Account]],Accounts[],COLUMN(Accounts[Currency])-COLUMN(Accounts[])+1,FALSE),
     Transactions[[#This Row],[OrigCashImpact]],
     0
)</f>
        <v>-4764.4799999999814</v>
      </c>
      <c r="O19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78792.088399466185</v>
      </c>
      <c r="P19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v>
      </c>
      <c r="Q19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97" s="41">
        <f>ROW()</f>
        <v>197</v>
      </c>
      <c r="S1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756407.76</v>
      </c>
      <c r="T1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9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v>
      </c>
      <c r="V197" s="65">
        <f>IF(INDEX(TransTypes[],Transactions[[#This Row],[TTR]],TT_COL_GLFlag)=1,Transactions[[#This Row],[CalCashImpact]]+Transactions[[#This Row],[CostImpact]],0)</f>
        <v>-4764.4799999999814</v>
      </c>
      <c r="W197" s="66">
        <f>Transactions[[#This Row],[Amount]]*INDEX(TransTypes[],Transactions[[#This Row],[TTR]],TT_COL_AmntSign)</f>
        <v>-761172.24</v>
      </c>
      <c r="X197" s="66">
        <f>IF(INDEX(TransTypes[],Transactions[[#This Row],[TTR]],TT_COL_LONGORSHORT)="S",
      IF( OR(INDEX(TransTypes[],Transactions[[#This Row],[TTR]],TT_COL_GLFlag)=1, INDEX(TransTypes[], Transactions[[#This Row],[TTR]], TT_COL_ShareTransferFlag)=1),
            Transactions[[#This Row],[CostImpact]]*-1,
            Transactions[[#This Row],[CalCashImpact]]
      ),
     0
)</f>
        <v>-756407.76</v>
      </c>
      <c r="Y197" s="67" t="str">
        <f>VLOOKUP(Transactions[[#This Row],[Symbol]],Symbols[], COLUMN(Symbols[Currency])-COLUMN(Symbols[])+1,FALSE)</f>
        <v>USD</v>
      </c>
    </row>
    <row r="198" spans="1:25">
      <c r="A198" s="55" t="s">
        <v>65</v>
      </c>
      <c r="B198" s="56">
        <v>43070</v>
      </c>
      <c r="C198" s="55" t="s">
        <v>118</v>
      </c>
      <c r="D198" s="55"/>
      <c r="E198" s="55" t="s">
        <v>313</v>
      </c>
      <c r="F198" s="57">
        <v>1823</v>
      </c>
      <c r="G198" s="58"/>
      <c r="H198" s="57"/>
      <c r="I198" s="57"/>
      <c r="J198" s="68">
        <v>346.37</v>
      </c>
      <c r="K198" s="6" t="s">
        <v>344</v>
      </c>
      <c r="L198" s="20">
        <f>IF(ISNA(MATCH(Transactions[[#This Row],[TransType]],TransTypes[TransType],0)),1,MATCH(Transactions[[#This Row],[TransType]],TransTypes[TransType],0))</f>
        <v>4</v>
      </c>
      <c r="M198" s="60">
        <f>IF( AND( INDEX(TransTypes[],Transactions[[#This Row],[TTR]],TT_COL_GLFlag)=1, INDEX(TransTypes[],Transactions[[#This Row],[TTR]],TT_COL_LONGORSHORT)="S" ),
      Transactions[[#This Row],[PL]],
      IF(INDEX(TransTypes[],Transactions[[#This Row],[TTR]],TT_COL_LONGORSHORT)="S",0,Transactions[[#This Row],[CalCashImpact]])
)</f>
        <v>346.37</v>
      </c>
      <c r="N198" s="61">
        <f>IF(VLOOKUP(Transactions[[#This Row],[Symbol]],Symbols[],COLUMN(Symbols[Currency])-COLUMN(Symbols[])+1,FALSE)=
       VLOOKUP(Transactions[[#This Row],[Account]],Accounts[],COLUMN(Accounts[Currency])-COLUMN(Accounts[])+1,FALSE),
     Transactions[[#This Row],[OrigCashImpact]],
     0
)</f>
        <v>346.37</v>
      </c>
      <c r="O19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79138.458399466181</v>
      </c>
      <c r="P19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9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3464</v>
      </c>
      <c r="R198" s="41">
        <f>ROW()</f>
        <v>198</v>
      </c>
      <c r="S1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89966.716962385559</v>
      </c>
      <c r="U19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3464</v>
      </c>
      <c r="V198" s="65">
        <f>IF(INDEX(TransTypes[],Transactions[[#This Row],[TTR]],TT_COL_GLFlag)=1,Transactions[[#This Row],[CalCashImpact]]+Transactions[[#This Row],[CostImpact]],0)</f>
        <v>0</v>
      </c>
      <c r="W198" s="66">
        <f>Transactions[[#This Row],[Amount]]*INDEX(TransTypes[],Transactions[[#This Row],[TTR]],TT_COL_AmntSign)</f>
        <v>346.37</v>
      </c>
      <c r="X198" s="66">
        <f>IF(INDEX(TransTypes[],Transactions[[#This Row],[TTR]],TT_COL_LONGORSHORT)="S",
      IF( OR(INDEX(TransTypes[],Transactions[[#This Row],[TTR]],TT_COL_GLFlag)=1, INDEX(TransTypes[], Transactions[[#This Row],[TTR]], TT_COL_ShareTransferFlag)=1),
            Transactions[[#This Row],[CostImpact]]*-1,
            Transactions[[#This Row],[CalCashImpact]]
      ),
     0
)</f>
        <v>0</v>
      </c>
      <c r="Y198" s="67" t="str">
        <f>VLOOKUP(Transactions[[#This Row],[Symbol]],Symbols[], COLUMN(Symbols[Currency])-COLUMN(Symbols[])+1,FALSE)</f>
        <v>USD</v>
      </c>
    </row>
    <row r="199" spans="1:25">
      <c r="A199" s="55" t="s">
        <v>65</v>
      </c>
      <c r="B199" s="56">
        <v>43070</v>
      </c>
      <c r="C199" s="55" t="s">
        <v>123</v>
      </c>
      <c r="D199" s="55"/>
      <c r="E199" s="55" t="s">
        <v>313</v>
      </c>
      <c r="F199" s="57"/>
      <c r="G199" s="58"/>
      <c r="H199" s="57"/>
      <c r="I199" s="57"/>
      <c r="J199" s="68">
        <v>51.96</v>
      </c>
      <c r="K199" s="6" t="s">
        <v>345</v>
      </c>
      <c r="L199" s="20">
        <f>IF(ISNA(MATCH(Transactions[[#This Row],[TransType]],TransTypes[TransType],0)),1,MATCH(Transactions[[#This Row],[TransType]],TransTypes[TransType],0))</f>
        <v>7</v>
      </c>
      <c r="M199" s="60">
        <f>IF( AND( INDEX(TransTypes[],Transactions[[#This Row],[TTR]],TT_COL_GLFlag)=1, INDEX(TransTypes[],Transactions[[#This Row],[TTR]],TT_COL_LONGORSHORT)="S" ),
      Transactions[[#This Row],[PL]],
      IF(INDEX(TransTypes[],Transactions[[#This Row],[TTR]],TT_COL_LONGORSHORT)="S",0,Transactions[[#This Row],[CalCashImpact]])
)</f>
        <v>-51.96</v>
      </c>
      <c r="N199" s="61">
        <f>IF(VLOOKUP(Transactions[[#This Row],[Symbol]],Symbols[],COLUMN(Symbols[Currency])-COLUMN(Symbols[])+1,FALSE)=
       VLOOKUP(Transactions[[#This Row],[Account]],Accounts[],COLUMN(Accounts[Currency])-COLUMN(Accounts[])+1,FALSE),
     Transactions[[#This Row],[OrigCashImpact]],
     0
)</f>
        <v>-51.96</v>
      </c>
      <c r="O19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79086.498399466189</v>
      </c>
      <c r="P19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9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3464</v>
      </c>
      <c r="R199" s="41">
        <f>ROW()</f>
        <v>199</v>
      </c>
      <c r="S1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89966.716962385559</v>
      </c>
      <c r="U19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3464</v>
      </c>
      <c r="V199" s="65">
        <f>IF(INDEX(TransTypes[],Transactions[[#This Row],[TTR]],TT_COL_GLFlag)=1,Transactions[[#This Row],[CalCashImpact]]+Transactions[[#This Row],[CostImpact]],0)</f>
        <v>0</v>
      </c>
      <c r="W199" s="66">
        <f>Transactions[[#This Row],[Amount]]*INDEX(TransTypes[],Transactions[[#This Row],[TTR]],TT_COL_AmntSign)</f>
        <v>-51.96</v>
      </c>
      <c r="X199" s="66">
        <f>IF(INDEX(TransTypes[],Transactions[[#This Row],[TTR]],TT_COL_LONGORSHORT)="S",
      IF( OR(INDEX(TransTypes[],Transactions[[#This Row],[TTR]],TT_COL_GLFlag)=1, INDEX(TransTypes[], Transactions[[#This Row],[TTR]], TT_COL_ShareTransferFlag)=1),
            Transactions[[#This Row],[CostImpact]]*-1,
            Transactions[[#This Row],[CalCashImpact]]
      ),
     0
)</f>
        <v>0</v>
      </c>
      <c r="Y199" s="67" t="str">
        <f>VLOOKUP(Transactions[[#This Row],[Symbol]],Symbols[], COLUMN(Symbols[Currency])-COLUMN(Symbols[])+1,FALSE)</f>
        <v>USD</v>
      </c>
    </row>
    <row r="200" spans="1:25">
      <c r="A200" s="55" t="s">
        <v>65</v>
      </c>
      <c r="B200" s="56">
        <v>43073</v>
      </c>
      <c r="C200" s="55" t="s">
        <v>113</v>
      </c>
      <c r="D200" s="55"/>
      <c r="E200" s="55" t="s">
        <v>258</v>
      </c>
      <c r="F200" s="57">
        <v>4000</v>
      </c>
      <c r="G200" s="58">
        <v>36</v>
      </c>
      <c r="H200" s="57">
        <v>410.976</v>
      </c>
      <c r="I200" s="57"/>
      <c r="J200" s="68">
        <v>144410.976</v>
      </c>
      <c r="K200" s="6"/>
      <c r="L200" s="20">
        <f>IF(ISNA(MATCH(Transactions[[#This Row],[TransType]],TransTypes[TransType],0)),1,MATCH(Transactions[[#This Row],[TransType]],TransTypes[TransType],0))</f>
        <v>2</v>
      </c>
      <c r="M200" s="60">
        <f>IF( AND( INDEX(TransTypes[],Transactions[[#This Row],[TTR]],TT_COL_GLFlag)=1, INDEX(TransTypes[],Transactions[[#This Row],[TTR]],TT_COL_LONGORSHORT)="S" ),
      Transactions[[#This Row],[PL]],
      IF(INDEX(TransTypes[],Transactions[[#This Row],[TTR]],TT_COL_LONGORSHORT)="S",0,Transactions[[#This Row],[CalCashImpact]])
)</f>
        <v>-144410.976</v>
      </c>
      <c r="N200" s="61">
        <f>IF(VLOOKUP(Transactions[[#This Row],[Symbol]],Symbols[],COLUMN(Symbols[Currency])-COLUMN(Symbols[])+1,FALSE)=
       VLOOKUP(Transactions[[#This Row],[Account]],Accounts[],COLUMN(Accounts[Currency])-COLUMN(Accounts[])+1,FALSE),
     Transactions[[#This Row],[OrigCashImpact]],
     0
)</f>
        <v>0</v>
      </c>
      <c r="O20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79086.49839946616</v>
      </c>
      <c r="P20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20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200" s="41">
        <f>ROW()</f>
        <v>200</v>
      </c>
      <c r="S2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144410.976</v>
      </c>
      <c r="T2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289176.25089999998</v>
      </c>
      <c r="U20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200" s="65">
        <f>IF(INDEX(TransTypes[],Transactions[[#This Row],[TTR]],TT_COL_GLFlag)=1,Transactions[[#This Row],[CalCashImpact]]+Transactions[[#This Row],[CostImpact]],0)</f>
        <v>0</v>
      </c>
      <c r="W200" s="66">
        <f>Transactions[[#This Row],[Amount]]*INDEX(TransTypes[],Transactions[[#This Row],[TTR]],TT_COL_AmntSign)</f>
        <v>-144410.976</v>
      </c>
      <c r="X200" s="66">
        <f>IF(INDEX(TransTypes[],Transactions[[#This Row],[TTR]],TT_COL_LONGORSHORT)="S",
      IF( OR(INDEX(TransTypes[],Transactions[[#This Row],[TTR]],TT_COL_GLFlag)=1, INDEX(TransTypes[], Transactions[[#This Row],[TTR]], TT_COL_ShareTransferFlag)=1),
            Transactions[[#This Row],[CostImpact]]*-1,
            Transactions[[#This Row],[CalCashImpact]]
      ),
     0
)</f>
        <v>0</v>
      </c>
      <c r="Y200" s="67" t="str">
        <f>VLOOKUP(Transactions[[#This Row],[Symbol]],Symbols[], COLUMN(Symbols[Currency])-COLUMN(Symbols[])+1,FALSE)</f>
        <v>HKD</v>
      </c>
    </row>
    <row r="201" spans="1:25">
      <c r="A201" s="55" t="s">
        <v>65</v>
      </c>
      <c r="B201" s="56">
        <v>43073</v>
      </c>
      <c r="C201" s="55" t="s">
        <v>113</v>
      </c>
      <c r="D201" s="55"/>
      <c r="E201" s="55" t="s">
        <v>313</v>
      </c>
      <c r="F201" s="57">
        <v>11</v>
      </c>
      <c r="G201" s="58">
        <v>26.31</v>
      </c>
      <c r="H201" s="57">
        <v>1</v>
      </c>
      <c r="I201" s="57"/>
      <c r="J201" s="68">
        <v>290.41000000000003</v>
      </c>
      <c r="K201" s="6"/>
      <c r="L201" s="20">
        <f>IF(ISNA(MATCH(Transactions[[#This Row],[TransType]],TransTypes[TransType],0)),1,MATCH(Transactions[[#This Row],[TransType]],TransTypes[TransType],0))</f>
        <v>2</v>
      </c>
      <c r="M201" s="60">
        <f>IF( AND( INDEX(TransTypes[],Transactions[[#This Row],[TTR]],TT_COL_GLFlag)=1, INDEX(TransTypes[],Transactions[[#This Row],[TTR]],TT_COL_LONGORSHORT)="S" ),
      Transactions[[#This Row],[PL]],
      IF(INDEX(TransTypes[],Transactions[[#This Row],[TTR]],TT_COL_LONGORSHORT)="S",0,Transactions[[#This Row],[CalCashImpact]])
)</f>
        <v>-290.41000000000003</v>
      </c>
      <c r="N201" s="61">
        <f>IF(VLOOKUP(Transactions[[#This Row],[Symbol]],Symbols[],COLUMN(Symbols[Currency])-COLUMN(Symbols[])+1,FALSE)=
       VLOOKUP(Transactions[[#This Row],[Account]],Accounts[],COLUMN(Accounts[Currency])-COLUMN(Accounts[])+1,FALSE),
     Transactions[[#This Row],[OrigCashImpact]],
     0
)</f>
        <v>-290.41000000000003</v>
      </c>
      <c r="O20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78796.088399466156</v>
      </c>
      <c r="P20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v>
      </c>
      <c r="Q20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3475</v>
      </c>
      <c r="R201" s="41">
        <f>ROW()</f>
        <v>201</v>
      </c>
      <c r="S2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290.41000000000003</v>
      </c>
      <c r="T2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90257.126962385562</v>
      </c>
      <c r="U20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3475</v>
      </c>
      <c r="V201" s="65">
        <f>IF(INDEX(TransTypes[],Transactions[[#This Row],[TTR]],TT_COL_GLFlag)=1,Transactions[[#This Row],[CalCashImpact]]+Transactions[[#This Row],[CostImpact]],0)</f>
        <v>0</v>
      </c>
      <c r="W201" s="66">
        <f>Transactions[[#This Row],[Amount]]*INDEX(TransTypes[],Transactions[[#This Row],[TTR]],TT_COL_AmntSign)</f>
        <v>-290.41000000000003</v>
      </c>
      <c r="X201" s="66">
        <f>IF(INDEX(TransTypes[],Transactions[[#This Row],[TTR]],TT_COL_LONGORSHORT)="S",
      IF( OR(INDEX(TransTypes[],Transactions[[#This Row],[TTR]],TT_COL_GLFlag)=1, INDEX(TransTypes[], Transactions[[#This Row],[TTR]], TT_COL_ShareTransferFlag)=1),
            Transactions[[#This Row],[CostImpact]]*-1,
            Transactions[[#This Row],[CalCashImpact]]
      ),
     0
)</f>
        <v>0</v>
      </c>
      <c r="Y201" s="67" t="str">
        <f>VLOOKUP(Transactions[[#This Row],[Symbol]],Symbols[], COLUMN(Symbols[Currency])-COLUMN(Symbols[])+1,FALSE)</f>
        <v>USD</v>
      </c>
    </row>
    <row r="202" spans="1:25">
      <c r="A202" s="55" t="s">
        <v>65</v>
      </c>
      <c r="B202" s="56">
        <v>43073</v>
      </c>
      <c r="C202" s="55" t="s">
        <v>152</v>
      </c>
      <c r="D202" s="55"/>
      <c r="E202" s="55" t="s">
        <v>210</v>
      </c>
      <c r="F202" s="57">
        <v>18422</v>
      </c>
      <c r="G202" s="58">
        <v>7.81656</v>
      </c>
      <c r="H202" s="57"/>
      <c r="I202" s="57"/>
      <c r="J202" s="68">
        <v>143996.66829999999</v>
      </c>
      <c r="K202" s="6"/>
      <c r="L202" s="20">
        <f>IF(ISNA(MATCH(Transactions[[#This Row],[TransType]],TransTypes[TransType],0)),1,MATCH(Transactions[[#This Row],[TransType]],TransTypes[TransType],0))</f>
        <v>15</v>
      </c>
      <c r="M202" s="60">
        <f>IF( AND( INDEX(TransTypes[],Transactions[[#This Row],[TTR]],TT_COL_GLFlag)=1, INDEX(TransTypes[],Transactions[[#This Row],[TTR]],TT_COL_LONGORSHORT)="S" ),
      Transactions[[#This Row],[PL]],
      IF(INDEX(TransTypes[],Transactions[[#This Row],[TTR]],TT_COL_LONGORSHORT)="S",0,Transactions[[#This Row],[CalCashImpact]])
)</f>
        <v>143996.66829999999</v>
      </c>
      <c r="N202" s="61">
        <f>IF(VLOOKUP(Transactions[[#This Row],[Symbol]],Symbols[],COLUMN(Symbols[Currency])-COLUMN(Symbols[])+1,FALSE)=
       VLOOKUP(Transactions[[#This Row],[Account]],Accounts[],COLUMN(Accounts[Currency])-COLUMN(Accounts[])+1,FALSE),
     Transactions[[#This Row],[OrigCashImpact]],
     0
)</f>
        <v>0</v>
      </c>
      <c r="O20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78796.088399466156</v>
      </c>
      <c r="P20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0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02" s="41">
        <f>ROW()</f>
        <v>202</v>
      </c>
      <c r="S2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0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02" s="65">
        <f>IF(INDEX(TransTypes[],Transactions[[#This Row],[TTR]],TT_COL_GLFlag)=1,Transactions[[#This Row],[CalCashImpact]]+Transactions[[#This Row],[CostImpact]],0)</f>
        <v>0</v>
      </c>
      <c r="W202" s="66">
        <f>Transactions[[#This Row],[Amount]]*INDEX(TransTypes[],Transactions[[#This Row],[TTR]],TT_COL_AmntSign)</f>
        <v>143996.66829999999</v>
      </c>
      <c r="X202" s="66">
        <f>IF(INDEX(TransTypes[],Transactions[[#This Row],[TTR]],TT_COL_LONGORSHORT)="S",
      IF( OR(INDEX(TransTypes[],Transactions[[#This Row],[TTR]],TT_COL_GLFlag)=1, INDEX(TransTypes[], Transactions[[#This Row],[TTR]], TT_COL_ShareTransferFlag)=1),
            Transactions[[#This Row],[CostImpact]]*-1,
            Transactions[[#This Row],[CalCashImpact]]
      ),
     0
)</f>
        <v>0</v>
      </c>
      <c r="Y202" s="67" t="str">
        <f>VLOOKUP(Transactions[[#This Row],[Symbol]],Symbols[], COLUMN(Symbols[Currency])-COLUMN(Symbols[])+1,FALSE)</f>
        <v>HKD</v>
      </c>
    </row>
    <row r="203" spans="1:25">
      <c r="A203" s="55" t="s">
        <v>65</v>
      </c>
      <c r="B203" s="56">
        <v>43073</v>
      </c>
      <c r="C203" s="55" t="s">
        <v>238</v>
      </c>
      <c r="D203" s="55"/>
      <c r="E203" s="55" t="s">
        <v>208</v>
      </c>
      <c r="F203" s="57">
        <v>18422</v>
      </c>
      <c r="G203" s="58">
        <v>1</v>
      </c>
      <c r="H203" s="57">
        <v>2</v>
      </c>
      <c r="I203" s="57"/>
      <c r="J203" s="68">
        <v>18424</v>
      </c>
      <c r="K203" s="6" t="s">
        <v>379</v>
      </c>
      <c r="L203" s="20">
        <f>IF(ISNA(MATCH(Transactions[[#This Row],[TransType]],TransTypes[TransType],0)),1,MATCH(Transactions[[#This Row],[TransType]],TransTypes[TransType],0))</f>
        <v>16</v>
      </c>
      <c r="M203" s="60">
        <f>IF( AND( INDEX(TransTypes[],Transactions[[#This Row],[TTR]],TT_COL_GLFlag)=1, INDEX(TransTypes[],Transactions[[#This Row],[TTR]],TT_COL_LONGORSHORT)="S" ),
      Transactions[[#This Row],[PL]],
      IF(INDEX(TransTypes[],Transactions[[#This Row],[TTR]],TT_COL_LONGORSHORT)="S",0,Transactions[[#This Row],[CalCashImpact]])
)</f>
        <v>-18424</v>
      </c>
      <c r="N203" s="61">
        <f>IF(VLOOKUP(Transactions[[#This Row],[Symbol]],Symbols[],COLUMN(Symbols[Currency])-COLUMN(Symbols[])+1,FALSE)=
       VLOOKUP(Transactions[[#This Row],[Account]],Accounts[],COLUMN(Accounts[Currency])-COLUMN(Accounts[])+1,FALSE),
     Transactions[[#This Row],[OrigCashImpact]],
     0
)</f>
        <v>-18424</v>
      </c>
      <c r="O20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60372.088399466156</v>
      </c>
      <c r="P20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0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03" s="41">
        <f>ROW()</f>
        <v>203</v>
      </c>
      <c r="S2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0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03" s="65">
        <f>IF(INDEX(TransTypes[],Transactions[[#This Row],[TTR]],TT_COL_GLFlag)=1,Transactions[[#This Row],[CalCashImpact]]+Transactions[[#This Row],[CostImpact]],0)</f>
        <v>0</v>
      </c>
      <c r="W203" s="66">
        <f>Transactions[[#This Row],[Amount]]*INDEX(TransTypes[],Transactions[[#This Row],[TTR]],TT_COL_AmntSign)</f>
        <v>-18424</v>
      </c>
      <c r="X203" s="66">
        <f>IF(INDEX(TransTypes[],Transactions[[#This Row],[TTR]],TT_COL_LONGORSHORT)="S",
      IF( OR(INDEX(TransTypes[],Transactions[[#This Row],[TTR]],TT_COL_GLFlag)=1, INDEX(TransTypes[], Transactions[[#This Row],[TTR]], TT_COL_ShareTransferFlag)=1),
            Transactions[[#This Row],[CostImpact]]*-1,
            Transactions[[#This Row],[CalCashImpact]]
      ),
     0
)</f>
        <v>0</v>
      </c>
      <c r="Y203" s="67" t="str">
        <f>VLOOKUP(Transactions[[#This Row],[Symbol]],Symbols[], COLUMN(Symbols[Currency])-COLUMN(Symbols[])+1,FALSE)</f>
        <v>USD</v>
      </c>
    </row>
    <row r="204" spans="1:25">
      <c r="A204" s="55" t="s">
        <v>65</v>
      </c>
      <c r="B204" s="56">
        <v>43074</v>
      </c>
      <c r="C204" s="55" t="s">
        <v>113</v>
      </c>
      <c r="D204" s="55"/>
      <c r="E204" s="55" t="s">
        <v>266</v>
      </c>
      <c r="F204" s="57">
        <v>1000</v>
      </c>
      <c r="G204" s="58">
        <v>37.1</v>
      </c>
      <c r="H204" s="57">
        <v>107.68340000000001</v>
      </c>
      <c r="I204" s="57"/>
      <c r="J204" s="68">
        <v>37207.683400000002</v>
      </c>
      <c r="K204" s="6"/>
      <c r="L204" s="20">
        <f>IF(ISNA(MATCH(Transactions[[#This Row],[TransType]],TransTypes[TransType],0)),1,MATCH(Transactions[[#This Row],[TransType]],TransTypes[TransType],0))</f>
        <v>2</v>
      </c>
      <c r="M204" s="60">
        <f>IF( AND( INDEX(TransTypes[],Transactions[[#This Row],[TTR]],TT_COL_GLFlag)=1, INDEX(TransTypes[],Transactions[[#This Row],[TTR]],TT_COL_LONGORSHORT)="S" ),
      Transactions[[#This Row],[PL]],
      IF(INDEX(TransTypes[],Transactions[[#This Row],[TTR]],TT_COL_LONGORSHORT)="S",0,Transactions[[#This Row],[CalCashImpact]])
)</f>
        <v>-37207.683400000002</v>
      </c>
      <c r="N204" s="61">
        <f>IF(VLOOKUP(Transactions[[#This Row],[Symbol]],Symbols[],COLUMN(Symbols[Currency])-COLUMN(Symbols[])+1,FALSE)=
       VLOOKUP(Transactions[[#This Row],[Account]],Accounts[],COLUMN(Accounts[Currency])-COLUMN(Accounts[])+1,FALSE),
     Transactions[[#This Row],[OrigCashImpact]],
     0
)</f>
        <v>0</v>
      </c>
      <c r="O20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60372.088399466149</v>
      </c>
      <c r="P20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20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204" s="41">
        <f>ROW()</f>
        <v>204</v>
      </c>
      <c r="S2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37207.683400000002</v>
      </c>
      <c r="T2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37207.683400000002</v>
      </c>
      <c r="U20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204" s="65">
        <f>IF(INDEX(TransTypes[],Transactions[[#This Row],[TTR]],TT_COL_GLFlag)=1,Transactions[[#This Row],[CalCashImpact]]+Transactions[[#This Row],[CostImpact]],0)</f>
        <v>0</v>
      </c>
      <c r="W204" s="66">
        <f>Transactions[[#This Row],[Amount]]*INDEX(TransTypes[],Transactions[[#This Row],[TTR]],TT_COL_AmntSign)</f>
        <v>-37207.683400000002</v>
      </c>
      <c r="X204" s="66">
        <f>IF(INDEX(TransTypes[],Transactions[[#This Row],[TTR]],TT_COL_LONGORSHORT)="S",
      IF( OR(INDEX(TransTypes[],Transactions[[#This Row],[TTR]],TT_COL_GLFlag)=1, INDEX(TransTypes[], Transactions[[#This Row],[TTR]], TT_COL_ShareTransferFlag)=1),
            Transactions[[#This Row],[CostImpact]]*-1,
            Transactions[[#This Row],[CalCashImpact]]
      ),
     0
)</f>
        <v>0</v>
      </c>
      <c r="Y204" s="67" t="str">
        <f>VLOOKUP(Transactions[[#This Row],[Symbol]],Symbols[], COLUMN(Symbols[Currency])-COLUMN(Symbols[])+1,FALSE)</f>
        <v>HKD</v>
      </c>
    </row>
    <row r="205" spans="1:25">
      <c r="A205" s="55" t="s">
        <v>65</v>
      </c>
      <c r="B205" s="56">
        <v>43074</v>
      </c>
      <c r="C205" s="55" t="s">
        <v>113</v>
      </c>
      <c r="D205" s="55"/>
      <c r="E205" s="55" t="s">
        <v>311</v>
      </c>
      <c r="F205" s="57">
        <v>186</v>
      </c>
      <c r="G205" s="58">
        <v>23.99</v>
      </c>
      <c r="H205" s="57">
        <v>1</v>
      </c>
      <c r="I205" s="57"/>
      <c r="J205" s="68">
        <v>4463.1400000000003</v>
      </c>
      <c r="K205" s="6"/>
      <c r="L205" s="20">
        <f>IF(ISNA(MATCH(Transactions[[#This Row],[TransType]],TransTypes[TransType],0)),1,MATCH(Transactions[[#This Row],[TransType]],TransTypes[TransType],0))</f>
        <v>2</v>
      </c>
      <c r="M205" s="60">
        <f>IF( AND( INDEX(TransTypes[],Transactions[[#This Row],[TTR]],TT_COL_GLFlag)=1, INDEX(TransTypes[],Transactions[[#This Row],[TTR]],TT_COL_LONGORSHORT)="S" ),
      Transactions[[#This Row],[PL]],
      IF(INDEX(TransTypes[],Transactions[[#This Row],[TTR]],TT_COL_LONGORSHORT)="S",0,Transactions[[#This Row],[CalCashImpact]])
)</f>
        <v>-4463.1400000000003</v>
      </c>
      <c r="N205" s="61">
        <f>IF(VLOOKUP(Transactions[[#This Row],[Symbol]],Symbols[],COLUMN(Symbols[Currency])-COLUMN(Symbols[])+1,FALSE)=
       VLOOKUP(Transactions[[#This Row],[Account]],Accounts[],COLUMN(Accounts[Currency])-COLUMN(Accounts[])+1,FALSE),
     Transactions[[#This Row],[OrigCashImpact]],
     0
)</f>
        <v>-4463.1400000000003</v>
      </c>
      <c r="O20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55908.94839946615</v>
      </c>
      <c r="P20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186</v>
      </c>
      <c r="Q20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205" s="41">
        <f>ROW()</f>
        <v>205</v>
      </c>
      <c r="S2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4463.1400000000003</v>
      </c>
      <c r="T2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128864.22739999999</v>
      </c>
      <c r="U20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205" s="65">
        <f>IF(INDEX(TransTypes[],Transactions[[#This Row],[TTR]],TT_COL_GLFlag)=1,Transactions[[#This Row],[CalCashImpact]]+Transactions[[#This Row],[CostImpact]],0)</f>
        <v>0</v>
      </c>
      <c r="W205" s="66">
        <f>Transactions[[#This Row],[Amount]]*INDEX(TransTypes[],Transactions[[#This Row],[TTR]],TT_COL_AmntSign)</f>
        <v>-4463.1400000000003</v>
      </c>
      <c r="X205" s="66">
        <f>IF(INDEX(TransTypes[],Transactions[[#This Row],[TTR]],TT_COL_LONGORSHORT)="S",
      IF( OR(INDEX(TransTypes[],Transactions[[#This Row],[TTR]],TT_COL_GLFlag)=1, INDEX(TransTypes[], Transactions[[#This Row],[TTR]], TT_COL_ShareTransferFlag)=1),
            Transactions[[#This Row],[CostImpact]]*-1,
            Transactions[[#This Row],[CalCashImpact]]
      ),
     0
)</f>
        <v>0</v>
      </c>
      <c r="Y205" s="67" t="str">
        <f>VLOOKUP(Transactions[[#This Row],[Symbol]],Symbols[], COLUMN(Symbols[Currency])-COLUMN(Symbols[])+1,FALSE)</f>
        <v>USD</v>
      </c>
    </row>
    <row r="206" spans="1:25">
      <c r="A206" s="55" t="s">
        <v>65</v>
      </c>
      <c r="B206" s="56">
        <v>43074</v>
      </c>
      <c r="C206" s="55" t="s">
        <v>158</v>
      </c>
      <c r="D206" s="55"/>
      <c r="E206" s="55" t="s">
        <v>329</v>
      </c>
      <c r="F206" s="57">
        <v>3</v>
      </c>
      <c r="G206" s="58">
        <v>2.38</v>
      </c>
      <c r="H206" s="57">
        <v>1.4969934</v>
      </c>
      <c r="I206" s="57"/>
      <c r="J206" s="68">
        <v>712.50300660000005</v>
      </c>
      <c r="K206" s="6"/>
      <c r="L206" s="20">
        <f>IF(ISNA(MATCH(Transactions[[#This Row],[TransType]],TransTypes[TransType],0)),1,MATCH(Transactions[[#This Row],[TransType]],TransTypes[TransType],0))</f>
        <v>19</v>
      </c>
      <c r="M206" s="60">
        <f>IF( AND( INDEX(TransTypes[],Transactions[[#This Row],[TTR]],TT_COL_GLFlag)=1, INDEX(TransTypes[],Transactions[[#This Row],[TTR]],TT_COL_LONGORSHORT)="S" ),
      Transactions[[#This Row],[PL]],
      IF(INDEX(TransTypes[],Transactions[[#This Row],[TTR]],TT_COL_LONGORSHORT)="S",0,Transactions[[#This Row],[CalCashImpact]])
)</f>
        <v>0</v>
      </c>
      <c r="N206" s="61">
        <f>IF(VLOOKUP(Transactions[[#This Row],[Symbol]],Symbols[],COLUMN(Symbols[Currency])-COLUMN(Symbols[])+1,FALSE)=
       VLOOKUP(Transactions[[#This Row],[Account]],Accounts[],COLUMN(Accounts[Currency])-COLUMN(Accounts[])+1,FALSE),
     Transactions[[#This Row],[OrigCashImpact]],
     0
)</f>
        <v>0</v>
      </c>
      <c r="O20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55908.94839946615</v>
      </c>
      <c r="P20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20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v>
      </c>
      <c r="R206" s="41">
        <f>ROW()</f>
        <v>206</v>
      </c>
      <c r="S2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-712.50300660000005</v>
      </c>
      <c r="T2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-712.50300660000005</v>
      </c>
      <c r="U20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206" s="65">
        <f>IF(INDEX(TransTypes[],Transactions[[#This Row],[TTR]],TT_COL_GLFlag)=1,Transactions[[#This Row],[CalCashImpact]]+Transactions[[#This Row],[CostImpact]],0)</f>
        <v>0</v>
      </c>
      <c r="W206" s="66">
        <f>Transactions[[#This Row],[Amount]]*INDEX(TransTypes[],Transactions[[#This Row],[TTR]],TT_COL_AmntSign)</f>
        <v>712.50300660000005</v>
      </c>
      <c r="X206" s="66">
        <f>IF(INDEX(TransTypes[],Transactions[[#This Row],[TTR]],TT_COL_LONGORSHORT)="S",
      IF( OR(INDEX(TransTypes[],Transactions[[#This Row],[TTR]],TT_COL_GLFlag)=1, INDEX(TransTypes[], Transactions[[#This Row],[TTR]], TT_COL_ShareTransferFlag)=1),
            Transactions[[#This Row],[CostImpact]]*-1,
            Transactions[[#This Row],[CalCashImpact]]
      ),
     0
)</f>
        <v>712.50300660000005</v>
      </c>
      <c r="Y206" s="67" t="str">
        <f>VLOOKUP(Transactions[[#This Row],[Symbol]],Symbols[], COLUMN(Symbols[Currency])-COLUMN(Symbols[])+1,FALSE)</f>
        <v>USD</v>
      </c>
    </row>
    <row r="207" spans="1:25">
      <c r="A207" s="55" t="s">
        <v>65</v>
      </c>
      <c r="B207" s="56">
        <v>43074</v>
      </c>
      <c r="C207" s="55" t="s">
        <v>152</v>
      </c>
      <c r="D207" s="55"/>
      <c r="E207" s="55" t="s">
        <v>210</v>
      </c>
      <c r="F207" s="57">
        <v>4747</v>
      </c>
      <c r="G207" s="58">
        <v>7.8143500000000001</v>
      </c>
      <c r="H207" s="57"/>
      <c r="I207" s="57"/>
      <c r="J207" s="68">
        <v>37094.719449999997</v>
      </c>
      <c r="K207" s="6"/>
      <c r="L207" s="20">
        <f>IF(ISNA(MATCH(Transactions[[#This Row],[TransType]],TransTypes[TransType],0)),1,MATCH(Transactions[[#This Row],[TransType]],TransTypes[TransType],0))</f>
        <v>15</v>
      </c>
      <c r="M207" s="60">
        <f>IF( AND( INDEX(TransTypes[],Transactions[[#This Row],[TTR]],TT_COL_GLFlag)=1, INDEX(TransTypes[],Transactions[[#This Row],[TTR]],TT_COL_LONGORSHORT)="S" ),
      Transactions[[#This Row],[PL]],
      IF(INDEX(TransTypes[],Transactions[[#This Row],[TTR]],TT_COL_LONGORSHORT)="S",0,Transactions[[#This Row],[CalCashImpact]])
)</f>
        <v>37094.719449999997</v>
      </c>
      <c r="N207" s="61">
        <f>IF(VLOOKUP(Transactions[[#This Row],[Symbol]],Symbols[],COLUMN(Symbols[Currency])-COLUMN(Symbols[])+1,FALSE)=
       VLOOKUP(Transactions[[#This Row],[Account]],Accounts[],COLUMN(Accounts[Currency])-COLUMN(Accounts[])+1,FALSE),
     Transactions[[#This Row],[OrigCashImpact]],
     0
)</f>
        <v>0</v>
      </c>
      <c r="O20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55908.94839946615</v>
      </c>
      <c r="P20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0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07" s="41">
        <f>ROW()</f>
        <v>207</v>
      </c>
      <c r="S2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0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07" s="65">
        <f>IF(INDEX(TransTypes[],Transactions[[#This Row],[TTR]],TT_COL_GLFlag)=1,Transactions[[#This Row],[CalCashImpact]]+Transactions[[#This Row],[CostImpact]],0)</f>
        <v>0</v>
      </c>
      <c r="W207" s="66">
        <f>Transactions[[#This Row],[Amount]]*INDEX(TransTypes[],Transactions[[#This Row],[TTR]],TT_COL_AmntSign)</f>
        <v>37094.719449999997</v>
      </c>
      <c r="X207" s="66">
        <f>IF(INDEX(TransTypes[],Transactions[[#This Row],[TTR]],TT_COL_LONGORSHORT)="S",
      IF( OR(INDEX(TransTypes[],Transactions[[#This Row],[TTR]],TT_COL_GLFlag)=1, INDEX(TransTypes[], Transactions[[#This Row],[TTR]], TT_COL_ShareTransferFlag)=1),
            Transactions[[#This Row],[CostImpact]]*-1,
            Transactions[[#This Row],[CalCashImpact]]
      ),
     0
)</f>
        <v>0</v>
      </c>
      <c r="Y207" s="67" t="str">
        <f>VLOOKUP(Transactions[[#This Row],[Symbol]],Symbols[], COLUMN(Symbols[Currency])-COLUMN(Symbols[])+1,FALSE)</f>
        <v>HKD</v>
      </c>
    </row>
    <row r="208" spans="1:25">
      <c r="A208" s="55" t="s">
        <v>65</v>
      </c>
      <c r="B208" s="56">
        <v>43074</v>
      </c>
      <c r="C208" s="55" t="s">
        <v>238</v>
      </c>
      <c r="D208" s="55"/>
      <c r="E208" s="55" t="s">
        <v>208</v>
      </c>
      <c r="F208" s="57">
        <v>4747</v>
      </c>
      <c r="G208" s="58">
        <v>1</v>
      </c>
      <c r="H208" s="57">
        <v>2</v>
      </c>
      <c r="I208" s="57"/>
      <c r="J208" s="68">
        <v>4749</v>
      </c>
      <c r="K208" s="6" t="s">
        <v>380</v>
      </c>
      <c r="L208" s="20">
        <f>IF(ISNA(MATCH(Transactions[[#This Row],[TransType]],TransTypes[TransType],0)),1,MATCH(Transactions[[#This Row],[TransType]],TransTypes[TransType],0))</f>
        <v>16</v>
      </c>
      <c r="M208" s="60">
        <f>IF( AND( INDEX(TransTypes[],Transactions[[#This Row],[TTR]],TT_COL_GLFlag)=1, INDEX(TransTypes[],Transactions[[#This Row],[TTR]],TT_COL_LONGORSHORT)="S" ),
      Transactions[[#This Row],[PL]],
      IF(INDEX(TransTypes[],Transactions[[#This Row],[TTR]],TT_COL_LONGORSHORT)="S",0,Transactions[[#This Row],[CalCashImpact]])
)</f>
        <v>-4749</v>
      </c>
      <c r="N208" s="61">
        <f>IF(VLOOKUP(Transactions[[#This Row],[Symbol]],Symbols[],COLUMN(Symbols[Currency])-COLUMN(Symbols[])+1,FALSE)=
       VLOOKUP(Transactions[[#This Row],[Account]],Accounts[],COLUMN(Accounts[Currency])-COLUMN(Accounts[])+1,FALSE),
     Transactions[[#This Row],[OrigCashImpact]],
     0
)</f>
        <v>-4749</v>
      </c>
      <c r="O20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51159.94839946615</v>
      </c>
      <c r="P20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0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08" s="41">
        <f>ROW()</f>
        <v>208</v>
      </c>
      <c r="S2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0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08" s="65">
        <f>IF(INDEX(TransTypes[],Transactions[[#This Row],[TTR]],TT_COL_GLFlag)=1,Transactions[[#This Row],[CalCashImpact]]+Transactions[[#This Row],[CostImpact]],0)</f>
        <v>0</v>
      </c>
      <c r="W208" s="66">
        <f>Transactions[[#This Row],[Amount]]*INDEX(TransTypes[],Transactions[[#This Row],[TTR]],TT_COL_AmntSign)</f>
        <v>-4749</v>
      </c>
      <c r="X208" s="66">
        <f>IF(INDEX(TransTypes[],Transactions[[#This Row],[TTR]],TT_COL_LONGORSHORT)="S",
      IF( OR(INDEX(TransTypes[],Transactions[[#This Row],[TTR]],TT_COL_GLFlag)=1, INDEX(TransTypes[], Transactions[[#This Row],[TTR]], TT_COL_ShareTransferFlag)=1),
            Transactions[[#This Row],[CostImpact]]*-1,
            Transactions[[#This Row],[CalCashImpact]]
      ),
     0
)</f>
        <v>0</v>
      </c>
      <c r="Y208" s="67" t="str">
        <f>VLOOKUP(Transactions[[#This Row],[Symbol]],Symbols[], COLUMN(Symbols[Currency])-COLUMN(Symbols[])+1,FALSE)</f>
        <v>USD</v>
      </c>
    </row>
    <row r="209" spans="1:25">
      <c r="A209" s="55" t="s">
        <v>65</v>
      </c>
      <c r="B209" s="56">
        <v>43074</v>
      </c>
      <c r="C209" s="55" t="s">
        <v>121</v>
      </c>
      <c r="D209" s="55"/>
      <c r="E209" s="55" t="s">
        <v>208</v>
      </c>
      <c r="F209" s="57"/>
      <c r="G209" s="58"/>
      <c r="H209" s="57"/>
      <c r="I209" s="57"/>
      <c r="J209" s="68">
        <v>4.5</v>
      </c>
      <c r="K209" s="6" t="s">
        <v>381</v>
      </c>
      <c r="L209" s="20">
        <f>IF(ISNA(MATCH(Transactions[[#This Row],[TransType]],TransTypes[TransType],0)),1,MATCH(Transactions[[#This Row],[TransType]],TransTypes[TransType],0))</f>
        <v>6</v>
      </c>
      <c r="M209" s="60">
        <f>IF( AND( INDEX(TransTypes[],Transactions[[#This Row],[TTR]],TT_COL_GLFlag)=1, INDEX(TransTypes[],Transactions[[#This Row],[TTR]],TT_COL_LONGORSHORT)="S" ),
      Transactions[[#This Row],[PL]],
      IF(INDEX(TransTypes[],Transactions[[#This Row],[TTR]],TT_COL_LONGORSHORT)="S",0,Transactions[[#This Row],[CalCashImpact]])
)</f>
        <v>-4.5</v>
      </c>
      <c r="N209" s="61">
        <f>IF(VLOOKUP(Transactions[[#This Row],[Symbol]],Symbols[],COLUMN(Symbols[Currency])-COLUMN(Symbols[])+1,FALSE)=
       VLOOKUP(Transactions[[#This Row],[Account]],Accounts[],COLUMN(Accounts[Currency])-COLUMN(Accounts[])+1,FALSE),
     Transactions[[#This Row],[OrigCashImpact]],
     0
)</f>
        <v>-4.5</v>
      </c>
      <c r="O20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51155.44839946615</v>
      </c>
      <c r="P20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0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09" s="41">
        <f>ROW()</f>
        <v>209</v>
      </c>
      <c r="S2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0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09" s="65">
        <f>IF(INDEX(TransTypes[],Transactions[[#This Row],[TTR]],TT_COL_GLFlag)=1,Transactions[[#This Row],[CalCashImpact]]+Transactions[[#This Row],[CostImpact]],0)</f>
        <v>0</v>
      </c>
      <c r="W209" s="66">
        <f>Transactions[[#This Row],[Amount]]*INDEX(TransTypes[],Transactions[[#This Row],[TTR]],TT_COL_AmntSign)</f>
        <v>-4.5</v>
      </c>
      <c r="X209" s="66">
        <f>IF(INDEX(TransTypes[],Transactions[[#This Row],[TTR]],TT_COL_LONGORSHORT)="S",
      IF( OR(INDEX(TransTypes[],Transactions[[#This Row],[TTR]],TT_COL_GLFlag)=1, INDEX(TransTypes[], Transactions[[#This Row],[TTR]], TT_COL_ShareTransferFlag)=1),
            Transactions[[#This Row],[CostImpact]]*-1,
            Transactions[[#This Row],[CalCashImpact]]
      ),
     0
)</f>
        <v>0</v>
      </c>
      <c r="Y209" s="67" t="str">
        <f>VLOOKUP(Transactions[[#This Row],[Symbol]],Symbols[], COLUMN(Symbols[Currency])-COLUMN(Symbols[])+1,FALSE)</f>
        <v>USD</v>
      </c>
    </row>
    <row r="210" spans="1:25">
      <c r="A210" s="55" t="s">
        <v>65</v>
      </c>
      <c r="B210" s="56">
        <v>43074</v>
      </c>
      <c r="C210" s="55" t="s">
        <v>121</v>
      </c>
      <c r="D210" s="55"/>
      <c r="E210" s="55" t="s">
        <v>208</v>
      </c>
      <c r="F210" s="57"/>
      <c r="G210" s="58"/>
      <c r="H210" s="57"/>
      <c r="I210" s="57"/>
      <c r="J210" s="68">
        <v>16.649999999999999</v>
      </c>
      <c r="K210" s="6" t="s">
        <v>382</v>
      </c>
      <c r="L210" s="20">
        <f>IF(ISNA(MATCH(Transactions[[#This Row],[TransType]],TransTypes[TransType],0)),1,MATCH(Transactions[[#This Row],[TransType]],TransTypes[TransType],0))</f>
        <v>6</v>
      </c>
      <c r="M210" s="60">
        <f>IF( AND( INDEX(TransTypes[],Transactions[[#This Row],[TTR]],TT_COL_GLFlag)=1, INDEX(TransTypes[],Transactions[[#This Row],[TTR]],TT_COL_LONGORSHORT)="S" ),
      Transactions[[#This Row],[PL]],
      IF(INDEX(TransTypes[],Transactions[[#This Row],[TTR]],TT_COL_LONGORSHORT)="S",0,Transactions[[#This Row],[CalCashImpact]])
)</f>
        <v>-16.649999999999999</v>
      </c>
      <c r="N210" s="61">
        <f>IF(VLOOKUP(Transactions[[#This Row],[Symbol]],Symbols[],COLUMN(Symbols[Currency])-COLUMN(Symbols[])+1,FALSE)=
       VLOOKUP(Transactions[[#This Row],[Account]],Accounts[],COLUMN(Accounts[Currency])-COLUMN(Accounts[])+1,FALSE),
     Transactions[[#This Row],[OrigCashImpact]],
     0
)</f>
        <v>-16.649999999999999</v>
      </c>
      <c r="O21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51138.798399466148</v>
      </c>
      <c r="P21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0" s="41">
        <f>ROW()</f>
        <v>210</v>
      </c>
      <c r="S2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0" s="65">
        <f>IF(INDEX(TransTypes[],Transactions[[#This Row],[TTR]],TT_COL_GLFlag)=1,Transactions[[#This Row],[CalCashImpact]]+Transactions[[#This Row],[CostImpact]],0)</f>
        <v>0</v>
      </c>
      <c r="W210" s="66">
        <f>Transactions[[#This Row],[Amount]]*INDEX(TransTypes[],Transactions[[#This Row],[TTR]],TT_COL_AmntSign)</f>
        <v>-16.649999999999999</v>
      </c>
      <c r="X210" s="66">
        <f>IF(INDEX(TransTypes[],Transactions[[#This Row],[TTR]],TT_COL_LONGORSHORT)="S",
      IF( OR(INDEX(TransTypes[],Transactions[[#This Row],[TTR]],TT_COL_GLFlag)=1, INDEX(TransTypes[], Transactions[[#This Row],[TTR]], TT_COL_ShareTransferFlag)=1),
            Transactions[[#This Row],[CostImpact]]*-1,
            Transactions[[#This Row],[CalCashImpact]]
      ),
     0
)</f>
        <v>0</v>
      </c>
      <c r="Y210" s="67" t="str">
        <f>VLOOKUP(Transactions[[#This Row],[Symbol]],Symbols[], COLUMN(Symbols[Currency])-COLUMN(Symbols[])+1,FALSE)</f>
        <v>USD</v>
      </c>
    </row>
    <row r="211" spans="1:25">
      <c r="A211" s="55" t="s">
        <v>65</v>
      </c>
      <c r="B211" s="56">
        <v>43074</v>
      </c>
      <c r="C211" s="55" t="s">
        <v>121</v>
      </c>
      <c r="D211" s="55"/>
      <c r="E211" s="55" t="s">
        <v>208</v>
      </c>
      <c r="F211" s="57"/>
      <c r="G211" s="58"/>
      <c r="H211" s="57"/>
      <c r="I211" s="57"/>
      <c r="J211" s="68">
        <v>3.2</v>
      </c>
      <c r="K211" s="6" t="s">
        <v>383</v>
      </c>
      <c r="L211" s="20">
        <f>IF(ISNA(MATCH(Transactions[[#This Row],[TransType]],TransTypes[TransType],0)),1,MATCH(Transactions[[#This Row],[TransType]],TransTypes[TransType],0))</f>
        <v>6</v>
      </c>
      <c r="M211" s="60">
        <f>IF( AND( INDEX(TransTypes[],Transactions[[#This Row],[TTR]],TT_COL_GLFlag)=1, INDEX(TransTypes[],Transactions[[#This Row],[TTR]],TT_COL_LONGORSHORT)="S" ),
      Transactions[[#This Row],[PL]],
      IF(INDEX(TransTypes[],Transactions[[#This Row],[TTR]],TT_COL_LONGORSHORT)="S",0,Transactions[[#This Row],[CalCashImpact]])
)</f>
        <v>-3.2</v>
      </c>
      <c r="N211" s="61">
        <f>IF(VLOOKUP(Transactions[[#This Row],[Symbol]],Symbols[],COLUMN(Symbols[Currency])-COLUMN(Symbols[])+1,FALSE)=
       VLOOKUP(Transactions[[#This Row],[Account]],Accounts[],COLUMN(Accounts[Currency])-COLUMN(Accounts[])+1,FALSE),
     Transactions[[#This Row],[OrigCashImpact]],
     0
)</f>
        <v>-3.2</v>
      </c>
      <c r="O21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51135.598399466151</v>
      </c>
      <c r="P21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1" s="41">
        <f>ROW()</f>
        <v>211</v>
      </c>
      <c r="S2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1" s="65">
        <f>IF(INDEX(TransTypes[],Transactions[[#This Row],[TTR]],TT_COL_GLFlag)=1,Transactions[[#This Row],[CalCashImpact]]+Transactions[[#This Row],[CostImpact]],0)</f>
        <v>0</v>
      </c>
      <c r="W211" s="66">
        <f>Transactions[[#This Row],[Amount]]*INDEX(TransTypes[],Transactions[[#This Row],[TTR]],TT_COL_AmntSign)</f>
        <v>-3.2</v>
      </c>
      <c r="X211" s="66">
        <f>IF(INDEX(TransTypes[],Transactions[[#This Row],[TTR]],TT_COL_LONGORSHORT)="S",
      IF( OR(INDEX(TransTypes[],Transactions[[#This Row],[TTR]],TT_COL_GLFlag)=1, INDEX(TransTypes[], Transactions[[#This Row],[TTR]], TT_COL_ShareTransferFlag)=1),
            Transactions[[#This Row],[CostImpact]]*-1,
            Transactions[[#This Row],[CalCashImpact]]
      ),
     0
)</f>
        <v>0</v>
      </c>
      <c r="Y211" s="67" t="str">
        <f>VLOOKUP(Transactions[[#This Row],[Symbol]],Symbols[], COLUMN(Symbols[Currency])-COLUMN(Symbols[])+1,FALSE)</f>
        <v>USD</v>
      </c>
    </row>
    <row r="212" spans="1:25">
      <c r="A212" s="55" t="s">
        <v>65</v>
      </c>
      <c r="B212" s="56">
        <v>43074</v>
      </c>
      <c r="C212" s="55" t="s">
        <v>121</v>
      </c>
      <c r="D212" s="55"/>
      <c r="E212" s="55" t="s">
        <v>208</v>
      </c>
      <c r="F212" s="57"/>
      <c r="G212" s="58"/>
      <c r="H212" s="57"/>
      <c r="I212" s="57"/>
      <c r="J212" s="68">
        <v>10</v>
      </c>
      <c r="K212" s="6" t="s">
        <v>384</v>
      </c>
      <c r="L212" s="20">
        <f>IF(ISNA(MATCH(Transactions[[#This Row],[TransType]],TransTypes[TransType],0)),1,MATCH(Transactions[[#This Row],[TransType]],TransTypes[TransType],0))</f>
        <v>6</v>
      </c>
      <c r="M212" s="60">
        <f>IF( AND( INDEX(TransTypes[],Transactions[[#This Row],[TTR]],TT_COL_GLFlag)=1, INDEX(TransTypes[],Transactions[[#This Row],[TTR]],TT_COL_LONGORSHORT)="S" ),
      Transactions[[#This Row],[PL]],
      IF(INDEX(TransTypes[],Transactions[[#This Row],[TTR]],TT_COL_LONGORSHORT)="S",0,Transactions[[#This Row],[CalCashImpact]])
)</f>
        <v>-10</v>
      </c>
      <c r="N212" s="61">
        <f>IF(VLOOKUP(Transactions[[#This Row],[Symbol]],Symbols[],COLUMN(Symbols[Currency])-COLUMN(Symbols[])+1,FALSE)=
       VLOOKUP(Transactions[[#This Row],[Account]],Accounts[],COLUMN(Accounts[Currency])-COLUMN(Accounts[])+1,FALSE),
     Transactions[[#This Row],[OrigCashImpact]],
     0
)</f>
        <v>-10</v>
      </c>
      <c r="O21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51125.598399466151</v>
      </c>
      <c r="P21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2" s="41">
        <f>ROW()</f>
        <v>212</v>
      </c>
      <c r="S2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2" s="65">
        <f>IF(INDEX(TransTypes[],Transactions[[#This Row],[TTR]],TT_COL_GLFlag)=1,Transactions[[#This Row],[CalCashImpact]]+Transactions[[#This Row],[CostImpact]],0)</f>
        <v>0</v>
      </c>
      <c r="W212" s="66">
        <f>Transactions[[#This Row],[Amount]]*INDEX(TransTypes[],Transactions[[#This Row],[TTR]],TT_COL_AmntSign)</f>
        <v>-10</v>
      </c>
      <c r="X212" s="66">
        <f>IF(INDEX(TransTypes[],Transactions[[#This Row],[TTR]],TT_COL_LONGORSHORT)="S",
      IF( OR(INDEX(TransTypes[],Transactions[[#This Row],[TTR]],TT_COL_GLFlag)=1, INDEX(TransTypes[], Transactions[[#This Row],[TTR]], TT_COL_ShareTransferFlag)=1),
            Transactions[[#This Row],[CostImpact]]*-1,
            Transactions[[#This Row],[CalCashImpact]]
      ),
     0
)</f>
        <v>0</v>
      </c>
      <c r="Y212" s="67" t="str">
        <f>VLOOKUP(Transactions[[#This Row],[Symbol]],Symbols[], COLUMN(Symbols[Currency])-COLUMN(Symbols[])+1,FALSE)</f>
        <v>USD</v>
      </c>
    </row>
    <row r="213" spans="1:25">
      <c r="A213" s="55" t="s">
        <v>65</v>
      </c>
      <c r="B213" s="56">
        <v>43074</v>
      </c>
      <c r="C213" s="55" t="s">
        <v>121</v>
      </c>
      <c r="D213" s="55"/>
      <c r="E213" s="55" t="s">
        <v>208</v>
      </c>
      <c r="F213" s="57"/>
      <c r="G213" s="58"/>
      <c r="H213" s="57"/>
      <c r="I213" s="57"/>
      <c r="J213" s="68">
        <v>-10</v>
      </c>
      <c r="K213" s="6" t="s">
        <v>384</v>
      </c>
      <c r="L213" s="20">
        <f>IF(ISNA(MATCH(Transactions[[#This Row],[TransType]],TransTypes[TransType],0)),1,MATCH(Transactions[[#This Row],[TransType]],TransTypes[TransType],0))</f>
        <v>6</v>
      </c>
      <c r="M213" s="60">
        <f>IF( AND( INDEX(TransTypes[],Transactions[[#This Row],[TTR]],TT_COL_GLFlag)=1, INDEX(TransTypes[],Transactions[[#This Row],[TTR]],TT_COL_LONGORSHORT)="S" ),
      Transactions[[#This Row],[PL]],
      IF(INDEX(TransTypes[],Transactions[[#This Row],[TTR]],TT_COL_LONGORSHORT)="S",0,Transactions[[#This Row],[CalCashImpact]])
)</f>
        <v>10</v>
      </c>
      <c r="N213" s="61">
        <f>IF(VLOOKUP(Transactions[[#This Row],[Symbol]],Symbols[],COLUMN(Symbols[Currency])-COLUMN(Symbols[])+1,FALSE)=
       VLOOKUP(Transactions[[#This Row],[Account]],Accounts[],COLUMN(Accounts[Currency])-COLUMN(Accounts[])+1,FALSE),
     Transactions[[#This Row],[OrigCashImpact]],
     0
)</f>
        <v>10</v>
      </c>
      <c r="O21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51135.598399466151</v>
      </c>
      <c r="P21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3" s="41">
        <f>ROW()</f>
        <v>213</v>
      </c>
      <c r="S2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3" s="65">
        <f>IF(INDEX(TransTypes[],Transactions[[#This Row],[TTR]],TT_COL_GLFlag)=1,Transactions[[#This Row],[CalCashImpact]]+Transactions[[#This Row],[CostImpact]],0)</f>
        <v>0</v>
      </c>
      <c r="W213" s="66">
        <f>Transactions[[#This Row],[Amount]]*INDEX(TransTypes[],Transactions[[#This Row],[TTR]],TT_COL_AmntSign)</f>
        <v>10</v>
      </c>
      <c r="X213" s="66">
        <f>IF(INDEX(TransTypes[],Transactions[[#This Row],[TTR]],TT_COL_LONGORSHORT)="S",
      IF( OR(INDEX(TransTypes[],Transactions[[#This Row],[TTR]],TT_COL_GLFlag)=1, INDEX(TransTypes[], Transactions[[#This Row],[TTR]], TT_COL_ShareTransferFlag)=1),
            Transactions[[#This Row],[CostImpact]]*-1,
            Transactions[[#This Row],[CalCashImpact]]
      ),
     0
)</f>
        <v>0</v>
      </c>
      <c r="Y213" s="67" t="str">
        <f>VLOOKUP(Transactions[[#This Row],[Symbol]],Symbols[], COLUMN(Symbols[Currency])-COLUMN(Symbols[])+1,FALSE)</f>
        <v>USD</v>
      </c>
    </row>
    <row r="214" spans="1:25">
      <c r="A214" s="55" t="s">
        <v>65</v>
      </c>
      <c r="B214" s="56">
        <v>43074</v>
      </c>
      <c r="C214" s="55" t="s">
        <v>240</v>
      </c>
      <c r="D214" s="55"/>
      <c r="E214" s="55" t="s">
        <v>210</v>
      </c>
      <c r="F214" s="57"/>
      <c r="G214" s="58"/>
      <c r="H214" s="57"/>
      <c r="I214" s="57"/>
      <c r="J214" s="68">
        <v>0.09</v>
      </c>
      <c r="K214" s="6" t="s">
        <v>385</v>
      </c>
      <c r="L214" s="20">
        <f>IF(ISNA(MATCH(Transactions[[#This Row],[TransType]],TransTypes[TransType],0)),1,MATCH(Transactions[[#This Row],[TransType]],TransTypes[TransType],0))</f>
        <v>8</v>
      </c>
      <c r="M214" s="60">
        <f>IF( AND( INDEX(TransTypes[],Transactions[[#This Row],[TTR]],TT_COL_GLFlag)=1, INDEX(TransTypes[],Transactions[[#This Row],[TTR]],TT_COL_LONGORSHORT)="S" ),
      Transactions[[#This Row],[PL]],
      IF(INDEX(TransTypes[],Transactions[[#This Row],[TTR]],TT_COL_LONGORSHORT)="S",0,Transactions[[#This Row],[CalCashImpact]])
)</f>
        <v>0.09</v>
      </c>
      <c r="N214" s="61">
        <f>IF(VLOOKUP(Transactions[[#This Row],[Symbol]],Symbols[],COLUMN(Symbols[Currency])-COLUMN(Symbols[])+1,FALSE)=
       VLOOKUP(Transactions[[#This Row],[Account]],Accounts[],COLUMN(Accounts[Currency])-COLUMN(Accounts[])+1,FALSE),
     Transactions[[#This Row],[OrigCashImpact]],
     0
)</f>
        <v>0</v>
      </c>
      <c r="O21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51135.598399466151</v>
      </c>
      <c r="P21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4" s="41">
        <f>ROW()</f>
        <v>214</v>
      </c>
      <c r="S2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4" s="65">
        <f>IF(INDEX(TransTypes[],Transactions[[#This Row],[TTR]],TT_COL_GLFlag)=1,Transactions[[#This Row],[CalCashImpact]]+Transactions[[#This Row],[CostImpact]],0)</f>
        <v>0</v>
      </c>
      <c r="W214" s="66">
        <f>Transactions[[#This Row],[Amount]]*INDEX(TransTypes[],Transactions[[#This Row],[TTR]],TT_COL_AmntSign)</f>
        <v>0.09</v>
      </c>
      <c r="X214" s="66">
        <f>IF(INDEX(TransTypes[],Transactions[[#This Row],[TTR]],TT_COL_LONGORSHORT)="S",
      IF( OR(INDEX(TransTypes[],Transactions[[#This Row],[TTR]],TT_COL_GLFlag)=1, INDEX(TransTypes[], Transactions[[#This Row],[TTR]], TT_COL_ShareTransferFlag)=1),
            Transactions[[#This Row],[CostImpact]]*-1,
            Transactions[[#This Row],[CalCashImpact]]
      ),
     0
)</f>
        <v>0</v>
      </c>
      <c r="Y214" s="67" t="str">
        <f>VLOOKUP(Transactions[[#This Row],[Symbol]],Symbols[], COLUMN(Symbols[Currency])-COLUMN(Symbols[])+1,FALSE)</f>
        <v>HKD</v>
      </c>
    </row>
    <row r="215" spans="1:25">
      <c r="A215" s="55" t="s">
        <v>65</v>
      </c>
      <c r="B215" s="56">
        <v>43074</v>
      </c>
      <c r="C215" s="55" t="s">
        <v>241</v>
      </c>
      <c r="D215" s="55"/>
      <c r="E215" s="55" t="s">
        <v>210</v>
      </c>
      <c r="F215" s="57"/>
      <c r="G215" s="58"/>
      <c r="H215" s="57"/>
      <c r="I215" s="57"/>
      <c r="J215" s="68">
        <v>96.77</v>
      </c>
      <c r="K215" s="6" t="s">
        <v>386</v>
      </c>
      <c r="L215" s="20">
        <f>IF(ISNA(MATCH(Transactions[[#This Row],[TransType]],TransTypes[TransType],0)),1,MATCH(Transactions[[#This Row],[TransType]],TransTypes[TransType],0))</f>
        <v>9</v>
      </c>
      <c r="M215" s="60">
        <f>IF( AND( INDEX(TransTypes[],Transactions[[#This Row],[TTR]],TT_COL_GLFlag)=1, INDEX(TransTypes[],Transactions[[#This Row],[TTR]],TT_COL_LONGORSHORT)="S" ),
      Transactions[[#This Row],[PL]],
      IF(INDEX(TransTypes[],Transactions[[#This Row],[TTR]],TT_COL_LONGORSHORT)="S",0,Transactions[[#This Row],[CalCashImpact]])
)</f>
        <v>-96.77</v>
      </c>
      <c r="N215" s="61">
        <f>IF(VLOOKUP(Transactions[[#This Row],[Symbol]],Symbols[],COLUMN(Symbols[Currency])-COLUMN(Symbols[])+1,FALSE)=
       VLOOKUP(Transactions[[#This Row],[Account]],Accounts[],COLUMN(Accounts[Currency])-COLUMN(Accounts[])+1,FALSE),
     Transactions[[#This Row],[OrigCashImpact]],
     0
)</f>
        <v>0</v>
      </c>
      <c r="O21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51135.598399466151</v>
      </c>
      <c r="P21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5" s="41">
        <f>ROW()</f>
        <v>215</v>
      </c>
      <c r="S2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5" s="65">
        <f>IF(INDEX(TransTypes[],Transactions[[#This Row],[TTR]],TT_COL_GLFlag)=1,Transactions[[#This Row],[CalCashImpact]]+Transactions[[#This Row],[CostImpact]],0)</f>
        <v>0</v>
      </c>
      <c r="W215" s="66">
        <f>Transactions[[#This Row],[Amount]]*INDEX(TransTypes[],Transactions[[#This Row],[TTR]],TT_COL_AmntSign)</f>
        <v>-96.77</v>
      </c>
      <c r="X215" s="66">
        <f>IF(INDEX(TransTypes[],Transactions[[#This Row],[TTR]],TT_COL_LONGORSHORT)="S",
      IF( OR(INDEX(TransTypes[],Transactions[[#This Row],[TTR]],TT_COL_GLFlag)=1, INDEX(TransTypes[], Transactions[[#This Row],[TTR]], TT_COL_ShareTransferFlag)=1),
            Transactions[[#This Row],[CostImpact]]*-1,
            Transactions[[#This Row],[CalCashImpact]]
      ),
     0
)</f>
        <v>0</v>
      </c>
      <c r="Y215" s="67" t="str">
        <f>VLOOKUP(Transactions[[#This Row],[Symbol]],Symbols[], COLUMN(Symbols[Currency])-COLUMN(Symbols[])+1,FALSE)</f>
        <v>HKD</v>
      </c>
    </row>
    <row r="216" spans="1:25">
      <c r="A216" s="55" t="s">
        <v>65</v>
      </c>
      <c r="B216" s="56">
        <v>43074</v>
      </c>
      <c r="C216" s="55" t="s">
        <v>240</v>
      </c>
      <c r="D216" s="55"/>
      <c r="E216" s="55" t="s">
        <v>208</v>
      </c>
      <c r="F216" s="57"/>
      <c r="G216" s="58"/>
      <c r="H216" s="57"/>
      <c r="I216" s="57"/>
      <c r="J216" s="68">
        <v>134.69999999999999</v>
      </c>
      <c r="K216" s="6" t="s">
        <v>387</v>
      </c>
      <c r="L216" s="20">
        <f>IF(ISNA(MATCH(Transactions[[#This Row],[TransType]],TransTypes[TransType],0)),1,MATCH(Transactions[[#This Row],[TransType]],TransTypes[TransType],0))</f>
        <v>8</v>
      </c>
      <c r="M216" s="60">
        <f>IF( AND( INDEX(TransTypes[],Transactions[[#This Row],[TTR]],TT_COL_GLFlag)=1, INDEX(TransTypes[],Transactions[[#This Row],[TTR]],TT_COL_LONGORSHORT)="S" ),
      Transactions[[#This Row],[PL]],
      IF(INDEX(TransTypes[],Transactions[[#This Row],[TTR]],TT_COL_LONGORSHORT)="S",0,Transactions[[#This Row],[CalCashImpact]])
)</f>
        <v>134.69999999999999</v>
      </c>
      <c r="N216" s="61">
        <f>IF(VLOOKUP(Transactions[[#This Row],[Symbol]],Symbols[],COLUMN(Symbols[Currency])-COLUMN(Symbols[])+1,FALSE)=
       VLOOKUP(Transactions[[#This Row],[Account]],Accounts[],COLUMN(Accounts[Currency])-COLUMN(Accounts[])+1,FALSE),
     Transactions[[#This Row],[OrigCashImpact]],
     0
)</f>
        <v>134.69999999999999</v>
      </c>
      <c r="O21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51270.298399466148</v>
      </c>
      <c r="P21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6" s="41">
        <f>ROW()</f>
        <v>216</v>
      </c>
      <c r="S2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6" s="65">
        <f>IF(INDEX(TransTypes[],Transactions[[#This Row],[TTR]],TT_COL_GLFlag)=1,Transactions[[#This Row],[CalCashImpact]]+Transactions[[#This Row],[CostImpact]],0)</f>
        <v>0</v>
      </c>
      <c r="W216" s="66">
        <f>Transactions[[#This Row],[Amount]]*INDEX(TransTypes[],Transactions[[#This Row],[TTR]],TT_COL_AmntSign)</f>
        <v>134.69999999999999</v>
      </c>
      <c r="X216" s="66">
        <f>IF(INDEX(TransTypes[],Transactions[[#This Row],[TTR]],TT_COL_LONGORSHORT)="S",
      IF( OR(INDEX(TransTypes[],Transactions[[#This Row],[TTR]],TT_COL_GLFlag)=1, INDEX(TransTypes[], Transactions[[#This Row],[TTR]], TT_COL_ShareTransferFlag)=1),
            Transactions[[#This Row],[CostImpact]]*-1,
            Transactions[[#This Row],[CalCashImpact]]
      ),
     0
)</f>
        <v>0</v>
      </c>
      <c r="Y216" s="67" t="str">
        <f>VLOOKUP(Transactions[[#This Row],[Symbol]],Symbols[], COLUMN(Symbols[Currency])-COLUMN(Symbols[])+1,FALSE)</f>
        <v>USD</v>
      </c>
    </row>
    <row r="217" spans="1:25">
      <c r="A217" s="55" t="s">
        <v>65</v>
      </c>
      <c r="B217" s="56">
        <v>43074</v>
      </c>
      <c r="C217" s="55" t="s">
        <v>241</v>
      </c>
      <c r="D217" s="55"/>
      <c r="E217" s="55" t="s">
        <v>208</v>
      </c>
      <c r="F217" s="57"/>
      <c r="G217" s="58"/>
      <c r="H217" s="57"/>
      <c r="I217" s="57"/>
      <c r="J217" s="68">
        <v>0.28000000000000003</v>
      </c>
      <c r="K217" s="6" t="s">
        <v>388</v>
      </c>
      <c r="L217" s="20">
        <f>IF(ISNA(MATCH(Transactions[[#This Row],[TransType]],TransTypes[TransType],0)),1,MATCH(Transactions[[#This Row],[TransType]],TransTypes[TransType],0))</f>
        <v>9</v>
      </c>
      <c r="M217" s="60">
        <f>IF( AND( INDEX(TransTypes[],Transactions[[#This Row],[TTR]],TT_COL_GLFlag)=1, INDEX(TransTypes[],Transactions[[#This Row],[TTR]],TT_COL_LONGORSHORT)="S" ),
      Transactions[[#This Row],[PL]],
      IF(INDEX(TransTypes[],Transactions[[#This Row],[TTR]],TT_COL_LONGORSHORT)="S",0,Transactions[[#This Row],[CalCashImpact]])
)</f>
        <v>-0.28000000000000003</v>
      </c>
      <c r="N217" s="61">
        <f>IF(VLOOKUP(Transactions[[#This Row],[Symbol]],Symbols[],COLUMN(Symbols[Currency])-COLUMN(Symbols[])+1,FALSE)=
       VLOOKUP(Transactions[[#This Row],[Account]],Accounts[],COLUMN(Accounts[Currency])-COLUMN(Accounts[])+1,FALSE),
     Transactions[[#This Row],[OrigCashImpact]],
     0
)</f>
        <v>-0.28000000000000003</v>
      </c>
      <c r="O21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51270.018399466149</v>
      </c>
      <c r="P21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7" s="41">
        <f>ROW()</f>
        <v>217</v>
      </c>
      <c r="S2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7" s="65">
        <f>IF(INDEX(TransTypes[],Transactions[[#This Row],[TTR]],TT_COL_GLFlag)=1,Transactions[[#This Row],[CalCashImpact]]+Transactions[[#This Row],[CostImpact]],0)</f>
        <v>0</v>
      </c>
      <c r="W217" s="66">
        <f>Transactions[[#This Row],[Amount]]*INDEX(TransTypes[],Transactions[[#This Row],[TTR]],TT_COL_AmntSign)</f>
        <v>-0.28000000000000003</v>
      </c>
      <c r="X217" s="66">
        <f>IF(INDEX(TransTypes[],Transactions[[#This Row],[TTR]],TT_COL_LONGORSHORT)="S",
      IF( OR(INDEX(TransTypes[],Transactions[[#This Row],[TTR]],TT_COL_GLFlag)=1, INDEX(TransTypes[], Transactions[[#This Row],[TTR]], TT_COL_ShareTransferFlag)=1),
            Transactions[[#This Row],[CostImpact]]*-1,
            Transactions[[#This Row],[CalCashImpact]]
      ),
     0
)</f>
        <v>0</v>
      </c>
      <c r="Y217" s="67" t="str">
        <f>VLOOKUP(Transactions[[#This Row],[Symbol]],Symbols[], COLUMN(Symbols[Currency])-COLUMN(Symbols[])+1,FALSE)</f>
        <v>USD</v>
      </c>
    </row>
    <row r="218" spans="1:25">
      <c r="A218" s="55" t="s">
        <v>65</v>
      </c>
      <c r="B218" s="56">
        <v>43074</v>
      </c>
      <c r="C218" s="55" t="s">
        <v>240</v>
      </c>
      <c r="D218" s="55"/>
      <c r="E218" s="55" t="s">
        <v>208</v>
      </c>
      <c r="F218" s="57"/>
      <c r="G218" s="58"/>
      <c r="H218" s="57"/>
      <c r="I218" s="57"/>
      <c r="J218" s="68">
        <v>41.13</v>
      </c>
      <c r="K218" s="6" t="s">
        <v>389</v>
      </c>
      <c r="L218" s="20">
        <f>IF(ISNA(MATCH(Transactions[[#This Row],[TransType]],TransTypes[TransType],0)),1,MATCH(Transactions[[#This Row],[TransType]],TransTypes[TransType],0))</f>
        <v>8</v>
      </c>
      <c r="M218" s="60">
        <f>IF( AND( INDEX(TransTypes[],Transactions[[#This Row],[TTR]],TT_COL_GLFlag)=1, INDEX(TransTypes[],Transactions[[#This Row],[TTR]],TT_COL_LONGORSHORT)="S" ),
      Transactions[[#This Row],[PL]],
      IF(INDEX(TransTypes[],Transactions[[#This Row],[TTR]],TT_COL_LONGORSHORT)="S",0,Transactions[[#This Row],[CalCashImpact]])
)</f>
        <v>41.13</v>
      </c>
      <c r="N218" s="61">
        <f>IF(VLOOKUP(Transactions[[#This Row],[Symbol]],Symbols[],COLUMN(Symbols[Currency])-COLUMN(Symbols[])+1,FALSE)=
       VLOOKUP(Transactions[[#This Row],[Account]],Accounts[],COLUMN(Accounts[Currency])-COLUMN(Accounts[])+1,FALSE),
     Transactions[[#This Row],[OrigCashImpact]],
     0
)</f>
        <v>41.13</v>
      </c>
      <c r="O21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51311.148399466147</v>
      </c>
      <c r="P21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1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18" s="41">
        <f>ROW()</f>
        <v>218</v>
      </c>
      <c r="S2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1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18" s="65">
        <f>IF(INDEX(TransTypes[],Transactions[[#This Row],[TTR]],TT_COL_GLFlag)=1,Transactions[[#This Row],[CalCashImpact]]+Transactions[[#This Row],[CostImpact]],0)</f>
        <v>0</v>
      </c>
      <c r="W218" s="66">
        <f>Transactions[[#This Row],[Amount]]*INDEX(TransTypes[],Transactions[[#This Row],[TTR]],TT_COL_AmntSign)</f>
        <v>41.13</v>
      </c>
      <c r="X218" s="66">
        <f>IF(INDEX(TransTypes[],Transactions[[#This Row],[TTR]],TT_COL_LONGORSHORT)="S",
      IF( OR(INDEX(TransTypes[],Transactions[[#This Row],[TTR]],TT_COL_GLFlag)=1, INDEX(TransTypes[], Transactions[[#This Row],[TTR]], TT_COL_ShareTransferFlag)=1),
            Transactions[[#This Row],[CostImpact]]*-1,
            Transactions[[#This Row],[CalCashImpact]]
      ),
     0
)</f>
        <v>0</v>
      </c>
      <c r="Y218" s="67" t="str">
        <f>VLOOKUP(Transactions[[#This Row],[Symbol]],Symbols[], COLUMN(Symbols[Currency])-COLUMN(Symbols[])+1,FALSE)</f>
        <v>USD</v>
      </c>
    </row>
    <row r="219" spans="1:25">
      <c r="A219" s="55" t="s">
        <v>65</v>
      </c>
      <c r="B219" s="56">
        <v>43075</v>
      </c>
      <c r="C219" s="55" t="s">
        <v>113</v>
      </c>
      <c r="D219" s="55"/>
      <c r="E219" s="55" t="s">
        <v>275</v>
      </c>
      <c r="F219" s="57">
        <v>100</v>
      </c>
      <c r="G219" s="58">
        <v>171.84</v>
      </c>
      <c r="H219" s="57">
        <v>1</v>
      </c>
      <c r="I219" s="57"/>
      <c r="J219" s="68">
        <v>17185</v>
      </c>
      <c r="K219" s="6"/>
      <c r="L219" s="20">
        <f>IF(ISNA(MATCH(Transactions[[#This Row],[TransType]],TransTypes[TransType],0)),1,MATCH(Transactions[[#This Row],[TransType]],TransTypes[TransType],0))</f>
        <v>2</v>
      </c>
      <c r="M219" s="60">
        <f>IF( AND( INDEX(TransTypes[],Transactions[[#This Row],[TTR]],TT_COL_GLFlag)=1, INDEX(TransTypes[],Transactions[[#This Row],[TTR]],TT_COL_LONGORSHORT)="S" ),
      Transactions[[#This Row],[PL]],
      IF(INDEX(TransTypes[],Transactions[[#This Row],[TTR]],TT_COL_LONGORSHORT)="S",0,Transactions[[#This Row],[CalCashImpact]])
)</f>
        <v>-17185</v>
      </c>
      <c r="N219" s="61">
        <f>IF(VLOOKUP(Transactions[[#This Row],[Symbol]],Symbols[],COLUMN(Symbols[Currency])-COLUMN(Symbols[])+1,FALSE)=
       VLOOKUP(Transactions[[#This Row],[Account]],Accounts[],COLUMN(Accounts[Currency])-COLUMN(Accounts[])+1,FALSE),
     Transactions[[#This Row],[OrigCashImpact]],
     0
)</f>
        <v>-17185</v>
      </c>
      <c r="O21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34126.148399466147</v>
      </c>
      <c r="P21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21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v>
      </c>
      <c r="R219" s="41">
        <f>ROW()</f>
        <v>219</v>
      </c>
      <c r="S2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17185</v>
      </c>
      <c r="T2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17185</v>
      </c>
      <c r="U21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v>
      </c>
      <c r="V219" s="65">
        <f>IF(INDEX(TransTypes[],Transactions[[#This Row],[TTR]],TT_COL_GLFlag)=1,Transactions[[#This Row],[CalCashImpact]]+Transactions[[#This Row],[CostImpact]],0)</f>
        <v>0</v>
      </c>
      <c r="W219" s="66">
        <f>Transactions[[#This Row],[Amount]]*INDEX(TransTypes[],Transactions[[#This Row],[TTR]],TT_COL_AmntSign)</f>
        <v>-17185</v>
      </c>
      <c r="X219" s="66">
        <f>IF(INDEX(TransTypes[],Transactions[[#This Row],[TTR]],TT_COL_LONGORSHORT)="S",
      IF( OR(INDEX(TransTypes[],Transactions[[#This Row],[TTR]],TT_COL_GLFlag)=1, INDEX(TransTypes[], Transactions[[#This Row],[TTR]], TT_COL_ShareTransferFlag)=1),
            Transactions[[#This Row],[CostImpact]]*-1,
            Transactions[[#This Row],[CalCashImpact]]
      ),
     0
)</f>
        <v>0</v>
      </c>
      <c r="Y219" s="67" t="str">
        <f>VLOOKUP(Transactions[[#This Row],[Symbol]],Symbols[], COLUMN(Symbols[Currency])-COLUMN(Symbols[])+1,FALSE)</f>
        <v>USD</v>
      </c>
    </row>
    <row r="220" spans="1:25">
      <c r="A220" s="55" t="s">
        <v>65</v>
      </c>
      <c r="B220" s="56">
        <v>43075</v>
      </c>
      <c r="C220" s="55" t="s">
        <v>113</v>
      </c>
      <c r="D220" s="55"/>
      <c r="E220" s="55" t="s">
        <v>278</v>
      </c>
      <c r="F220" s="57">
        <v>10</v>
      </c>
      <c r="G220" s="58">
        <v>1145.6300000000001</v>
      </c>
      <c r="H220" s="57">
        <v>1</v>
      </c>
      <c r="I220" s="57"/>
      <c r="J220" s="68">
        <v>11457.3</v>
      </c>
      <c r="K220" s="6"/>
      <c r="L220" s="20">
        <f>IF(ISNA(MATCH(Transactions[[#This Row],[TransType]],TransTypes[TransType],0)),1,MATCH(Transactions[[#This Row],[TransType]],TransTypes[TransType],0))</f>
        <v>2</v>
      </c>
      <c r="M220" s="60">
        <f>IF( AND( INDEX(TransTypes[],Transactions[[#This Row],[TTR]],TT_COL_GLFlag)=1, INDEX(TransTypes[],Transactions[[#This Row],[TTR]],TT_COL_LONGORSHORT)="S" ),
      Transactions[[#This Row],[PL]],
      IF(INDEX(TransTypes[],Transactions[[#This Row],[TTR]],TT_COL_LONGORSHORT)="S",0,Transactions[[#This Row],[CalCashImpact]])
)</f>
        <v>-11457.3</v>
      </c>
      <c r="N220" s="61">
        <f>IF(VLOOKUP(Transactions[[#This Row],[Symbol]],Symbols[],COLUMN(Symbols[Currency])-COLUMN(Symbols[])+1,FALSE)=
       VLOOKUP(Transactions[[#This Row],[Account]],Accounts[],COLUMN(Accounts[Currency])-COLUMN(Accounts[])+1,FALSE),
     Transactions[[#This Row],[OrigCashImpact]],
     0
)</f>
        <v>-11457.3</v>
      </c>
      <c r="O22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22668.848399466147</v>
      </c>
      <c r="P22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v>
      </c>
      <c r="Q22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v>
      </c>
      <c r="R220" s="41">
        <f>ROW()</f>
        <v>220</v>
      </c>
      <c r="S2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11457.3</v>
      </c>
      <c r="T2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123002.7</v>
      </c>
      <c r="U22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v>
      </c>
      <c r="V220" s="65">
        <f>IF(INDEX(TransTypes[],Transactions[[#This Row],[TTR]],TT_COL_GLFlag)=1,Transactions[[#This Row],[CalCashImpact]]+Transactions[[#This Row],[CostImpact]],0)</f>
        <v>0</v>
      </c>
      <c r="W220" s="66">
        <f>Transactions[[#This Row],[Amount]]*INDEX(TransTypes[],Transactions[[#This Row],[TTR]],TT_COL_AmntSign)</f>
        <v>-11457.3</v>
      </c>
      <c r="X220" s="66">
        <f>IF(INDEX(TransTypes[],Transactions[[#This Row],[TTR]],TT_COL_LONGORSHORT)="S",
      IF( OR(INDEX(TransTypes[],Transactions[[#This Row],[TTR]],TT_COL_GLFlag)=1, INDEX(TransTypes[], Transactions[[#This Row],[TTR]], TT_COL_ShareTransferFlag)=1),
            Transactions[[#This Row],[CostImpact]]*-1,
            Transactions[[#This Row],[CalCashImpact]]
      ),
     0
)</f>
        <v>0</v>
      </c>
      <c r="Y220" s="67" t="str">
        <f>VLOOKUP(Transactions[[#This Row],[Symbol]],Symbols[], COLUMN(Symbols[Currency])-COLUMN(Symbols[])+1,FALSE)</f>
        <v>USD</v>
      </c>
    </row>
    <row r="221" spans="1:25">
      <c r="A221" s="55" t="s">
        <v>65</v>
      </c>
      <c r="B221" s="56">
        <v>43075</v>
      </c>
      <c r="C221" s="55" t="s">
        <v>115</v>
      </c>
      <c r="D221" s="55"/>
      <c r="E221" s="55" t="s">
        <v>283</v>
      </c>
      <c r="F221" s="57">
        <v>10</v>
      </c>
      <c r="G221" s="58">
        <v>196.39</v>
      </c>
      <c r="H221" s="57">
        <v>1.0465560899999999</v>
      </c>
      <c r="I221" s="57"/>
      <c r="J221" s="68">
        <v>1962.8534439099999</v>
      </c>
      <c r="K221" s="6"/>
      <c r="L221" s="20">
        <f>IF(ISNA(MATCH(Transactions[[#This Row],[TransType]],TransTypes[TransType],0)),1,MATCH(Transactions[[#This Row],[TransType]],TransTypes[TransType],0))</f>
        <v>3</v>
      </c>
      <c r="M221" s="60">
        <f>IF( AND( INDEX(TransTypes[],Transactions[[#This Row],[TTR]],TT_COL_GLFlag)=1, INDEX(TransTypes[],Transactions[[#This Row],[TTR]],TT_COL_LONGORSHORT)="S" ),
      Transactions[[#This Row],[PL]],
      IF(INDEX(TransTypes[],Transactions[[#This Row],[TTR]],TT_COL_LONGORSHORT)="S",0,Transactions[[#This Row],[CalCashImpact]])
)</f>
        <v>1962.8534439099999</v>
      </c>
      <c r="N221" s="61">
        <f>IF(VLOOKUP(Transactions[[#This Row],[Symbol]],Symbols[],COLUMN(Symbols[Currency])-COLUMN(Symbols[])+1,FALSE)=
       VLOOKUP(Transactions[[#This Row],[Account]],Accounts[],COLUMN(Accounts[Currency])-COLUMN(Accounts[])+1,FALSE),
     Transactions[[#This Row],[OrigCashImpact]],
     0
)</f>
        <v>1962.8534439099999</v>
      </c>
      <c r="O22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24631.701843376148</v>
      </c>
      <c r="P22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v>
      </c>
      <c r="Q22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221" s="41">
        <f>ROW()</f>
        <v>221</v>
      </c>
      <c r="S2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-1872.9483870967742</v>
      </c>
      <c r="T2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56188.451612903227</v>
      </c>
      <c r="U22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310</v>
      </c>
      <c r="V221" s="65">
        <f>IF(INDEX(TransTypes[],Transactions[[#This Row],[TTR]],TT_COL_GLFlag)=1,Transactions[[#This Row],[CalCashImpact]]+Transactions[[#This Row],[CostImpact]],0)</f>
        <v>89.905056813225656</v>
      </c>
      <c r="W221" s="66">
        <f>Transactions[[#This Row],[Amount]]*INDEX(TransTypes[],Transactions[[#This Row],[TTR]],TT_COL_AmntSign)</f>
        <v>1962.8534439099999</v>
      </c>
      <c r="X221" s="66">
        <f>IF(INDEX(TransTypes[],Transactions[[#This Row],[TTR]],TT_COL_LONGORSHORT)="S",
      IF( OR(INDEX(TransTypes[],Transactions[[#This Row],[TTR]],TT_COL_GLFlag)=1, INDEX(TransTypes[], Transactions[[#This Row],[TTR]], TT_COL_ShareTransferFlag)=1),
            Transactions[[#This Row],[CostImpact]]*-1,
            Transactions[[#This Row],[CalCashImpact]]
      ),
     0
)</f>
        <v>0</v>
      </c>
      <c r="Y221" s="67" t="str">
        <f>VLOOKUP(Transactions[[#This Row],[Symbol]],Symbols[], COLUMN(Symbols[Currency])-COLUMN(Symbols[])+1,FALSE)</f>
        <v>USD</v>
      </c>
    </row>
    <row r="222" spans="1:25">
      <c r="A222" s="55" t="s">
        <v>65</v>
      </c>
      <c r="B222" s="56">
        <v>43075</v>
      </c>
      <c r="C222" s="55" t="s">
        <v>113</v>
      </c>
      <c r="D222" s="55"/>
      <c r="E222" s="55" t="s">
        <v>287</v>
      </c>
      <c r="F222" s="57">
        <v>100</v>
      </c>
      <c r="G222" s="58">
        <v>175.19</v>
      </c>
      <c r="H222" s="57">
        <v>1</v>
      </c>
      <c r="I222" s="57"/>
      <c r="J222" s="68">
        <v>17520</v>
      </c>
      <c r="K222" s="6"/>
      <c r="L222" s="20">
        <f>IF(ISNA(MATCH(Transactions[[#This Row],[TransType]],TransTypes[TransType],0)),1,MATCH(Transactions[[#This Row],[TransType]],TransTypes[TransType],0))</f>
        <v>2</v>
      </c>
      <c r="M222" s="60">
        <f>IF( AND( INDEX(TransTypes[],Transactions[[#This Row],[TTR]],TT_COL_GLFlag)=1, INDEX(TransTypes[],Transactions[[#This Row],[TTR]],TT_COL_LONGORSHORT)="S" ),
      Transactions[[#This Row],[PL]],
      IF(INDEX(TransTypes[],Transactions[[#This Row],[TTR]],TT_COL_LONGORSHORT)="S",0,Transactions[[#This Row],[CalCashImpact]])
)</f>
        <v>-17520</v>
      </c>
      <c r="N222" s="61">
        <f>IF(VLOOKUP(Transactions[[#This Row],[Symbol]],Symbols[],COLUMN(Symbols[Currency])-COLUMN(Symbols[])+1,FALSE)=
       VLOOKUP(Transactions[[#This Row],[Account]],Accounts[],COLUMN(Accounts[Currency])-COLUMN(Accounts[])+1,FALSE),
     Transactions[[#This Row],[OrigCashImpact]],
     0
)</f>
        <v>-17520</v>
      </c>
      <c r="O22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7111.7018433761477</v>
      </c>
      <c r="P22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22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702</v>
      </c>
      <c r="R222" s="41">
        <f>ROW()</f>
        <v>222</v>
      </c>
      <c r="S2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17520</v>
      </c>
      <c r="T2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125122.47</v>
      </c>
      <c r="U22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702</v>
      </c>
      <c r="V222" s="65">
        <f>IF(INDEX(TransTypes[],Transactions[[#This Row],[TTR]],TT_COL_GLFlag)=1,Transactions[[#This Row],[CalCashImpact]]+Transactions[[#This Row],[CostImpact]],0)</f>
        <v>0</v>
      </c>
      <c r="W222" s="66">
        <f>Transactions[[#This Row],[Amount]]*INDEX(TransTypes[],Transactions[[#This Row],[TTR]],TT_COL_AmntSign)</f>
        <v>-17520</v>
      </c>
      <c r="X222" s="66">
        <f>IF(INDEX(TransTypes[],Transactions[[#This Row],[TTR]],TT_COL_LONGORSHORT)="S",
      IF( OR(INDEX(TransTypes[],Transactions[[#This Row],[TTR]],TT_COL_GLFlag)=1, INDEX(TransTypes[], Transactions[[#This Row],[TTR]], TT_COL_ShareTransferFlag)=1),
            Transactions[[#This Row],[CostImpact]]*-1,
            Transactions[[#This Row],[CalCashImpact]]
      ),
     0
)</f>
        <v>0</v>
      </c>
      <c r="Y222" s="67" t="str">
        <f>VLOOKUP(Transactions[[#This Row],[Symbol]],Symbols[], COLUMN(Symbols[Currency])-COLUMN(Symbols[])+1,FALSE)</f>
        <v>USD</v>
      </c>
    </row>
    <row r="223" spans="1:25">
      <c r="A223" s="55" t="s">
        <v>65</v>
      </c>
      <c r="B223" s="56">
        <v>43075</v>
      </c>
      <c r="C223" s="55" t="s">
        <v>158</v>
      </c>
      <c r="D223" s="55"/>
      <c r="E223" s="55" t="s">
        <v>334</v>
      </c>
      <c r="F223" s="57">
        <v>1</v>
      </c>
      <c r="G223" s="58">
        <v>28375</v>
      </c>
      <c r="H223" s="57">
        <v>30</v>
      </c>
      <c r="I223" s="57"/>
      <c r="J223" s="68">
        <v>1418720</v>
      </c>
      <c r="K223" s="6"/>
      <c r="L223" s="20">
        <f>IF(ISNA(MATCH(Transactions[[#This Row],[TransType]],TransTypes[TransType],0)),1,MATCH(Transactions[[#This Row],[TransType]],TransTypes[TransType],0))</f>
        <v>19</v>
      </c>
      <c r="M223" s="60">
        <f>IF( AND( INDEX(TransTypes[],Transactions[[#This Row],[TTR]],TT_COL_GLFlag)=1, INDEX(TransTypes[],Transactions[[#This Row],[TTR]],TT_COL_LONGORSHORT)="S" ),
      Transactions[[#This Row],[PL]],
      IF(INDEX(TransTypes[],Transactions[[#This Row],[TTR]],TT_COL_LONGORSHORT)="S",0,Transactions[[#This Row],[CalCashImpact]])
)</f>
        <v>0</v>
      </c>
      <c r="N223" s="61">
        <f>IF(VLOOKUP(Transactions[[#This Row],[Symbol]],Symbols[],COLUMN(Symbols[Currency])-COLUMN(Symbols[])+1,FALSE)=
       VLOOKUP(Transactions[[#This Row],[Account]],Accounts[],COLUMN(Accounts[Currency])-COLUMN(Accounts[])+1,FALSE),
     Transactions[[#This Row],[OrigCashImpact]],
     0
)</f>
        <v>0</v>
      </c>
      <c r="O22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7111.7018433761477</v>
      </c>
      <c r="P22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22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223" s="41">
        <f>ROW()</f>
        <v>223</v>
      </c>
      <c r="S2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-1418720</v>
      </c>
      <c r="T2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-1418720</v>
      </c>
      <c r="U22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223" s="65">
        <f>IF(INDEX(TransTypes[],Transactions[[#This Row],[TTR]],TT_COL_GLFlag)=1,Transactions[[#This Row],[CalCashImpact]]+Transactions[[#This Row],[CostImpact]],0)</f>
        <v>0</v>
      </c>
      <c r="W223" s="66">
        <f>Transactions[[#This Row],[Amount]]*INDEX(TransTypes[],Transactions[[#This Row],[TTR]],TT_COL_AmntSign)</f>
        <v>1418720</v>
      </c>
      <c r="X223" s="66">
        <f>IF(INDEX(TransTypes[],Transactions[[#This Row],[TTR]],TT_COL_LONGORSHORT)="S",
      IF( OR(INDEX(TransTypes[],Transactions[[#This Row],[TTR]],TT_COL_GLFlag)=1, INDEX(TransTypes[], Transactions[[#This Row],[TTR]], TT_COL_ShareTransferFlag)=1),
            Transactions[[#This Row],[CostImpact]]*-1,
            Transactions[[#This Row],[CalCashImpact]]
      ),
     0
)</f>
        <v>1418720</v>
      </c>
      <c r="Y223" s="67" t="str">
        <f>VLOOKUP(Transactions[[#This Row],[Symbol]],Symbols[], COLUMN(Symbols[Currency])-COLUMN(Symbols[])+1,FALSE)</f>
        <v>HKD</v>
      </c>
    </row>
    <row r="224" spans="1:25">
      <c r="A224" s="55" t="s">
        <v>65</v>
      </c>
      <c r="B224" s="56">
        <v>43076</v>
      </c>
      <c r="C224" s="55" t="s">
        <v>160</v>
      </c>
      <c r="D224" s="55"/>
      <c r="E224" s="55" t="s">
        <v>334</v>
      </c>
      <c r="F224" s="57">
        <v>1</v>
      </c>
      <c r="G224" s="58">
        <v>28333</v>
      </c>
      <c r="H224" s="57">
        <v>30</v>
      </c>
      <c r="I224" s="57"/>
      <c r="J224" s="68">
        <v>1416680</v>
      </c>
      <c r="K224" s="6"/>
      <c r="L224" s="20">
        <f>IF(ISNA(MATCH(Transactions[[#This Row],[TransType]],TransTypes[TransType],0)),1,MATCH(Transactions[[#This Row],[TransType]],TransTypes[TransType],0))</f>
        <v>20</v>
      </c>
      <c r="M224" s="60">
        <f>IF( AND( INDEX(TransTypes[],Transactions[[#This Row],[TTR]],TT_COL_GLFlag)=1, INDEX(TransTypes[],Transactions[[#This Row],[TTR]],TT_COL_LONGORSHORT)="S" ),
      Transactions[[#This Row],[PL]],
      IF(INDEX(TransTypes[],Transactions[[#This Row],[TTR]],TT_COL_LONGORSHORT)="S",0,Transactions[[#This Row],[CalCashImpact]])
)</f>
        <v>2040</v>
      </c>
      <c r="N224" s="61">
        <f>IF(VLOOKUP(Transactions[[#This Row],[Symbol]],Symbols[],COLUMN(Symbols[Currency])-COLUMN(Symbols[])+1,FALSE)=
       VLOOKUP(Transactions[[#This Row],[Account]],Accounts[],COLUMN(Accounts[Currency])-COLUMN(Accounts[])+1,FALSE),
     Transactions[[#This Row],[OrigCashImpact]],
     0
)</f>
        <v>0</v>
      </c>
      <c r="O22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7111.7018433761523</v>
      </c>
      <c r="P22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22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24" s="41">
        <f>ROW()</f>
        <v>224</v>
      </c>
      <c r="S2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1418720</v>
      </c>
      <c r="T2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2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224" s="65">
        <f>IF(INDEX(TransTypes[],Transactions[[#This Row],[TTR]],TT_COL_GLFlag)=1,Transactions[[#This Row],[CalCashImpact]]+Transactions[[#This Row],[CostImpact]],0)</f>
        <v>2040</v>
      </c>
      <c r="W224" s="66">
        <f>Transactions[[#This Row],[Amount]]*INDEX(TransTypes[],Transactions[[#This Row],[TTR]],TT_COL_AmntSign)</f>
        <v>-1416680</v>
      </c>
      <c r="X224" s="66">
        <f>IF(INDEX(TransTypes[],Transactions[[#This Row],[TTR]],TT_COL_LONGORSHORT)="S",
      IF( OR(INDEX(TransTypes[],Transactions[[#This Row],[TTR]],TT_COL_GLFlag)=1, INDEX(TransTypes[], Transactions[[#This Row],[TTR]], TT_COL_ShareTransferFlag)=1),
            Transactions[[#This Row],[CostImpact]]*-1,
            Transactions[[#This Row],[CalCashImpact]]
      ),
     0
)</f>
        <v>-1418720</v>
      </c>
      <c r="Y224" s="67" t="str">
        <f>VLOOKUP(Transactions[[#This Row],[Symbol]],Symbols[], COLUMN(Symbols[Currency])-COLUMN(Symbols[])+1,FALSE)</f>
        <v>HKD</v>
      </c>
    </row>
    <row r="225" spans="1:25">
      <c r="A225" s="55" t="s">
        <v>65</v>
      </c>
      <c r="B225" s="56">
        <v>43076</v>
      </c>
      <c r="C225" s="55" t="s">
        <v>118</v>
      </c>
      <c r="D225" s="55"/>
      <c r="E225" s="55" t="s">
        <v>285</v>
      </c>
      <c r="F225" s="57">
        <v>600</v>
      </c>
      <c r="G225" s="58"/>
      <c r="H225" s="57"/>
      <c r="I225" s="57"/>
      <c r="J225" s="68">
        <v>269.38</v>
      </c>
      <c r="K225" s="6" t="s">
        <v>390</v>
      </c>
      <c r="L225" s="20">
        <f>IF(ISNA(MATCH(Transactions[[#This Row],[TransType]],TransTypes[TransType],0)),1,MATCH(Transactions[[#This Row],[TransType]],TransTypes[TransType],0))</f>
        <v>4</v>
      </c>
      <c r="M225" s="60">
        <f>IF( AND( INDEX(TransTypes[],Transactions[[#This Row],[TTR]],TT_COL_GLFlag)=1, INDEX(TransTypes[],Transactions[[#This Row],[TTR]],TT_COL_LONGORSHORT)="S" ),
      Transactions[[#This Row],[PL]],
      IF(INDEX(TransTypes[],Transactions[[#This Row],[TTR]],TT_COL_LONGORSHORT)="S",0,Transactions[[#This Row],[CalCashImpact]])
)</f>
        <v>269.38</v>
      </c>
      <c r="N225" s="61">
        <f>IF(VLOOKUP(Transactions[[#This Row],[Symbol]],Symbols[],COLUMN(Symbols[Currency])-COLUMN(Symbols[])+1,FALSE)=
       VLOOKUP(Transactions[[#This Row],[Account]],Accounts[],COLUMN(Accounts[Currency])-COLUMN(Accounts[])+1,FALSE),
     Transactions[[#This Row],[OrigCashImpact]],
     0
)</f>
        <v>269.38</v>
      </c>
      <c r="O22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7381.0818433761524</v>
      </c>
      <c r="P22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2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v>
      </c>
      <c r="R225" s="41">
        <f>ROW()</f>
        <v>225</v>
      </c>
      <c r="S2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68756.318181818177</v>
      </c>
      <c r="U22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v>
      </c>
      <c r="V225" s="65">
        <f>IF(INDEX(TransTypes[],Transactions[[#This Row],[TTR]],TT_COL_GLFlag)=1,Transactions[[#This Row],[CalCashImpact]]+Transactions[[#This Row],[CostImpact]],0)</f>
        <v>0</v>
      </c>
      <c r="W225" s="66">
        <f>Transactions[[#This Row],[Amount]]*INDEX(TransTypes[],Transactions[[#This Row],[TTR]],TT_COL_AmntSign)</f>
        <v>269.38</v>
      </c>
      <c r="X225" s="66">
        <f>IF(INDEX(TransTypes[],Transactions[[#This Row],[TTR]],TT_COL_LONGORSHORT)="S",
      IF( OR(INDEX(TransTypes[],Transactions[[#This Row],[TTR]],TT_COL_GLFlag)=1, INDEX(TransTypes[], Transactions[[#This Row],[TTR]], TT_COL_ShareTransferFlag)=1),
            Transactions[[#This Row],[CostImpact]]*-1,
            Transactions[[#This Row],[CalCashImpact]]
      ),
     0
)</f>
        <v>0</v>
      </c>
      <c r="Y225" s="67" t="str">
        <f>VLOOKUP(Transactions[[#This Row],[Symbol]],Symbols[], COLUMN(Symbols[Currency])-COLUMN(Symbols[])+1,FALSE)</f>
        <v>USD</v>
      </c>
    </row>
    <row r="226" spans="1:25">
      <c r="A226" s="55" t="s">
        <v>65</v>
      </c>
      <c r="B226" s="56">
        <v>43076</v>
      </c>
      <c r="C226" s="55" t="s">
        <v>118</v>
      </c>
      <c r="D226" s="55"/>
      <c r="E226" s="55" t="s">
        <v>20</v>
      </c>
      <c r="F226" s="57">
        <v>2544</v>
      </c>
      <c r="G226" s="58"/>
      <c r="H226" s="57"/>
      <c r="I226" s="57"/>
      <c r="J226" s="68">
        <v>647.97</v>
      </c>
      <c r="K226" s="6" t="s">
        <v>391</v>
      </c>
      <c r="L226" s="20">
        <f>IF(ISNA(MATCH(Transactions[[#This Row],[TransType]],TransTypes[TransType],0)),1,MATCH(Transactions[[#This Row],[TransType]],TransTypes[TransType],0))</f>
        <v>4</v>
      </c>
      <c r="M226" s="60">
        <f>IF( AND( INDEX(TransTypes[],Transactions[[#This Row],[TTR]],TT_COL_GLFlag)=1, INDEX(TransTypes[],Transactions[[#This Row],[TTR]],TT_COL_LONGORSHORT)="S" ),
      Transactions[[#This Row],[PL]],
      IF(INDEX(TransTypes[],Transactions[[#This Row],[TTR]],TT_COL_LONGORSHORT)="S",0,Transactions[[#This Row],[CalCashImpact]])
)</f>
        <v>647.97</v>
      </c>
      <c r="N226" s="61">
        <f>IF(VLOOKUP(Transactions[[#This Row],[Symbol]],Symbols[],COLUMN(Symbols[Currency])-COLUMN(Symbols[])+1,FALSE)=
       VLOOKUP(Transactions[[#This Row],[Account]],Accounts[],COLUMN(Accounts[Currency])-COLUMN(Accounts[])+1,FALSE),
     Transactions[[#This Row],[OrigCashImpact]],
     0
)</f>
        <v>647.97</v>
      </c>
      <c r="O22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8029.0518433761526</v>
      </c>
      <c r="P22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2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2544</v>
      </c>
      <c r="R226" s="41">
        <f>ROW()</f>
        <v>226</v>
      </c>
      <c r="S2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318500.1975111111</v>
      </c>
      <c r="U22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2544</v>
      </c>
      <c r="V226" s="65">
        <f>IF(INDEX(TransTypes[],Transactions[[#This Row],[TTR]],TT_COL_GLFlag)=1,Transactions[[#This Row],[CalCashImpact]]+Transactions[[#This Row],[CostImpact]],0)</f>
        <v>0</v>
      </c>
      <c r="W226" s="66">
        <f>Transactions[[#This Row],[Amount]]*INDEX(TransTypes[],Transactions[[#This Row],[TTR]],TT_COL_AmntSign)</f>
        <v>647.97</v>
      </c>
      <c r="X226" s="66">
        <f>IF(INDEX(TransTypes[],Transactions[[#This Row],[TTR]],TT_COL_LONGORSHORT)="S",
      IF( OR(INDEX(TransTypes[],Transactions[[#This Row],[TTR]],TT_COL_GLFlag)=1, INDEX(TransTypes[], Transactions[[#This Row],[TTR]], TT_COL_ShareTransferFlag)=1),
            Transactions[[#This Row],[CostImpact]]*-1,
            Transactions[[#This Row],[CalCashImpact]]
      ),
     0
)</f>
        <v>0</v>
      </c>
      <c r="Y226" s="67" t="str">
        <f>VLOOKUP(Transactions[[#This Row],[Symbol]],Symbols[], COLUMN(Symbols[Currency])-COLUMN(Symbols[])+1,FALSE)</f>
        <v>USD</v>
      </c>
    </row>
    <row r="227" spans="1:25">
      <c r="A227" s="55" t="s">
        <v>65</v>
      </c>
      <c r="B227" s="56">
        <v>43076</v>
      </c>
      <c r="C227" s="55" t="s">
        <v>123</v>
      </c>
      <c r="D227" s="55"/>
      <c r="E227" s="55" t="s">
        <v>285</v>
      </c>
      <c r="F227" s="57"/>
      <c r="G227" s="58"/>
      <c r="H227" s="57"/>
      <c r="I227" s="57"/>
      <c r="J227" s="68">
        <v>40.409999999999997</v>
      </c>
      <c r="K227" s="6" t="s">
        <v>392</v>
      </c>
      <c r="L227" s="20">
        <f>IF(ISNA(MATCH(Transactions[[#This Row],[TransType]],TransTypes[TransType],0)),1,MATCH(Transactions[[#This Row],[TransType]],TransTypes[TransType],0))</f>
        <v>7</v>
      </c>
      <c r="M227" s="60">
        <f>IF( AND( INDEX(TransTypes[],Transactions[[#This Row],[TTR]],TT_COL_GLFlag)=1, INDEX(TransTypes[],Transactions[[#This Row],[TTR]],TT_COL_LONGORSHORT)="S" ),
      Transactions[[#This Row],[PL]],
      IF(INDEX(TransTypes[],Transactions[[#This Row],[TTR]],TT_COL_LONGORSHORT)="S",0,Transactions[[#This Row],[CalCashImpact]])
)</f>
        <v>-40.409999999999997</v>
      </c>
      <c r="N227" s="61">
        <f>IF(VLOOKUP(Transactions[[#This Row],[Symbol]],Symbols[],COLUMN(Symbols[Currency])-COLUMN(Symbols[])+1,FALSE)=
       VLOOKUP(Transactions[[#This Row],[Account]],Accounts[],COLUMN(Accounts[Currency])-COLUMN(Accounts[])+1,FALSE),
     Transactions[[#This Row],[OrigCashImpact]],
     0
)</f>
        <v>-40.409999999999997</v>
      </c>
      <c r="O22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7988.6418433761519</v>
      </c>
      <c r="P22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2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v>
      </c>
      <c r="R227" s="41">
        <f>ROW()</f>
        <v>227</v>
      </c>
      <c r="S2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68756.318181818177</v>
      </c>
      <c r="U22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v>
      </c>
      <c r="V227" s="65">
        <f>IF(INDEX(TransTypes[],Transactions[[#This Row],[TTR]],TT_COL_GLFlag)=1,Transactions[[#This Row],[CalCashImpact]]+Transactions[[#This Row],[CostImpact]],0)</f>
        <v>0</v>
      </c>
      <c r="W227" s="66">
        <f>Transactions[[#This Row],[Amount]]*INDEX(TransTypes[],Transactions[[#This Row],[TTR]],TT_COL_AmntSign)</f>
        <v>-40.409999999999997</v>
      </c>
      <c r="X227" s="66">
        <f>IF(INDEX(TransTypes[],Transactions[[#This Row],[TTR]],TT_COL_LONGORSHORT)="S",
      IF( OR(INDEX(TransTypes[],Transactions[[#This Row],[TTR]],TT_COL_GLFlag)=1, INDEX(TransTypes[], Transactions[[#This Row],[TTR]], TT_COL_ShareTransferFlag)=1),
            Transactions[[#This Row],[CostImpact]]*-1,
            Transactions[[#This Row],[CalCashImpact]]
      ),
     0
)</f>
        <v>0</v>
      </c>
      <c r="Y227" s="67" t="str">
        <f>VLOOKUP(Transactions[[#This Row],[Symbol]],Symbols[], COLUMN(Symbols[Currency])-COLUMN(Symbols[])+1,FALSE)</f>
        <v>USD</v>
      </c>
    </row>
    <row r="228" spans="1:25">
      <c r="A228" s="55" t="s">
        <v>65</v>
      </c>
      <c r="B228" s="56">
        <v>43076</v>
      </c>
      <c r="C228" s="55" t="s">
        <v>123</v>
      </c>
      <c r="D228" s="55"/>
      <c r="E228" s="55" t="s">
        <v>20</v>
      </c>
      <c r="F228" s="57"/>
      <c r="G228" s="58"/>
      <c r="H228" s="57"/>
      <c r="I228" s="57"/>
      <c r="J228" s="68">
        <v>97.2</v>
      </c>
      <c r="K228" s="6" t="s">
        <v>393</v>
      </c>
      <c r="L228" s="20">
        <f>IF(ISNA(MATCH(Transactions[[#This Row],[TransType]],TransTypes[TransType],0)),1,MATCH(Transactions[[#This Row],[TransType]],TransTypes[TransType],0))</f>
        <v>7</v>
      </c>
      <c r="M228" s="60">
        <f>IF( AND( INDEX(TransTypes[],Transactions[[#This Row],[TTR]],TT_COL_GLFlag)=1, INDEX(TransTypes[],Transactions[[#This Row],[TTR]],TT_COL_LONGORSHORT)="S" ),
      Transactions[[#This Row],[PL]],
      IF(INDEX(TransTypes[],Transactions[[#This Row],[TTR]],TT_COL_LONGORSHORT)="S",0,Transactions[[#This Row],[CalCashImpact]])
)</f>
        <v>-97.2</v>
      </c>
      <c r="N228" s="61">
        <f>IF(VLOOKUP(Transactions[[#This Row],[Symbol]],Symbols[],COLUMN(Symbols[Currency])-COLUMN(Symbols[])+1,FALSE)=
       VLOOKUP(Transactions[[#This Row],[Account]],Accounts[],COLUMN(Accounts[Currency])-COLUMN(Accounts[])+1,FALSE),
     Transactions[[#This Row],[OrigCashImpact]],
     0
)</f>
        <v>-97.2</v>
      </c>
      <c r="O22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7891.4418433761521</v>
      </c>
      <c r="P22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2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2544</v>
      </c>
      <c r="R228" s="41">
        <f>ROW()</f>
        <v>228</v>
      </c>
      <c r="S2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318500.1975111111</v>
      </c>
      <c r="U22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2544</v>
      </c>
      <c r="V228" s="65">
        <f>IF(INDEX(TransTypes[],Transactions[[#This Row],[TTR]],TT_COL_GLFlag)=1,Transactions[[#This Row],[CalCashImpact]]+Transactions[[#This Row],[CostImpact]],0)</f>
        <v>0</v>
      </c>
      <c r="W228" s="66">
        <f>Transactions[[#This Row],[Amount]]*INDEX(TransTypes[],Transactions[[#This Row],[TTR]],TT_COL_AmntSign)</f>
        <v>-97.2</v>
      </c>
      <c r="X228" s="66">
        <f>IF(INDEX(TransTypes[],Transactions[[#This Row],[TTR]],TT_COL_LONGORSHORT)="S",
      IF( OR(INDEX(TransTypes[],Transactions[[#This Row],[TTR]],TT_COL_GLFlag)=1, INDEX(TransTypes[], Transactions[[#This Row],[TTR]], TT_COL_ShareTransferFlag)=1),
            Transactions[[#This Row],[CostImpact]]*-1,
            Transactions[[#This Row],[CalCashImpact]]
      ),
     0
)</f>
        <v>0</v>
      </c>
      <c r="Y228" s="67" t="str">
        <f>VLOOKUP(Transactions[[#This Row],[Symbol]],Symbols[], COLUMN(Symbols[Currency])-COLUMN(Symbols[])+1,FALSE)</f>
        <v>USD</v>
      </c>
    </row>
    <row r="229" spans="1:25">
      <c r="A229" s="55" t="s">
        <v>65</v>
      </c>
      <c r="B229" s="56">
        <v>43077</v>
      </c>
      <c r="C229" s="55" t="s">
        <v>113</v>
      </c>
      <c r="D229" s="55"/>
      <c r="E229" s="55" t="s">
        <v>311</v>
      </c>
      <c r="F229" s="57">
        <v>1000</v>
      </c>
      <c r="G229" s="58">
        <v>24.419920000000001</v>
      </c>
      <c r="H229" s="57">
        <v>4.0999999999999996</v>
      </c>
      <c r="I229" s="57"/>
      <c r="J229" s="68">
        <v>24424.019999999899</v>
      </c>
      <c r="K229" s="6"/>
      <c r="L229" s="20">
        <f>IF(ISNA(MATCH(Transactions[[#This Row],[TransType]],TransTypes[TransType],0)),1,MATCH(Transactions[[#This Row],[TransType]],TransTypes[TransType],0))</f>
        <v>2</v>
      </c>
      <c r="M229" s="60">
        <f>IF( AND( INDEX(TransTypes[],Transactions[[#This Row],[TTR]],TT_COL_GLFlag)=1, INDEX(TransTypes[],Transactions[[#This Row],[TTR]],TT_COL_LONGORSHORT)="S" ),
      Transactions[[#This Row],[PL]],
      IF(INDEX(TransTypes[],Transactions[[#This Row],[TTR]],TT_COL_LONGORSHORT)="S",0,Transactions[[#This Row],[CalCashImpact]])
)</f>
        <v>-24424.019999999899</v>
      </c>
      <c r="N229" s="61">
        <f>IF(VLOOKUP(Transactions[[#This Row],[Symbol]],Symbols[],COLUMN(Symbols[Currency])-COLUMN(Symbols[])+1,FALSE)=
       VLOOKUP(Transactions[[#This Row],[Account]],Accounts[],COLUMN(Accounts[Currency])-COLUMN(Accounts[])+1,FALSE),
     Transactions[[#This Row],[OrigCashImpact]],
     0
)</f>
        <v>-24424.019999999899</v>
      </c>
      <c r="O22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-16435.378156623745</v>
      </c>
      <c r="P22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22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229" s="41">
        <f>ROW()</f>
        <v>229</v>
      </c>
      <c r="S2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24424.019999999899</v>
      </c>
      <c r="T2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153288.24739999988</v>
      </c>
      <c r="U22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229" s="65">
        <f>IF(INDEX(TransTypes[],Transactions[[#This Row],[TTR]],TT_COL_GLFlag)=1,Transactions[[#This Row],[CalCashImpact]]+Transactions[[#This Row],[CostImpact]],0)</f>
        <v>0</v>
      </c>
      <c r="W229" s="66">
        <f>Transactions[[#This Row],[Amount]]*INDEX(TransTypes[],Transactions[[#This Row],[TTR]],TT_COL_AmntSign)</f>
        <v>-24424.019999999899</v>
      </c>
      <c r="X229" s="66">
        <f>IF(INDEX(TransTypes[],Transactions[[#This Row],[TTR]],TT_COL_LONGORSHORT)="S",
      IF( OR(INDEX(TransTypes[],Transactions[[#This Row],[TTR]],TT_COL_GLFlag)=1, INDEX(TransTypes[], Transactions[[#This Row],[TTR]], TT_COL_ShareTransferFlag)=1),
            Transactions[[#This Row],[CostImpact]]*-1,
            Transactions[[#This Row],[CalCashImpact]]
      ),
     0
)</f>
        <v>0</v>
      </c>
      <c r="Y229" s="67" t="str">
        <f>VLOOKUP(Transactions[[#This Row],[Symbol]],Symbols[], COLUMN(Symbols[Currency])-COLUMN(Symbols[])+1,FALSE)</f>
        <v>USD</v>
      </c>
    </row>
    <row r="230" spans="1:25">
      <c r="A230" s="55" t="s">
        <v>65</v>
      </c>
      <c r="B230" s="56">
        <v>43077</v>
      </c>
      <c r="C230" s="55" t="s">
        <v>160</v>
      </c>
      <c r="D230" s="55"/>
      <c r="E230" s="55" t="s">
        <v>329</v>
      </c>
      <c r="F230" s="57">
        <v>3</v>
      </c>
      <c r="G230" s="58">
        <v>1.75</v>
      </c>
      <c r="H230" s="57">
        <v>2.3744999999999998</v>
      </c>
      <c r="I230" s="57"/>
      <c r="J230" s="68">
        <v>527.37450000000001</v>
      </c>
      <c r="K230" s="6"/>
      <c r="L230" s="20">
        <f>IF(ISNA(MATCH(Transactions[[#This Row],[TransType]],TransTypes[TransType],0)),1,MATCH(Transactions[[#This Row],[TransType]],TransTypes[TransType],0))</f>
        <v>20</v>
      </c>
      <c r="M230" s="60">
        <f>IF( AND( INDEX(TransTypes[],Transactions[[#This Row],[TTR]],TT_COL_GLFlag)=1, INDEX(TransTypes[],Transactions[[#This Row],[TTR]],TT_COL_LONGORSHORT)="S" ),
      Transactions[[#This Row],[PL]],
      IF(INDEX(TransTypes[],Transactions[[#This Row],[TTR]],TT_COL_LONGORSHORT)="S",0,Transactions[[#This Row],[CalCashImpact]])
)</f>
        <v>185.12850660000004</v>
      </c>
      <c r="N230" s="61">
        <f>IF(VLOOKUP(Transactions[[#This Row],[Symbol]],Symbols[],COLUMN(Symbols[Currency])-COLUMN(Symbols[])+1,FALSE)=
       VLOOKUP(Transactions[[#This Row],[Account]],Accounts[],COLUMN(Accounts[Currency])-COLUMN(Accounts[])+1,FALSE),
     Transactions[[#This Row],[OrigCashImpact]],
     0
)</f>
        <v>185.12850660000004</v>
      </c>
      <c r="O23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-16250.249650023743</v>
      </c>
      <c r="P23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23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30" s="41">
        <f>ROW()</f>
        <v>230</v>
      </c>
      <c r="S2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712.50300660000005</v>
      </c>
      <c r="T2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3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230" s="65">
        <f>IF(INDEX(TransTypes[],Transactions[[#This Row],[TTR]],TT_COL_GLFlag)=1,Transactions[[#This Row],[CalCashImpact]]+Transactions[[#This Row],[CostImpact]],0)</f>
        <v>185.12850660000004</v>
      </c>
      <c r="W230" s="66">
        <f>Transactions[[#This Row],[Amount]]*INDEX(TransTypes[],Transactions[[#This Row],[TTR]],TT_COL_AmntSign)</f>
        <v>-527.37450000000001</v>
      </c>
      <c r="X230" s="66">
        <f>IF(INDEX(TransTypes[],Transactions[[#This Row],[TTR]],TT_COL_LONGORSHORT)="S",
      IF( OR(INDEX(TransTypes[],Transactions[[#This Row],[TTR]],TT_COL_GLFlag)=1, INDEX(TransTypes[], Transactions[[#This Row],[TTR]], TT_COL_ShareTransferFlag)=1),
            Transactions[[#This Row],[CostImpact]]*-1,
            Transactions[[#This Row],[CalCashImpact]]
      ),
     0
)</f>
        <v>-712.50300660000005</v>
      </c>
      <c r="Y230" s="67" t="str">
        <f>VLOOKUP(Transactions[[#This Row],[Symbol]],Symbols[], COLUMN(Symbols[Currency])-COLUMN(Symbols[])+1,FALSE)</f>
        <v>USD</v>
      </c>
    </row>
    <row r="231" spans="1:25">
      <c r="A231" s="55" t="s">
        <v>65</v>
      </c>
      <c r="B231" s="56">
        <v>43080</v>
      </c>
      <c r="C231" s="55" t="s">
        <v>113</v>
      </c>
      <c r="D231" s="55"/>
      <c r="E231" s="55" t="s">
        <v>285</v>
      </c>
      <c r="F231" s="57">
        <v>900</v>
      </c>
      <c r="G231" s="58">
        <v>115.59</v>
      </c>
      <c r="H231" s="57">
        <v>4.5</v>
      </c>
      <c r="I231" s="57"/>
      <c r="J231" s="68">
        <v>104035.5</v>
      </c>
      <c r="K231" s="6"/>
      <c r="L231" s="20">
        <f>IF(ISNA(MATCH(Transactions[[#This Row],[TransType]],TransTypes[TransType],0)),1,MATCH(Transactions[[#This Row],[TransType]],TransTypes[TransType],0))</f>
        <v>2</v>
      </c>
      <c r="M231" s="60">
        <f>IF( AND( INDEX(TransTypes[],Transactions[[#This Row],[TTR]],TT_COL_GLFlag)=1, INDEX(TransTypes[],Transactions[[#This Row],[TTR]],TT_COL_LONGORSHORT)="S" ),
      Transactions[[#This Row],[PL]],
      IF(INDEX(TransTypes[],Transactions[[#This Row],[TTR]],TT_COL_LONGORSHORT)="S",0,Transactions[[#This Row],[CalCashImpact]])
)</f>
        <v>-104035.5</v>
      </c>
      <c r="N231" s="61">
        <f>IF(VLOOKUP(Transactions[[#This Row],[Symbol]],Symbols[],COLUMN(Symbols[Currency])-COLUMN(Symbols[])+1,FALSE)=
       VLOOKUP(Transactions[[#This Row],[Account]],Accounts[],COLUMN(Accounts[Currency])-COLUMN(Accounts[])+1,FALSE),
     Transactions[[#This Row],[OrigCashImpact]],
     0
)</f>
        <v>-104035.5</v>
      </c>
      <c r="O23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-120285.74965002375</v>
      </c>
      <c r="P23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900</v>
      </c>
      <c r="Q23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231" s="41">
        <f>ROW()</f>
        <v>231</v>
      </c>
      <c r="S2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104035.5</v>
      </c>
      <c r="T2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172791.81818181818</v>
      </c>
      <c r="U23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231" s="65">
        <f>IF(INDEX(TransTypes[],Transactions[[#This Row],[TTR]],TT_COL_GLFlag)=1,Transactions[[#This Row],[CalCashImpact]]+Transactions[[#This Row],[CostImpact]],0)</f>
        <v>0</v>
      </c>
      <c r="W231" s="66">
        <f>Transactions[[#This Row],[Amount]]*INDEX(TransTypes[],Transactions[[#This Row],[TTR]],TT_COL_AmntSign)</f>
        <v>-104035.5</v>
      </c>
      <c r="X231" s="66">
        <f>IF(INDEX(TransTypes[],Transactions[[#This Row],[TTR]],TT_COL_LONGORSHORT)="S",
      IF( OR(INDEX(TransTypes[],Transactions[[#This Row],[TTR]],TT_COL_GLFlag)=1, INDEX(TransTypes[], Transactions[[#This Row],[TTR]], TT_COL_ShareTransferFlag)=1),
            Transactions[[#This Row],[CostImpact]]*-1,
            Transactions[[#This Row],[CalCashImpact]]
      ),
     0
)</f>
        <v>0</v>
      </c>
      <c r="Y231" s="67" t="str">
        <f>VLOOKUP(Transactions[[#This Row],[Symbol]],Symbols[], COLUMN(Symbols[Currency])-COLUMN(Symbols[])+1,FALSE)</f>
        <v>USD</v>
      </c>
    </row>
    <row r="232" spans="1:25">
      <c r="A232" s="55" t="s">
        <v>65</v>
      </c>
      <c r="B232" s="56">
        <v>43081</v>
      </c>
      <c r="C232" s="55" t="s">
        <v>113</v>
      </c>
      <c r="D232" s="55"/>
      <c r="E232" s="90" t="s">
        <v>464</v>
      </c>
      <c r="F232" s="57">
        <v>100</v>
      </c>
      <c r="G232" s="58">
        <v>653.85</v>
      </c>
      <c r="H232" s="57">
        <v>59.415349499999998</v>
      </c>
      <c r="I232" s="57"/>
      <c r="J232" s="68">
        <v>65444.415349499999</v>
      </c>
      <c r="K232" s="6"/>
      <c r="L232" s="20">
        <f>IF(ISNA(MATCH(Transactions[[#This Row],[TransType]],TransTypes[TransType],0)),1,MATCH(Transactions[[#This Row],[TransType]],TransTypes[TransType],0))</f>
        <v>2</v>
      </c>
      <c r="M232" s="60">
        <f>IF( AND( INDEX(TransTypes[],Transactions[[#This Row],[TTR]],TT_COL_GLFlag)=1, INDEX(TransTypes[],Transactions[[#This Row],[TTR]],TT_COL_LONGORSHORT)="S" ),
      Transactions[[#This Row],[PL]],
      IF(INDEX(TransTypes[],Transactions[[#This Row],[TTR]],TT_COL_LONGORSHORT)="S",0,Transactions[[#This Row],[CalCashImpact]])
)</f>
        <v>-65444.415349499999</v>
      </c>
      <c r="N232" s="61">
        <f>IF(VLOOKUP(Transactions[[#This Row],[Symbol]],Symbols[],COLUMN(Symbols[Currency])-COLUMN(Symbols[])+1,FALSE)=
       VLOOKUP(Transactions[[#This Row],[Account]],Accounts[],COLUMN(Accounts[Currency])-COLUMN(Accounts[])+1,FALSE),
     Transactions[[#This Row],[OrigCashImpact]],
     0
)</f>
        <v>0</v>
      </c>
      <c r="O23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-120285.74965002375</v>
      </c>
      <c r="P23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23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v>
      </c>
      <c r="R232" s="41">
        <f>ROW()</f>
        <v>232</v>
      </c>
      <c r="S2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65444.415349499999</v>
      </c>
      <c r="T2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65444.415349499999</v>
      </c>
      <c r="U23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v>
      </c>
      <c r="V232" s="65">
        <f>IF(INDEX(TransTypes[],Transactions[[#This Row],[TTR]],TT_COL_GLFlag)=1,Transactions[[#This Row],[CalCashImpact]]+Transactions[[#This Row],[CostImpact]],0)</f>
        <v>0</v>
      </c>
      <c r="W232" s="66">
        <f>Transactions[[#This Row],[Amount]]*INDEX(TransTypes[],Transactions[[#This Row],[TTR]],TT_COL_AmntSign)</f>
        <v>-65444.415349499999</v>
      </c>
      <c r="X232" s="66">
        <f>IF(INDEX(TransTypes[],Transactions[[#This Row],[TTR]],TT_COL_LONGORSHORT)="S",
      IF( OR(INDEX(TransTypes[],Transactions[[#This Row],[TTR]],TT_COL_GLFlag)=1, INDEX(TransTypes[], Transactions[[#This Row],[TTR]], TT_COL_ShareTransferFlag)=1),
            Transactions[[#This Row],[CostImpact]]*-1,
            Transactions[[#This Row],[CalCashImpact]]
      ),
     0
)</f>
        <v>0</v>
      </c>
      <c r="Y232" s="67" t="str">
        <f>VLOOKUP(Transactions[[#This Row],[Symbol]],Symbols[], COLUMN(Symbols[Currency])-COLUMN(Symbols[])+1,FALSE)</f>
        <v>CNY</v>
      </c>
    </row>
    <row r="233" spans="1:25">
      <c r="A233" s="55" t="s">
        <v>65</v>
      </c>
      <c r="B233" s="56">
        <v>43081</v>
      </c>
      <c r="C233" s="55" t="s">
        <v>115</v>
      </c>
      <c r="D233" s="55"/>
      <c r="E233" s="90" t="s">
        <v>464</v>
      </c>
      <c r="F233" s="57">
        <v>100</v>
      </c>
      <c r="G233" s="58">
        <v>655.19000000000005</v>
      </c>
      <c r="H233" s="57">
        <v>190.57511529999999</v>
      </c>
      <c r="I233" s="57"/>
      <c r="J233" s="68">
        <v>65328.424884699998</v>
      </c>
      <c r="K233" s="6"/>
      <c r="L233" s="20">
        <f>IF(ISNA(MATCH(Transactions[[#This Row],[TransType]],TransTypes[TransType],0)),1,MATCH(Transactions[[#This Row],[TransType]],TransTypes[TransType],0))</f>
        <v>3</v>
      </c>
      <c r="M233" s="60">
        <f>IF( AND( INDEX(TransTypes[],Transactions[[#This Row],[TTR]],TT_COL_GLFlag)=1, INDEX(TransTypes[],Transactions[[#This Row],[TTR]],TT_COL_LONGORSHORT)="S" ),
      Transactions[[#This Row],[PL]],
      IF(INDEX(TransTypes[],Transactions[[#This Row],[TTR]],TT_COL_LONGORSHORT)="S",0,Transactions[[#This Row],[CalCashImpact]])
)</f>
        <v>65328.424884699998</v>
      </c>
      <c r="N233" s="61">
        <f>IF(VLOOKUP(Transactions[[#This Row],[Symbol]],Symbols[],COLUMN(Symbols[Currency])-COLUMN(Symbols[])+1,FALSE)=
       VLOOKUP(Transactions[[#This Row],[Account]],Accounts[],COLUMN(Accounts[Currency])-COLUMN(Accounts[])+1,FALSE),
     Transactions[[#This Row],[OrigCashImpact]],
     0
)</f>
        <v>0</v>
      </c>
      <c r="O23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-120285.74965002375</v>
      </c>
      <c r="P23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23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33" s="41">
        <f>ROW()</f>
        <v>233</v>
      </c>
      <c r="S2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-65444.415349499999</v>
      </c>
      <c r="T2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3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v>
      </c>
      <c r="V233" s="65">
        <f>IF(INDEX(TransTypes[],Transactions[[#This Row],[TTR]],TT_COL_GLFlag)=1,Transactions[[#This Row],[CalCashImpact]]+Transactions[[#This Row],[CostImpact]],0)</f>
        <v>-115.99046480000106</v>
      </c>
      <c r="W233" s="66">
        <f>Transactions[[#This Row],[Amount]]*INDEX(TransTypes[],Transactions[[#This Row],[TTR]],TT_COL_AmntSign)</f>
        <v>65328.424884699998</v>
      </c>
      <c r="X233" s="66">
        <f>IF(INDEX(TransTypes[],Transactions[[#This Row],[TTR]],TT_COL_LONGORSHORT)="S",
      IF( OR(INDEX(TransTypes[],Transactions[[#This Row],[TTR]],TT_COL_GLFlag)=1, INDEX(TransTypes[], Transactions[[#This Row],[TTR]], TT_COL_ShareTransferFlag)=1),
            Transactions[[#This Row],[CostImpact]]*-1,
            Transactions[[#This Row],[CalCashImpact]]
      ),
     0
)</f>
        <v>0</v>
      </c>
      <c r="Y233" s="67" t="str">
        <f>VLOOKUP(Transactions[[#This Row],[Symbol]],Symbols[], COLUMN(Symbols[Currency])-COLUMN(Symbols[])+1,FALSE)</f>
        <v>CNY</v>
      </c>
    </row>
    <row r="234" spans="1:25">
      <c r="A234" s="55" t="s">
        <v>65</v>
      </c>
      <c r="B234" s="56">
        <v>43081</v>
      </c>
      <c r="C234" s="55" t="s">
        <v>113</v>
      </c>
      <c r="D234" s="55"/>
      <c r="E234" s="90" t="s">
        <v>465</v>
      </c>
      <c r="F234" s="57">
        <v>1000</v>
      </c>
      <c r="G234" s="58">
        <v>5.86</v>
      </c>
      <c r="H234" s="57">
        <v>15.636982</v>
      </c>
      <c r="I234" s="57"/>
      <c r="J234" s="68">
        <v>5875.636982</v>
      </c>
      <c r="K234" s="6"/>
      <c r="L234" s="20">
        <f>IF(ISNA(MATCH(Transactions[[#This Row],[TransType]],TransTypes[TransType],0)),1,MATCH(Transactions[[#This Row],[TransType]],TransTypes[TransType],0))</f>
        <v>2</v>
      </c>
      <c r="M234" s="60">
        <f>IF( AND( INDEX(TransTypes[],Transactions[[#This Row],[TTR]],TT_COL_GLFlag)=1, INDEX(TransTypes[],Transactions[[#This Row],[TTR]],TT_COL_LONGORSHORT)="S" ),
      Transactions[[#This Row],[PL]],
      IF(INDEX(TransTypes[],Transactions[[#This Row],[TTR]],TT_COL_LONGORSHORT)="S",0,Transactions[[#This Row],[CalCashImpact]])
)</f>
        <v>-5875.636982</v>
      </c>
      <c r="N234" s="61">
        <f>IF(VLOOKUP(Transactions[[#This Row],[Symbol]],Symbols[],COLUMN(Symbols[Currency])-COLUMN(Symbols[])+1,FALSE)=
       VLOOKUP(Transactions[[#This Row],[Account]],Accounts[],COLUMN(Accounts[Currency])-COLUMN(Accounts[])+1,FALSE),
     Transactions[[#This Row],[OrigCashImpact]],
     0
)</f>
        <v>0</v>
      </c>
      <c r="O23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-120285.74965002375</v>
      </c>
      <c r="P23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23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234" s="41">
        <f>ROW()</f>
        <v>234</v>
      </c>
      <c r="S2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5875.636982</v>
      </c>
      <c r="T2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5875.636982</v>
      </c>
      <c r="U23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234" s="65">
        <f>IF(INDEX(TransTypes[],Transactions[[#This Row],[TTR]],TT_COL_GLFlag)=1,Transactions[[#This Row],[CalCashImpact]]+Transactions[[#This Row],[CostImpact]],0)</f>
        <v>0</v>
      </c>
      <c r="W234" s="66">
        <f>Transactions[[#This Row],[Amount]]*INDEX(TransTypes[],Transactions[[#This Row],[TTR]],TT_COL_AmntSign)</f>
        <v>-5875.636982</v>
      </c>
      <c r="X234" s="66">
        <f>IF(INDEX(TransTypes[],Transactions[[#This Row],[TTR]],TT_COL_LONGORSHORT)="S",
      IF( OR(INDEX(TransTypes[],Transactions[[#This Row],[TTR]],TT_COL_GLFlag)=1, INDEX(TransTypes[], Transactions[[#This Row],[TTR]], TT_COL_ShareTransferFlag)=1),
            Transactions[[#This Row],[CostImpact]]*-1,
            Transactions[[#This Row],[CalCashImpact]]
      ),
     0
)</f>
        <v>0</v>
      </c>
      <c r="Y234" s="67" t="str">
        <f>VLOOKUP(Transactions[[#This Row],[Symbol]],Symbols[], COLUMN(Symbols[Currency])-COLUMN(Symbols[])+1,FALSE)</f>
        <v>CNY</v>
      </c>
    </row>
    <row r="235" spans="1:25">
      <c r="A235" s="55" t="s">
        <v>65</v>
      </c>
      <c r="B235" s="56">
        <v>43081</v>
      </c>
      <c r="C235" s="55" t="s">
        <v>115</v>
      </c>
      <c r="D235" s="55"/>
      <c r="E235" s="90" t="s">
        <v>465</v>
      </c>
      <c r="F235" s="57">
        <v>1000</v>
      </c>
      <c r="G235" s="58">
        <v>5.83</v>
      </c>
      <c r="H235" s="57">
        <v>27.293721000000001</v>
      </c>
      <c r="I235" s="57"/>
      <c r="J235" s="68">
        <v>5802.706279</v>
      </c>
      <c r="K235" s="6"/>
      <c r="L235" s="20">
        <f>IF(ISNA(MATCH(Transactions[[#This Row],[TransType]],TransTypes[TransType],0)),1,MATCH(Transactions[[#This Row],[TransType]],TransTypes[TransType],0))</f>
        <v>3</v>
      </c>
      <c r="M235" s="60">
        <f>IF( AND( INDEX(TransTypes[],Transactions[[#This Row],[TTR]],TT_COL_GLFlag)=1, INDEX(TransTypes[],Transactions[[#This Row],[TTR]],TT_COL_LONGORSHORT)="S" ),
      Transactions[[#This Row],[PL]],
      IF(INDEX(TransTypes[],Transactions[[#This Row],[TTR]],TT_COL_LONGORSHORT)="S",0,Transactions[[#This Row],[CalCashImpact]])
)</f>
        <v>5802.706279</v>
      </c>
      <c r="N235" s="61">
        <f>IF(VLOOKUP(Transactions[[#This Row],[Symbol]],Symbols[],COLUMN(Symbols[Currency])-COLUMN(Symbols[])+1,FALSE)=
       VLOOKUP(Transactions[[#This Row],[Account]],Accounts[],COLUMN(Accounts[Currency])-COLUMN(Accounts[])+1,FALSE),
     Transactions[[#This Row],[OrigCashImpact]],
     0
)</f>
        <v>0</v>
      </c>
      <c r="O23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-120285.74965002375</v>
      </c>
      <c r="P23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23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35" s="41">
        <f>ROW()</f>
        <v>235</v>
      </c>
      <c r="S2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-5875.636982</v>
      </c>
      <c r="T2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3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235" s="65">
        <f>IF(INDEX(TransTypes[],Transactions[[#This Row],[TTR]],TT_COL_GLFlag)=1,Transactions[[#This Row],[CalCashImpact]]+Transactions[[#This Row],[CostImpact]],0)</f>
        <v>-72.930702999999994</v>
      </c>
      <c r="W235" s="66">
        <f>Transactions[[#This Row],[Amount]]*INDEX(TransTypes[],Transactions[[#This Row],[TTR]],TT_COL_AmntSign)</f>
        <v>5802.706279</v>
      </c>
      <c r="X235" s="66">
        <f>IF(INDEX(TransTypes[],Transactions[[#This Row],[TTR]],TT_COL_LONGORSHORT)="S",
      IF( OR(INDEX(TransTypes[],Transactions[[#This Row],[TTR]],TT_COL_GLFlag)=1, INDEX(TransTypes[], Transactions[[#This Row],[TTR]], TT_COL_ShareTransferFlag)=1),
            Transactions[[#This Row],[CostImpact]]*-1,
            Transactions[[#This Row],[CalCashImpact]]
      ),
     0
)</f>
        <v>0</v>
      </c>
      <c r="Y235" s="67" t="str">
        <f>VLOOKUP(Transactions[[#This Row],[Symbol]],Symbols[], COLUMN(Symbols[Currency])-COLUMN(Symbols[])+1,FALSE)</f>
        <v>CNY</v>
      </c>
    </row>
    <row r="236" spans="1:25">
      <c r="A236" s="55" t="s">
        <v>65</v>
      </c>
      <c r="B236" s="56">
        <v>43081</v>
      </c>
      <c r="C236" s="55" t="s">
        <v>158</v>
      </c>
      <c r="D236" s="55"/>
      <c r="E236" s="55" t="s">
        <v>331</v>
      </c>
      <c r="F236" s="57">
        <v>3</v>
      </c>
      <c r="G236" s="58">
        <v>2.7</v>
      </c>
      <c r="H236" s="57">
        <v>1.4992110000000001</v>
      </c>
      <c r="I236" s="57"/>
      <c r="J236" s="68">
        <v>808.50078900000005</v>
      </c>
      <c r="K236" s="6"/>
      <c r="L236" s="20">
        <f>IF(ISNA(MATCH(Transactions[[#This Row],[TransType]],TransTypes[TransType],0)),1,MATCH(Transactions[[#This Row],[TransType]],TransTypes[TransType],0))</f>
        <v>19</v>
      </c>
      <c r="M236" s="60">
        <f>IF( AND( INDEX(TransTypes[],Transactions[[#This Row],[TTR]],TT_COL_GLFlag)=1, INDEX(TransTypes[],Transactions[[#This Row],[TTR]],TT_COL_LONGORSHORT)="S" ),
      Transactions[[#This Row],[PL]],
      IF(INDEX(TransTypes[],Transactions[[#This Row],[TTR]],TT_COL_LONGORSHORT)="S",0,Transactions[[#This Row],[CalCashImpact]])
)</f>
        <v>0</v>
      </c>
      <c r="N236" s="61">
        <f>IF(VLOOKUP(Transactions[[#This Row],[Symbol]],Symbols[],COLUMN(Symbols[Currency])-COLUMN(Symbols[])+1,FALSE)=
       VLOOKUP(Transactions[[#This Row],[Account]],Accounts[],COLUMN(Accounts[Currency])-COLUMN(Accounts[])+1,FALSE),
     Transactions[[#This Row],[OrigCashImpact]],
     0
)</f>
        <v>0</v>
      </c>
      <c r="O23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-120285.74965002375</v>
      </c>
      <c r="P23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23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v>
      </c>
      <c r="R236" s="41">
        <f>ROW()</f>
        <v>236</v>
      </c>
      <c r="S2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-808.50078900000005</v>
      </c>
      <c r="T2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-808.50078900000005</v>
      </c>
      <c r="U23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236" s="65">
        <f>IF(INDEX(TransTypes[],Transactions[[#This Row],[TTR]],TT_COL_GLFlag)=1,Transactions[[#This Row],[CalCashImpact]]+Transactions[[#This Row],[CostImpact]],0)</f>
        <v>0</v>
      </c>
      <c r="W236" s="66">
        <f>Transactions[[#This Row],[Amount]]*INDEX(TransTypes[],Transactions[[#This Row],[TTR]],TT_COL_AmntSign)</f>
        <v>808.50078900000005</v>
      </c>
      <c r="X236" s="66">
        <f>IF(INDEX(TransTypes[],Transactions[[#This Row],[TTR]],TT_COL_LONGORSHORT)="S",
      IF( OR(INDEX(TransTypes[],Transactions[[#This Row],[TTR]],TT_COL_GLFlag)=1, INDEX(TransTypes[], Transactions[[#This Row],[TTR]], TT_COL_ShareTransferFlag)=1),
            Transactions[[#This Row],[CostImpact]]*-1,
            Transactions[[#This Row],[CalCashImpact]]
      ),
     0
)</f>
        <v>808.50078900000005</v>
      </c>
      <c r="Y236" s="67" t="str">
        <f>VLOOKUP(Transactions[[#This Row],[Symbol]],Symbols[], COLUMN(Symbols[Currency])-COLUMN(Symbols[])+1,FALSE)</f>
        <v>USD</v>
      </c>
    </row>
    <row r="237" spans="1:25">
      <c r="A237" s="55" t="s">
        <v>65</v>
      </c>
      <c r="B237" s="56">
        <v>43081</v>
      </c>
      <c r="C237" s="55" t="s">
        <v>113</v>
      </c>
      <c r="D237" s="55"/>
      <c r="E237" s="55" t="s">
        <v>332</v>
      </c>
      <c r="F237" s="57">
        <v>3</v>
      </c>
      <c r="G237" s="58">
        <v>1.81</v>
      </c>
      <c r="H237" s="57">
        <v>2.3744999999999998</v>
      </c>
      <c r="I237" s="57"/>
      <c r="J237" s="68">
        <v>545.37450000000001</v>
      </c>
      <c r="K237" s="6"/>
      <c r="L237" s="20">
        <f>IF(ISNA(MATCH(Transactions[[#This Row],[TransType]],TransTypes[TransType],0)),1,MATCH(Transactions[[#This Row],[TransType]],TransTypes[TransType],0))</f>
        <v>2</v>
      </c>
      <c r="M237" s="60">
        <f>IF( AND( INDEX(TransTypes[],Transactions[[#This Row],[TTR]],TT_COL_GLFlag)=1, INDEX(TransTypes[],Transactions[[#This Row],[TTR]],TT_COL_LONGORSHORT)="S" ),
      Transactions[[#This Row],[PL]],
      IF(INDEX(TransTypes[],Transactions[[#This Row],[TTR]],TT_COL_LONGORSHORT)="S",0,Transactions[[#This Row],[CalCashImpact]])
)</f>
        <v>-545.37450000000001</v>
      </c>
      <c r="N237" s="61">
        <f>IF(VLOOKUP(Transactions[[#This Row],[Symbol]],Symbols[],COLUMN(Symbols[Currency])-COLUMN(Symbols[])+1,FALSE)=
       VLOOKUP(Transactions[[#This Row],[Account]],Accounts[],COLUMN(Accounts[Currency])-COLUMN(Accounts[])+1,FALSE),
     Transactions[[#This Row],[OrigCashImpact]],
     0
)</f>
        <v>-545.37450000000001</v>
      </c>
      <c r="O23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-120831.12415002375</v>
      </c>
      <c r="P23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23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v>
      </c>
      <c r="R237" s="41">
        <f>ROW()</f>
        <v>237</v>
      </c>
      <c r="S2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545.37450000000001</v>
      </c>
      <c r="T2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545.37450000000001</v>
      </c>
      <c r="U23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237" s="65">
        <f>IF(INDEX(TransTypes[],Transactions[[#This Row],[TTR]],TT_COL_GLFlag)=1,Transactions[[#This Row],[CalCashImpact]]+Transactions[[#This Row],[CostImpact]],0)</f>
        <v>0</v>
      </c>
      <c r="W237" s="66">
        <f>Transactions[[#This Row],[Amount]]*INDEX(TransTypes[],Transactions[[#This Row],[TTR]],TT_COL_AmntSign)</f>
        <v>-545.37450000000001</v>
      </c>
      <c r="X237" s="66">
        <f>IF(INDEX(TransTypes[],Transactions[[#This Row],[TTR]],TT_COL_LONGORSHORT)="S",
      IF( OR(INDEX(TransTypes[],Transactions[[#This Row],[TTR]],TT_COL_GLFlag)=1, INDEX(TransTypes[], Transactions[[#This Row],[TTR]], TT_COL_ShareTransferFlag)=1),
            Transactions[[#This Row],[CostImpact]]*-1,
            Transactions[[#This Row],[CalCashImpact]]
      ),
     0
)</f>
        <v>0</v>
      </c>
      <c r="Y237" s="67" t="str">
        <f>VLOOKUP(Transactions[[#This Row],[Symbol]],Symbols[], COLUMN(Symbols[Currency])-COLUMN(Symbols[])+1,FALSE)</f>
        <v>USD</v>
      </c>
    </row>
    <row r="238" spans="1:25">
      <c r="A238" s="55" t="s">
        <v>65</v>
      </c>
      <c r="B238" s="56">
        <v>43081</v>
      </c>
      <c r="C238" s="55" t="s">
        <v>152</v>
      </c>
      <c r="D238" s="55"/>
      <c r="E238" s="55" t="s">
        <v>211</v>
      </c>
      <c r="F238" s="57">
        <v>884</v>
      </c>
      <c r="G238" s="58">
        <v>6.6241500000000002</v>
      </c>
      <c r="H238" s="57"/>
      <c r="I238" s="57"/>
      <c r="J238" s="68">
        <v>5855.7485999999999</v>
      </c>
      <c r="K238" s="6"/>
      <c r="L238" s="20">
        <f>IF(ISNA(MATCH(Transactions[[#This Row],[TransType]],TransTypes[TransType],0)),1,MATCH(Transactions[[#This Row],[TransType]],TransTypes[TransType],0))</f>
        <v>15</v>
      </c>
      <c r="M238" s="60">
        <f>IF( AND( INDEX(TransTypes[],Transactions[[#This Row],[TTR]],TT_COL_GLFlag)=1, INDEX(TransTypes[],Transactions[[#This Row],[TTR]],TT_COL_LONGORSHORT)="S" ),
      Transactions[[#This Row],[PL]],
      IF(INDEX(TransTypes[],Transactions[[#This Row],[TTR]],TT_COL_LONGORSHORT)="S",0,Transactions[[#This Row],[CalCashImpact]])
)</f>
        <v>5855.7485999999999</v>
      </c>
      <c r="N238" s="61">
        <f>IF(VLOOKUP(Transactions[[#This Row],[Symbol]],Symbols[],COLUMN(Symbols[Currency])-COLUMN(Symbols[])+1,FALSE)=
       VLOOKUP(Transactions[[#This Row],[Account]],Accounts[],COLUMN(Accounts[Currency])-COLUMN(Accounts[])+1,FALSE),
     Transactions[[#This Row],[OrigCashImpact]],
     0
)</f>
        <v>0</v>
      </c>
      <c r="O23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-120831.12415002375</v>
      </c>
      <c r="P23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3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38" s="41">
        <f>ROW()</f>
        <v>238</v>
      </c>
      <c r="S2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3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38" s="65">
        <f>IF(INDEX(TransTypes[],Transactions[[#This Row],[TTR]],TT_COL_GLFlag)=1,Transactions[[#This Row],[CalCashImpact]]+Transactions[[#This Row],[CostImpact]],0)</f>
        <v>0</v>
      </c>
      <c r="W238" s="66">
        <f>Transactions[[#This Row],[Amount]]*INDEX(TransTypes[],Transactions[[#This Row],[TTR]],TT_COL_AmntSign)</f>
        <v>5855.7485999999999</v>
      </c>
      <c r="X238" s="66">
        <f>IF(INDEX(TransTypes[],Transactions[[#This Row],[TTR]],TT_COL_LONGORSHORT)="S",
      IF( OR(INDEX(TransTypes[],Transactions[[#This Row],[TTR]],TT_COL_GLFlag)=1, INDEX(TransTypes[], Transactions[[#This Row],[TTR]], TT_COL_ShareTransferFlag)=1),
            Transactions[[#This Row],[CostImpact]]*-1,
            Transactions[[#This Row],[CalCashImpact]]
      ),
     0
)</f>
        <v>0</v>
      </c>
      <c r="Y238" s="67" t="str">
        <f>VLOOKUP(Transactions[[#This Row],[Symbol]],Symbols[], COLUMN(Symbols[Currency])-COLUMN(Symbols[])+1,FALSE)</f>
        <v>CNY</v>
      </c>
    </row>
    <row r="239" spans="1:25">
      <c r="A239" s="55" t="s">
        <v>65</v>
      </c>
      <c r="B239" s="56">
        <v>43081</v>
      </c>
      <c r="C239" s="55" t="s">
        <v>238</v>
      </c>
      <c r="D239" s="55"/>
      <c r="E239" s="55" t="s">
        <v>208</v>
      </c>
      <c r="F239" s="57">
        <v>884</v>
      </c>
      <c r="G239" s="58">
        <v>1</v>
      </c>
      <c r="H239" s="57">
        <v>2</v>
      </c>
      <c r="I239" s="57"/>
      <c r="J239" s="68">
        <v>886</v>
      </c>
      <c r="K239" s="6" t="s">
        <v>394</v>
      </c>
      <c r="L239" s="20">
        <f>IF(ISNA(MATCH(Transactions[[#This Row],[TransType]],TransTypes[TransType],0)),1,MATCH(Transactions[[#This Row],[TransType]],TransTypes[TransType],0))</f>
        <v>16</v>
      </c>
      <c r="M239" s="60">
        <f>IF( AND( INDEX(TransTypes[],Transactions[[#This Row],[TTR]],TT_COL_GLFlag)=1, INDEX(TransTypes[],Transactions[[#This Row],[TTR]],TT_COL_LONGORSHORT)="S" ),
      Transactions[[#This Row],[PL]],
      IF(INDEX(TransTypes[],Transactions[[#This Row],[TTR]],TT_COL_LONGORSHORT)="S",0,Transactions[[#This Row],[CalCashImpact]])
)</f>
        <v>-886</v>
      </c>
      <c r="N239" s="61">
        <f>IF(VLOOKUP(Transactions[[#This Row],[Symbol]],Symbols[],COLUMN(Symbols[Currency])-COLUMN(Symbols[])+1,FALSE)=
       VLOOKUP(Transactions[[#This Row],[Account]],Accounts[],COLUMN(Accounts[Currency])-COLUMN(Accounts[])+1,FALSE),
     Transactions[[#This Row],[OrigCashImpact]],
     0
)</f>
        <v>-886</v>
      </c>
      <c r="O23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-121717.12415002375</v>
      </c>
      <c r="P23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3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39" s="41">
        <f>ROW()</f>
        <v>239</v>
      </c>
      <c r="S2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3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39" s="65">
        <f>IF(INDEX(TransTypes[],Transactions[[#This Row],[TTR]],TT_COL_GLFlag)=1,Transactions[[#This Row],[CalCashImpact]]+Transactions[[#This Row],[CostImpact]],0)</f>
        <v>0</v>
      </c>
      <c r="W239" s="66">
        <f>Transactions[[#This Row],[Amount]]*INDEX(TransTypes[],Transactions[[#This Row],[TTR]],TT_COL_AmntSign)</f>
        <v>-886</v>
      </c>
      <c r="X239" s="66">
        <f>IF(INDEX(TransTypes[],Transactions[[#This Row],[TTR]],TT_COL_LONGORSHORT)="S",
      IF( OR(INDEX(TransTypes[],Transactions[[#This Row],[TTR]],TT_COL_GLFlag)=1, INDEX(TransTypes[], Transactions[[#This Row],[TTR]], TT_COL_ShareTransferFlag)=1),
            Transactions[[#This Row],[CostImpact]]*-1,
            Transactions[[#This Row],[CalCashImpact]]
      ),
     0
)</f>
        <v>0</v>
      </c>
      <c r="Y239" s="67" t="str">
        <f>VLOOKUP(Transactions[[#This Row],[Symbol]],Symbols[], COLUMN(Symbols[Currency])-COLUMN(Symbols[])+1,FALSE)</f>
        <v>USD</v>
      </c>
    </row>
    <row r="240" spans="1:25">
      <c r="A240" s="55" t="s">
        <v>65</v>
      </c>
      <c r="B240" s="56">
        <v>43081</v>
      </c>
      <c r="C240" s="55" t="s">
        <v>118</v>
      </c>
      <c r="D240" s="55"/>
      <c r="E240" s="55" t="s">
        <v>305</v>
      </c>
      <c r="F240" s="57">
        <v>372</v>
      </c>
      <c r="G240" s="58"/>
      <c r="H240" s="57"/>
      <c r="I240" s="57"/>
      <c r="J240" s="68">
        <v>312.48</v>
      </c>
      <c r="K240" s="6" t="s">
        <v>395</v>
      </c>
      <c r="L240" s="20">
        <f>IF(ISNA(MATCH(Transactions[[#This Row],[TransType]],TransTypes[TransType],0)),1,MATCH(Transactions[[#This Row],[TransType]],TransTypes[TransType],0))</f>
        <v>4</v>
      </c>
      <c r="M240" s="60">
        <f>IF( AND( INDEX(TransTypes[],Transactions[[#This Row],[TTR]],TT_COL_GLFlag)=1, INDEX(TransTypes[],Transactions[[#This Row],[TTR]],TT_COL_LONGORSHORT)="S" ),
      Transactions[[#This Row],[PL]],
      IF(INDEX(TransTypes[],Transactions[[#This Row],[TTR]],TT_COL_LONGORSHORT)="S",0,Transactions[[#This Row],[CalCashImpact]])
)</f>
        <v>312.48</v>
      </c>
      <c r="N240" s="61">
        <f>IF(VLOOKUP(Transactions[[#This Row],[Symbol]],Symbols[],COLUMN(Symbols[Currency])-COLUMN(Symbols[])+1,FALSE)=
       VLOOKUP(Transactions[[#This Row],[Account]],Accounts[],COLUMN(Accounts[Currency])-COLUMN(Accounts[])+1,FALSE),
     Transactions[[#This Row],[OrigCashImpact]],
     0
)</f>
        <v>312.48</v>
      </c>
      <c r="O24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-121404.64415002374</v>
      </c>
      <c r="P24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4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372</v>
      </c>
      <c r="R240" s="41">
        <f>ROW()</f>
        <v>240</v>
      </c>
      <c r="S2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50685.345789473686</v>
      </c>
      <c r="U24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372</v>
      </c>
      <c r="V240" s="65">
        <f>IF(INDEX(TransTypes[],Transactions[[#This Row],[TTR]],TT_COL_GLFlag)=1,Transactions[[#This Row],[CalCashImpact]]+Transactions[[#This Row],[CostImpact]],0)</f>
        <v>0</v>
      </c>
      <c r="W240" s="66">
        <f>Transactions[[#This Row],[Amount]]*INDEX(TransTypes[],Transactions[[#This Row],[TTR]],TT_COL_AmntSign)</f>
        <v>312.48</v>
      </c>
      <c r="X240" s="66">
        <f>IF(INDEX(TransTypes[],Transactions[[#This Row],[TTR]],TT_COL_LONGORSHORT)="S",
      IF( OR(INDEX(TransTypes[],Transactions[[#This Row],[TTR]],TT_COL_GLFlag)=1, INDEX(TransTypes[], Transactions[[#This Row],[TTR]], TT_COL_ShareTransferFlag)=1),
            Transactions[[#This Row],[CostImpact]]*-1,
            Transactions[[#This Row],[CalCashImpact]]
      ),
     0
)</f>
        <v>0</v>
      </c>
      <c r="Y240" s="67" t="str">
        <f>VLOOKUP(Transactions[[#This Row],[Symbol]],Symbols[], COLUMN(Symbols[Currency])-COLUMN(Symbols[])+1,FALSE)</f>
        <v>USD</v>
      </c>
    </row>
    <row r="241" spans="1:25">
      <c r="A241" s="55" t="s">
        <v>65</v>
      </c>
      <c r="B241" s="56">
        <v>43081</v>
      </c>
      <c r="C241" s="55" t="s">
        <v>123</v>
      </c>
      <c r="D241" s="55"/>
      <c r="E241" s="55" t="s">
        <v>305</v>
      </c>
      <c r="F241" s="57"/>
      <c r="G241" s="58"/>
      <c r="H241" s="57"/>
      <c r="I241" s="57"/>
      <c r="J241" s="68">
        <v>46.87</v>
      </c>
      <c r="K241" s="6" t="s">
        <v>396</v>
      </c>
      <c r="L241" s="20">
        <f>IF(ISNA(MATCH(Transactions[[#This Row],[TransType]],TransTypes[TransType],0)),1,MATCH(Transactions[[#This Row],[TransType]],TransTypes[TransType],0))</f>
        <v>7</v>
      </c>
      <c r="M241" s="60">
        <f>IF( AND( INDEX(TransTypes[],Transactions[[#This Row],[TTR]],TT_COL_GLFlag)=1, INDEX(TransTypes[],Transactions[[#This Row],[TTR]],TT_COL_LONGORSHORT)="S" ),
      Transactions[[#This Row],[PL]],
      IF(INDEX(TransTypes[],Transactions[[#This Row],[TTR]],TT_COL_LONGORSHORT)="S",0,Transactions[[#This Row],[CalCashImpact]])
)</f>
        <v>-46.87</v>
      </c>
      <c r="N241" s="61">
        <f>IF(VLOOKUP(Transactions[[#This Row],[Symbol]],Symbols[],COLUMN(Symbols[Currency])-COLUMN(Symbols[])+1,FALSE)=
       VLOOKUP(Transactions[[#This Row],[Account]],Accounts[],COLUMN(Accounts[Currency])-COLUMN(Accounts[])+1,FALSE),
     Transactions[[#This Row],[OrigCashImpact]],
     0
)</f>
        <v>-46.87</v>
      </c>
      <c r="O24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-121451.51415002375</v>
      </c>
      <c r="P24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4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372</v>
      </c>
      <c r="R241" s="41">
        <f>ROW()</f>
        <v>241</v>
      </c>
      <c r="S2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50685.345789473686</v>
      </c>
      <c r="U24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372</v>
      </c>
      <c r="V241" s="65">
        <f>IF(INDEX(TransTypes[],Transactions[[#This Row],[TTR]],TT_COL_GLFlag)=1,Transactions[[#This Row],[CalCashImpact]]+Transactions[[#This Row],[CostImpact]],0)</f>
        <v>0</v>
      </c>
      <c r="W241" s="66">
        <f>Transactions[[#This Row],[Amount]]*INDEX(TransTypes[],Transactions[[#This Row],[TTR]],TT_COL_AmntSign)</f>
        <v>-46.87</v>
      </c>
      <c r="X241" s="66">
        <f>IF(INDEX(TransTypes[],Transactions[[#This Row],[TTR]],TT_COL_LONGORSHORT)="S",
      IF( OR(INDEX(TransTypes[],Transactions[[#This Row],[TTR]],TT_COL_GLFlag)=1, INDEX(TransTypes[], Transactions[[#This Row],[TTR]], TT_COL_ShareTransferFlag)=1),
            Transactions[[#This Row],[CostImpact]]*-1,
            Transactions[[#This Row],[CalCashImpact]]
      ),
     0
)</f>
        <v>0</v>
      </c>
      <c r="Y241" s="67" t="str">
        <f>VLOOKUP(Transactions[[#This Row],[Symbol]],Symbols[], COLUMN(Symbols[Currency])-COLUMN(Symbols[])+1,FALSE)</f>
        <v>USD</v>
      </c>
    </row>
    <row r="242" spans="1:25">
      <c r="A242" s="55" t="s">
        <v>65</v>
      </c>
      <c r="B242" s="56">
        <v>43082</v>
      </c>
      <c r="C242" s="55" t="s">
        <v>160</v>
      </c>
      <c r="D242" s="55"/>
      <c r="E242" s="55" t="s">
        <v>331</v>
      </c>
      <c r="F242" s="57">
        <v>3</v>
      </c>
      <c r="G242" s="58">
        <v>3.15</v>
      </c>
      <c r="H242" s="57">
        <v>2.3744999999999998</v>
      </c>
      <c r="I242" s="57"/>
      <c r="J242" s="68">
        <v>947.37450000000001</v>
      </c>
      <c r="K242" s="6"/>
      <c r="L242" s="20">
        <f>IF(ISNA(MATCH(Transactions[[#This Row],[TransType]],TransTypes[TransType],0)),1,MATCH(Transactions[[#This Row],[TransType]],TransTypes[TransType],0))</f>
        <v>20</v>
      </c>
      <c r="M242" s="60">
        <f>IF( AND( INDEX(TransTypes[],Transactions[[#This Row],[TTR]],TT_COL_GLFlag)=1, INDEX(TransTypes[],Transactions[[#This Row],[TTR]],TT_COL_LONGORSHORT)="S" ),
      Transactions[[#This Row],[PL]],
      IF(INDEX(TransTypes[],Transactions[[#This Row],[TTR]],TT_COL_LONGORSHORT)="S",0,Transactions[[#This Row],[CalCashImpact]])
)</f>
        <v>-138.87371099999996</v>
      </c>
      <c r="N242" s="61">
        <f>IF(VLOOKUP(Transactions[[#This Row],[Symbol]],Symbols[],COLUMN(Symbols[Currency])-COLUMN(Symbols[])+1,FALSE)=
       VLOOKUP(Transactions[[#This Row],[Account]],Accounts[],COLUMN(Accounts[Currency])-COLUMN(Accounts[])+1,FALSE),
     Transactions[[#This Row],[OrigCashImpact]],
     0
)</f>
        <v>-138.87371099999996</v>
      </c>
      <c r="O24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-121590.38786102374</v>
      </c>
      <c r="P24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24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42" s="41">
        <f>ROW()</f>
        <v>242</v>
      </c>
      <c r="S2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808.50078900000005</v>
      </c>
      <c r="T2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4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242" s="65">
        <f>IF(INDEX(TransTypes[],Transactions[[#This Row],[TTR]],TT_COL_GLFlag)=1,Transactions[[#This Row],[CalCashImpact]]+Transactions[[#This Row],[CostImpact]],0)</f>
        <v>-138.87371099999996</v>
      </c>
      <c r="W242" s="66">
        <f>Transactions[[#This Row],[Amount]]*INDEX(TransTypes[],Transactions[[#This Row],[TTR]],TT_COL_AmntSign)</f>
        <v>-947.37450000000001</v>
      </c>
      <c r="X242" s="66">
        <f>IF(INDEX(TransTypes[],Transactions[[#This Row],[TTR]],TT_COL_LONGORSHORT)="S",
      IF( OR(INDEX(TransTypes[],Transactions[[#This Row],[TTR]],TT_COL_GLFlag)=1, INDEX(TransTypes[], Transactions[[#This Row],[TTR]], TT_COL_ShareTransferFlag)=1),
            Transactions[[#This Row],[CostImpact]]*-1,
            Transactions[[#This Row],[CalCashImpact]]
      ),
     0
)</f>
        <v>-808.50078900000005</v>
      </c>
      <c r="Y242" s="67" t="str">
        <f>VLOOKUP(Transactions[[#This Row],[Symbol]],Symbols[], COLUMN(Symbols[Currency])-COLUMN(Symbols[])+1,FALSE)</f>
        <v>USD</v>
      </c>
    </row>
    <row r="243" spans="1:25">
      <c r="A243" s="55" t="s">
        <v>65</v>
      </c>
      <c r="B243" s="56">
        <v>43083</v>
      </c>
      <c r="C243" s="55" t="s">
        <v>113</v>
      </c>
      <c r="D243" s="55"/>
      <c r="E243" s="55" t="s">
        <v>308</v>
      </c>
      <c r="F243" s="57">
        <v>5000</v>
      </c>
      <c r="G243" s="58">
        <v>4.0475000000000003</v>
      </c>
      <c r="H243" s="57">
        <v>20</v>
      </c>
      <c r="I243" s="57"/>
      <c r="J243" s="68">
        <v>20257.5</v>
      </c>
      <c r="K243" s="6"/>
      <c r="L243" s="20">
        <f>IF(ISNA(MATCH(Transactions[[#This Row],[TransType]],TransTypes[TransType],0)),1,MATCH(Transactions[[#This Row],[TransType]],TransTypes[TransType],0))</f>
        <v>2</v>
      </c>
      <c r="M243" s="60">
        <f>IF( AND( INDEX(TransTypes[],Transactions[[#This Row],[TTR]],TT_COL_GLFlag)=1, INDEX(TransTypes[],Transactions[[#This Row],[TTR]],TT_COL_LONGORSHORT)="S" ),
      Transactions[[#This Row],[PL]],
      IF(INDEX(TransTypes[],Transactions[[#This Row],[TTR]],TT_COL_LONGORSHORT)="S",0,Transactions[[#This Row],[CalCashImpact]])
)</f>
        <v>-20257.5</v>
      </c>
      <c r="N243" s="61">
        <f>IF(VLOOKUP(Transactions[[#This Row],[Symbol]],Symbols[],COLUMN(Symbols[Currency])-COLUMN(Symbols[])+1,FALSE)=
       VLOOKUP(Transactions[[#This Row],[Account]],Accounts[],COLUMN(Accounts[Currency])-COLUMN(Accounts[])+1,FALSE),
     Transactions[[#This Row],[OrigCashImpact]],
     0
)</f>
        <v>-20257.5</v>
      </c>
      <c r="O24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-141847.88786102374</v>
      </c>
      <c r="P24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24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243" s="41">
        <f>ROW()</f>
        <v>243</v>
      </c>
      <c r="S2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20257.5</v>
      </c>
      <c r="T2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20257.5</v>
      </c>
      <c r="U24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243" s="65">
        <f>IF(INDEX(TransTypes[],Transactions[[#This Row],[TTR]],TT_COL_GLFlag)=1,Transactions[[#This Row],[CalCashImpact]]+Transactions[[#This Row],[CostImpact]],0)</f>
        <v>0</v>
      </c>
      <c r="W243" s="66">
        <f>Transactions[[#This Row],[Amount]]*INDEX(TransTypes[],Transactions[[#This Row],[TTR]],TT_COL_AmntSign)</f>
        <v>-20257.5</v>
      </c>
      <c r="X243" s="66">
        <f>IF(INDEX(TransTypes[],Transactions[[#This Row],[TTR]],TT_COL_LONGORSHORT)="S",
      IF( OR(INDEX(TransTypes[],Transactions[[#This Row],[TTR]],TT_COL_GLFlag)=1, INDEX(TransTypes[], Transactions[[#This Row],[TTR]], TT_COL_ShareTransferFlag)=1),
            Transactions[[#This Row],[CostImpact]]*-1,
            Transactions[[#This Row],[CalCashImpact]]
      ),
     0
)</f>
        <v>0</v>
      </c>
      <c r="Y243" s="67" t="str">
        <f>VLOOKUP(Transactions[[#This Row],[Symbol]],Symbols[], COLUMN(Symbols[Currency])-COLUMN(Symbols[])+1,FALSE)</f>
        <v>USD</v>
      </c>
    </row>
    <row r="244" spans="1:25">
      <c r="A244" s="55" t="s">
        <v>65</v>
      </c>
      <c r="B244" s="56">
        <v>43083</v>
      </c>
      <c r="C244" s="55" t="s">
        <v>113</v>
      </c>
      <c r="D244" s="55"/>
      <c r="E244" s="55" t="s">
        <v>311</v>
      </c>
      <c r="F244" s="57">
        <v>1000</v>
      </c>
      <c r="G244" s="58">
        <v>24.9</v>
      </c>
      <c r="H244" s="57">
        <v>5</v>
      </c>
      <c r="I244" s="57"/>
      <c r="J244" s="68">
        <v>24905</v>
      </c>
      <c r="K244" s="6"/>
      <c r="L244" s="20">
        <f>IF(ISNA(MATCH(Transactions[[#This Row],[TransType]],TransTypes[TransType],0)),1,MATCH(Transactions[[#This Row],[TransType]],TransTypes[TransType],0))</f>
        <v>2</v>
      </c>
      <c r="M244" s="60">
        <f>IF( AND( INDEX(TransTypes[],Transactions[[#This Row],[TTR]],TT_COL_GLFlag)=1, INDEX(TransTypes[],Transactions[[#This Row],[TTR]],TT_COL_LONGORSHORT)="S" ),
      Transactions[[#This Row],[PL]],
      IF(INDEX(TransTypes[],Transactions[[#This Row],[TTR]],TT_COL_LONGORSHORT)="S",0,Transactions[[#This Row],[CalCashImpact]])
)</f>
        <v>-24905</v>
      </c>
      <c r="N244" s="61">
        <f>IF(VLOOKUP(Transactions[[#This Row],[Symbol]],Symbols[],COLUMN(Symbols[Currency])-COLUMN(Symbols[])+1,FALSE)=
       VLOOKUP(Transactions[[#This Row],[Account]],Accounts[],COLUMN(Accounts[Currency])-COLUMN(Accounts[])+1,FALSE),
     Transactions[[#This Row],[OrigCashImpact]],
     0
)</f>
        <v>-24905</v>
      </c>
      <c r="O24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-166752.88786102374</v>
      </c>
      <c r="P24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24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244" s="41">
        <f>ROW()</f>
        <v>244</v>
      </c>
      <c r="S2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24905</v>
      </c>
      <c r="T2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178193.24739999988</v>
      </c>
      <c r="U24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244" s="65">
        <f>IF(INDEX(TransTypes[],Transactions[[#This Row],[TTR]],TT_COL_GLFlag)=1,Transactions[[#This Row],[CalCashImpact]]+Transactions[[#This Row],[CostImpact]],0)</f>
        <v>0</v>
      </c>
      <c r="W244" s="66">
        <f>Transactions[[#This Row],[Amount]]*INDEX(TransTypes[],Transactions[[#This Row],[TTR]],TT_COL_AmntSign)</f>
        <v>-24905</v>
      </c>
      <c r="X244" s="66">
        <f>IF(INDEX(TransTypes[],Transactions[[#This Row],[TTR]],TT_COL_LONGORSHORT)="S",
      IF( OR(INDEX(TransTypes[],Transactions[[#This Row],[TTR]],TT_COL_GLFlag)=1, INDEX(TransTypes[], Transactions[[#This Row],[TTR]], TT_COL_ShareTransferFlag)=1),
            Transactions[[#This Row],[CostImpact]]*-1,
            Transactions[[#This Row],[CalCashImpact]]
      ),
     0
)</f>
        <v>0</v>
      </c>
      <c r="Y244" s="67" t="str">
        <f>VLOOKUP(Transactions[[#This Row],[Symbol]],Symbols[], COLUMN(Symbols[Currency])-COLUMN(Symbols[])+1,FALSE)</f>
        <v>USD</v>
      </c>
    </row>
    <row r="245" spans="1:25">
      <c r="A245" s="55" t="s">
        <v>65</v>
      </c>
      <c r="B245" s="56">
        <v>43083</v>
      </c>
      <c r="C245" s="55" t="s">
        <v>115</v>
      </c>
      <c r="D245" s="55"/>
      <c r="E245" s="55" t="s">
        <v>20</v>
      </c>
      <c r="F245" s="57">
        <v>500</v>
      </c>
      <c r="G245" s="58">
        <v>127.35066</v>
      </c>
      <c r="H245" s="57">
        <v>3.5304001230000002</v>
      </c>
      <c r="I245" s="57"/>
      <c r="J245" s="68">
        <v>63671.799599876998</v>
      </c>
      <c r="K245" s="6"/>
      <c r="L245" s="20">
        <f>IF(ISNA(MATCH(Transactions[[#This Row],[TransType]],TransTypes[TransType],0)),1,MATCH(Transactions[[#This Row],[TransType]],TransTypes[TransType],0))</f>
        <v>3</v>
      </c>
      <c r="M245" s="60">
        <f>IF( AND( INDEX(TransTypes[],Transactions[[#This Row],[TTR]],TT_COL_GLFlag)=1, INDEX(TransTypes[],Transactions[[#This Row],[TTR]],TT_COL_LONGORSHORT)="S" ),
      Transactions[[#This Row],[PL]],
      IF(INDEX(TransTypes[],Transactions[[#This Row],[TTR]],TT_COL_LONGORSHORT)="S",0,Transactions[[#This Row],[CalCashImpact]])
)</f>
        <v>63671.799599876998</v>
      </c>
      <c r="N245" s="61">
        <f>IF(VLOOKUP(Transactions[[#This Row],[Symbol]],Symbols[],COLUMN(Symbols[Currency])-COLUMN(Symbols[])+1,FALSE)=
       VLOOKUP(Transactions[[#This Row],[Account]],Accounts[],COLUMN(Accounts[Currency])-COLUMN(Accounts[])+1,FALSE),
     Transactions[[#This Row],[OrigCashImpact]],
     0
)</f>
        <v>63671.799599876998</v>
      </c>
      <c r="O24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-103081.08826114674</v>
      </c>
      <c r="P24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24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2044</v>
      </c>
      <c r="R245" s="41">
        <f>ROW()</f>
        <v>245</v>
      </c>
      <c r="S2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-62598.309259259251</v>
      </c>
      <c r="T2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255901.88825185184</v>
      </c>
      <c r="U24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2544</v>
      </c>
      <c r="V245" s="65">
        <f>IF(INDEX(TransTypes[],Transactions[[#This Row],[TTR]],TT_COL_GLFlag)=1,Transactions[[#This Row],[CalCashImpact]]+Transactions[[#This Row],[CostImpact]],0)</f>
        <v>1073.4903406177473</v>
      </c>
      <c r="W245" s="66">
        <f>Transactions[[#This Row],[Amount]]*INDEX(TransTypes[],Transactions[[#This Row],[TTR]],TT_COL_AmntSign)</f>
        <v>63671.799599876998</v>
      </c>
      <c r="X245" s="66">
        <f>IF(INDEX(TransTypes[],Transactions[[#This Row],[TTR]],TT_COL_LONGORSHORT)="S",
      IF( OR(INDEX(TransTypes[],Transactions[[#This Row],[TTR]],TT_COL_GLFlag)=1, INDEX(TransTypes[], Transactions[[#This Row],[TTR]], TT_COL_ShareTransferFlag)=1),
            Transactions[[#This Row],[CostImpact]]*-1,
            Transactions[[#This Row],[CalCashImpact]]
      ),
     0
)</f>
        <v>0</v>
      </c>
      <c r="Y245" s="67" t="str">
        <f>VLOOKUP(Transactions[[#This Row],[Symbol]],Symbols[], COLUMN(Symbols[Currency])-COLUMN(Symbols[])+1,FALSE)</f>
        <v>USD</v>
      </c>
    </row>
    <row r="246" spans="1:25">
      <c r="A246" s="55" t="s">
        <v>65</v>
      </c>
      <c r="B246" s="56">
        <v>43083</v>
      </c>
      <c r="C246" s="55" t="s">
        <v>118</v>
      </c>
      <c r="D246" s="55"/>
      <c r="E246" s="55" t="s">
        <v>289</v>
      </c>
      <c r="F246" s="57">
        <v>321</v>
      </c>
      <c r="G246" s="58"/>
      <c r="H246" s="57"/>
      <c r="I246" s="57"/>
      <c r="J246" s="68">
        <v>285.69</v>
      </c>
      <c r="K246" s="6" t="s">
        <v>397</v>
      </c>
      <c r="L246" s="20">
        <f>IF(ISNA(MATCH(Transactions[[#This Row],[TransType]],TransTypes[TransType],0)),1,MATCH(Transactions[[#This Row],[TransType]],TransTypes[TransType],0))</f>
        <v>4</v>
      </c>
      <c r="M246" s="60">
        <f>IF( AND( INDEX(TransTypes[],Transactions[[#This Row],[TTR]],TT_COL_GLFlag)=1, INDEX(TransTypes[],Transactions[[#This Row],[TTR]],TT_COL_LONGORSHORT)="S" ),
      Transactions[[#This Row],[PL]],
      IF(INDEX(TransTypes[],Transactions[[#This Row],[TTR]],TT_COL_LONGORSHORT)="S",0,Transactions[[#This Row],[CalCashImpact]])
)</f>
        <v>285.69</v>
      </c>
      <c r="N246" s="61">
        <f>IF(VLOOKUP(Transactions[[#This Row],[Symbol]],Symbols[],COLUMN(Symbols[Currency])-COLUMN(Symbols[])+1,FALSE)=
       VLOOKUP(Transactions[[#This Row],[Account]],Accounts[],COLUMN(Accounts[Currency])-COLUMN(Accounts[])+1,FALSE),
     Transactions[[#This Row],[OrigCashImpact]],
     0
)</f>
        <v>285.69</v>
      </c>
      <c r="O24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-102795.39826114675</v>
      </c>
      <c r="P24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4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321</v>
      </c>
      <c r="R246" s="41">
        <f>ROW()</f>
        <v>246</v>
      </c>
      <c r="S2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53222.280000000006</v>
      </c>
      <c r="U24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321</v>
      </c>
      <c r="V246" s="65">
        <f>IF(INDEX(TransTypes[],Transactions[[#This Row],[TTR]],TT_COL_GLFlag)=1,Transactions[[#This Row],[CalCashImpact]]+Transactions[[#This Row],[CostImpact]],0)</f>
        <v>0</v>
      </c>
      <c r="W246" s="66">
        <f>Transactions[[#This Row],[Amount]]*INDEX(TransTypes[],Transactions[[#This Row],[TTR]],TT_COL_AmntSign)</f>
        <v>285.69</v>
      </c>
      <c r="X246" s="66">
        <f>IF(INDEX(TransTypes[],Transactions[[#This Row],[TTR]],TT_COL_LONGORSHORT)="S",
      IF( OR(INDEX(TransTypes[],Transactions[[#This Row],[TTR]],TT_COL_GLFlag)=1, INDEX(TransTypes[], Transactions[[#This Row],[TTR]], TT_COL_ShareTransferFlag)=1),
            Transactions[[#This Row],[CostImpact]]*-1,
            Transactions[[#This Row],[CalCashImpact]]
      ),
     0
)</f>
        <v>0</v>
      </c>
      <c r="Y246" s="67" t="str">
        <f>VLOOKUP(Transactions[[#This Row],[Symbol]],Symbols[], COLUMN(Symbols[Currency])-COLUMN(Symbols[])+1,FALSE)</f>
        <v>USD</v>
      </c>
    </row>
    <row r="247" spans="1:25">
      <c r="A247" s="55" t="s">
        <v>65</v>
      </c>
      <c r="B247" s="56">
        <v>43083</v>
      </c>
      <c r="C247" s="55" t="s">
        <v>123</v>
      </c>
      <c r="D247" s="55"/>
      <c r="E247" s="55" t="s">
        <v>289</v>
      </c>
      <c r="F247" s="57"/>
      <c r="G247" s="58"/>
      <c r="H247" s="57"/>
      <c r="I247" s="57"/>
      <c r="J247" s="68">
        <v>42.85</v>
      </c>
      <c r="K247" s="6" t="s">
        <v>398</v>
      </c>
      <c r="L247" s="20">
        <f>IF(ISNA(MATCH(Transactions[[#This Row],[TransType]],TransTypes[TransType],0)),1,MATCH(Transactions[[#This Row],[TransType]],TransTypes[TransType],0))</f>
        <v>7</v>
      </c>
      <c r="M247" s="60">
        <f>IF( AND( INDEX(TransTypes[],Transactions[[#This Row],[TTR]],TT_COL_GLFlag)=1, INDEX(TransTypes[],Transactions[[#This Row],[TTR]],TT_COL_LONGORSHORT)="S" ),
      Transactions[[#This Row],[PL]],
      IF(INDEX(TransTypes[],Transactions[[#This Row],[TTR]],TT_COL_LONGORSHORT)="S",0,Transactions[[#This Row],[CalCashImpact]])
)</f>
        <v>-42.85</v>
      </c>
      <c r="N247" s="61">
        <f>IF(VLOOKUP(Transactions[[#This Row],[Symbol]],Symbols[],COLUMN(Symbols[Currency])-COLUMN(Symbols[])+1,FALSE)=
       VLOOKUP(Transactions[[#This Row],[Account]],Accounts[],COLUMN(Accounts[Currency])-COLUMN(Accounts[])+1,FALSE),
     Transactions[[#This Row],[OrigCashImpact]],
     0
)</f>
        <v>-42.85</v>
      </c>
      <c r="O24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-102838.24826114674</v>
      </c>
      <c r="P24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4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321</v>
      </c>
      <c r="R247" s="41">
        <f>ROW()</f>
        <v>247</v>
      </c>
      <c r="S2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53222.280000000006</v>
      </c>
      <c r="U24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321</v>
      </c>
      <c r="V247" s="65">
        <f>IF(INDEX(TransTypes[],Transactions[[#This Row],[TTR]],TT_COL_GLFlag)=1,Transactions[[#This Row],[CalCashImpact]]+Transactions[[#This Row],[CostImpact]],0)</f>
        <v>0</v>
      </c>
      <c r="W247" s="66">
        <f>Transactions[[#This Row],[Amount]]*INDEX(TransTypes[],Transactions[[#This Row],[TTR]],TT_COL_AmntSign)</f>
        <v>-42.85</v>
      </c>
      <c r="X247" s="66">
        <f>IF(INDEX(TransTypes[],Transactions[[#This Row],[TTR]],TT_COL_LONGORSHORT)="S",
      IF( OR(INDEX(TransTypes[],Transactions[[#This Row],[TTR]],TT_COL_GLFlag)=1, INDEX(TransTypes[], Transactions[[#This Row],[TTR]], TT_COL_ShareTransferFlag)=1),
            Transactions[[#This Row],[CostImpact]]*-1,
            Transactions[[#This Row],[CalCashImpact]]
      ),
     0
)</f>
        <v>0</v>
      </c>
      <c r="Y247" s="67" t="str">
        <f>VLOOKUP(Transactions[[#This Row],[Symbol]],Symbols[], COLUMN(Symbols[Currency])-COLUMN(Symbols[])+1,FALSE)</f>
        <v>USD</v>
      </c>
    </row>
    <row r="248" spans="1:25">
      <c r="A248" s="55" t="s">
        <v>65</v>
      </c>
      <c r="B248" s="56">
        <v>43087</v>
      </c>
      <c r="C248" s="55" t="s">
        <v>113</v>
      </c>
      <c r="D248" s="55"/>
      <c r="E248" s="55" t="s">
        <v>258</v>
      </c>
      <c r="F248" s="57">
        <v>2000</v>
      </c>
      <c r="G248" s="58">
        <v>30</v>
      </c>
      <c r="H248" s="57">
        <v>171.24</v>
      </c>
      <c r="I248" s="57"/>
      <c r="J248" s="68">
        <v>60171.24</v>
      </c>
      <c r="K248" s="6"/>
      <c r="L248" s="20">
        <f>IF(ISNA(MATCH(Transactions[[#This Row],[TransType]],TransTypes[TransType],0)),1,MATCH(Transactions[[#This Row],[TransType]],TransTypes[TransType],0))</f>
        <v>2</v>
      </c>
      <c r="M248" s="60">
        <f>IF( AND( INDEX(TransTypes[],Transactions[[#This Row],[TTR]],TT_COL_GLFlag)=1, INDEX(TransTypes[],Transactions[[#This Row],[TTR]],TT_COL_LONGORSHORT)="S" ),
      Transactions[[#This Row],[PL]],
      IF(INDEX(TransTypes[],Transactions[[#This Row],[TTR]],TT_COL_LONGORSHORT)="S",0,Transactions[[#This Row],[CalCashImpact]])
)</f>
        <v>-60171.24</v>
      </c>
      <c r="N248" s="61">
        <f>IF(VLOOKUP(Transactions[[#This Row],[Symbol]],Symbols[],COLUMN(Symbols[Currency])-COLUMN(Symbols[])+1,FALSE)=
       VLOOKUP(Transactions[[#This Row],[Account]],Accounts[],COLUMN(Accounts[Currency])-COLUMN(Accounts[])+1,FALSE),
     Transactions[[#This Row],[OrigCashImpact]],
     0
)</f>
        <v>0</v>
      </c>
      <c r="O24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-102838.24826114676</v>
      </c>
      <c r="P24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24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248" s="41">
        <f>ROW()</f>
        <v>248</v>
      </c>
      <c r="S2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60171.24</v>
      </c>
      <c r="T2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349347.49089999998</v>
      </c>
      <c r="U24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248" s="65">
        <f>IF(INDEX(TransTypes[],Transactions[[#This Row],[TTR]],TT_COL_GLFlag)=1,Transactions[[#This Row],[CalCashImpact]]+Transactions[[#This Row],[CostImpact]],0)</f>
        <v>0</v>
      </c>
      <c r="W248" s="66">
        <f>Transactions[[#This Row],[Amount]]*INDEX(TransTypes[],Transactions[[#This Row],[TTR]],TT_COL_AmntSign)</f>
        <v>-60171.24</v>
      </c>
      <c r="X248" s="66">
        <f>IF(INDEX(TransTypes[],Transactions[[#This Row],[TTR]],TT_COL_LONGORSHORT)="S",
      IF( OR(INDEX(TransTypes[],Transactions[[#This Row],[TTR]],TT_COL_GLFlag)=1, INDEX(TransTypes[], Transactions[[#This Row],[TTR]], TT_COL_ShareTransferFlag)=1),
            Transactions[[#This Row],[CostImpact]]*-1,
            Transactions[[#This Row],[CalCashImpact]]
      ),
     0
)</f>
        <v>0</v>
      </c>
      <c r="Y248" s="67" t="str">
        <f>VLOOKUP(Transactions[[#This Row],[Symbol]],Symbols[], COLUMN(Symbols[Currency])-COLUMN(Symbols[])+1,FALSE)</f>
        <v>HKD</v>
      </c>
    </row>
    <row r="249" spans="1:25">
      <c r="A249" s="55" t="s">
        <v>65</v>
      </c>
      <c r="B249" s="56">
        <v>43087</v>
      </c>
      <c r="C249" s="55" t="s">
        <v>115</v>
      </c>
      <c r="D249" s="55"/>
      <c r="E249" s="55" t="s">
        <v>270</v>
      </c>
      <c r="F249" s="57">
        <v>13000</v>
      </c>
      <c r="G249" s="58">
        <v>15.96</v>
      </c>
      <c r="H249" s="57">
        <v>593.18791999999996</v>
      </c>
      <c r="I249" s="57"/>
      <c r="J249" s="68">
        <v>206886.81208</v>
      </c>
      <c r="K249" s="6"/>
      <c r="L249" s="20">
        <f>IF(ISNA(MATCH(Transactions[[#This Row],[TransType]],TransTypes[TransType],0)),1,MATCH(Transactions[[#This Row],[TransType]],TransTypes[TransType],0))</f>
        <v>3</v>
      </c>
      <c r="M249" s="60">
        <f>IF( AND( INDEX(TransTypes[],Transactions[[#This Row],[TTR]],TT_COL_GLFlag)=1, INDEX(TransTypes[],Transactions[[#This Row],[TTR]],TT_COL_LONGORSHORT)="S" ),
      Transactions[[#This Row],[PL]],
      IF(INDEX(TransTypes[],Transactions[[#This Row],[TTR]],TT_COL_LONGORSHORT)="S",0,Transactions[[#This Row],[CalCashImpact]])
)</f>
        <v>206886.81208</v>
      </c>
      <c r="N249" s="61">
        <f>IF(VLOOKUP(Transactions[[#This Row],[Symbol]],Symbols[],COLUMN(Symbols[Currency])-COLUMN(Symbols[])+1,FALSE)=
       VLOOKUP(Transactions[[#This Row],[Account]],Accounts[],COLUMN(Accounts[Currency])-COLUMN(Accounts[])+1,FALSE),
     Transactions[[#This Row],[OrigCashImpact]],
     0
)</f>
        <v>0</v>
      </c>
      <c r="O24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-102838.24826114676</v>
      </c>
      <c r="P24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-13000</v>
      </c>
      <c r="Q24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40000</v>
      </c>
      <c r="R249" s="41">
        <f>ROW()</f>
        <v>249</v>
      </c>
      <c r="S2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-226931.39486905659</v>
      </c>
      <c r="T2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698250.44575094339</v>
      </c>
      <c r="U24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53000</v>
      </c>
      <c r="V249" s="65">
        <f>IF(INDEX(TransTypes[],Transactions[[#This Row],[TTR]],TT_COL_GLFlag)=1,Transactions[[#This Row],[CalCashImpact]]+Transactions[[#This Row],[CostImpact]],0)</f>
        <v>-20044.582789056585</v>
      </c>
      <c r="W249" s="66">
        <f>Transactions[[#This Row],[Amount]]*INDEX(TransTypes[],Transactions[[#This Row],[TTR]],TT_COL_AmntSign)</f>
        <v>206886.81208</v>
      </c>
      <c r="X249" s="66">
        <f>IF(INDEX(TransTypes[],Transactions[[#This Row],[TTR]],TT_COL_LONGORSHORT)="S",
      IF( OR(INDEX(TransTypes[],Transactions[[#This Row],[TTR]],TT_COL_GLFlag)=1, INDEX(TransTypes[], Transactions[[#This Row],[TTR]], TT_COL_ShareTransferFlag)=1),
            Transactions[[#This Row],[CostImpact]]*-1,
            Transactions[[#This Row],[CalCashImpact]]
      ),
     0
)</f>
        <v>0</v>
      </c>
      <c r="Y249" s="67" t="str">
        <f>VLOOKUP(Transactions[[#This Row],[Symbol]],Symbols[], COLUMN(Symbols[Currency])-COLUMN(Symbols[])+1,FALSE)</f>
        <v>HKD</v>
      </c>
    </row>
    <row r="250" spans="1:25">
      <c r="A250" s="55" t="s">
        <v>65</v>
      </c>
      <c r="B250" s="56">
        <v>43087</v>
      </c>
      <c r="C250" s="55" t="s">
        <v>113</v>
      </c>
      <c r="D250" s="55"/>
      <c r="E250" s="55" t="s">
        <v>285</v>
      </c>
      <c r="F250" s="57">
        <v>2</v>
      </c>
      <c r="G250" s="58">
        <v>116.18989999999999</v>
      </c>
      <c r="H250" s="57">
        <v>1</v>
      </c>
      <c r="I250" s="57"/>
      <c r="J250" s="68">
        <v>233.37979999999999</v>
      </c>
      <c r="K250" s="6"/>
      <c r="L250" s="20">
        <f>IF(ISNA(MATCH(Transactions[[#This Row],[TransType]],TransTypes[TransType],0)),1,MATCH(Transactions[[#This Row],[TransType]],TransTypes[TransType],0))</f>
        <v>2</v>
      </c>
      <c r="M250" s="60">
        <f>IF( AND( INDEX(TransTypes[],Transactions[[#This Row],[TTR]],TT_COL_GLFlag)=1, INDEX(TransTypes[],Transactions[[#This Row],[TTR]],TT_COL_LONGORSHORT)="S" ),
      Transactions[[#This Row],[PL]],
      IF(INDEX(TransTypes[],Transactions[[#This Row],[TTR]],TT_COL_LONGORSHORT)="S",0,Transactions[[#This Row],[CalCashImpact]])
)</f>
        <v>-233.37979999999999</v>
      </c>
      <c r="N250" s="61">
        <f>IF(VLOOKUP(Transactions[[#This Row],[Symbol]],Symbols[],COLUMN(Symbols[Currency])-COLUMN(Symbols[])+1,FALSE)=
       VLOOKUP(Transactions[[#This Row],[Account]],Accounts[],COLUMN(Accounts[Currency])-COLUMN(Accounts[])+1,FALSE),
     Transactions[[#This Row],[OrigCashImpact]],
     0
)</f>
        <v>-233.37979999999999</v>
      </c>
      <c r="O25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-103071.62806114675</v>
      </c>
      <c r="P25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25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1502</v>
      </c>
      <c r="R250" s="41">
        <f>ROW()</f>
        <v>250</v>
      </c>
      <c r="S2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233.37979999999999</v>
      </c>
      <c r="T2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173025.19798181817</v>
      </c>
      <c r="U25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250" s="65">
        <f>IF(INDEX(TransTypes[],Transactions[[#This Row],[TTR]],TT_COL_GLFlag)=1,Transactions[[#This Row],[CalCashImpact]]+Transactions[[#This Row],[CostImpact]],0)</f>
        <v>0</v>
      </c>
      <c r="W250" s="66">
        <f>Transactions[[#This Row],[Amount]]*INDEX(TransTypes[],Transactions[[#This Row],[TTR]],TT_COL_AmntSign)</f>
        <v>-233.37979999999999</v>
      </c>
      <c r="X250" s="66">
        <f>IF(INDEX(TransTypes[],Transactions[[#This Row],[TTR]],TT_COL_LONGORSHORT)="S",
      IF( OR(INDEX(TransTypes[],Transactions[[#This Row],[TTR]],TT_COL_GLFlag)=1, INDEX(TransTypes[], Transactions[[#This Row],[TTR]], TT_COL_ShareTransferFlag)=1),
            Transactions[[#This Row],[CostImpact]]*-1,
            Transactions[[#This Row],[CalCashImpact]]
      ),
     0
)</f>
        <v>0</v>
      </c>
      <c r="Y250" s="67" t="str">
        <f>VLOOKUP(Transactions[[#This Row],[Symbol]],Symbols[], COLUMN(Symbols[Currency])-COLUMN(Symbols[])+1,FALSE)</f>
        <v>USD</v>
      </c>
    </row>
    <row r="251" spans="1:25">
      <c r="A251" s="55" t="s">
        <v>65</v>
      </c>
      <c r="B251" s="56">
        <v>43087</v>
      </c>
      <c r="C251" s="55" t="s">
        <v>113</v>
      </c>
      <c r="D251" s="55"/>
      <c r="E251" s="55" t="s">
        <v>289</v>
      </c>
      <c r="F251" s="57">
        <v>1</v>
      </c>
      <c r="G251" s="58">
        <v>184.56</v>
      </c>
      <c r="H251" s="57">
        <v>1</v>
      </c>
      <c r="I251" s="57"/>
      <c r="J251" s="68">
        <v>185.56</v>
      </c>
      <c r="K251" s="6"/>
      <c r="L251" s="20">
        <f>IF(ISNA(MATCH(Transactions[[#This Row],[TransType]],TransTypes[TransType],0)),1,MATCH(Transactions[[#This Row],[TransType]],TransTypes[TransType],0))</f>
        <v>2</v>
      </c>
      <c r="M251" s="60">
        <f>IF( AND( INDEX(TransTypes[],Transactions[[#This Row],[TTR]],TT_COL_GLFlag)=1, INDEX(TransTypes[],Transactions[[#This Row],[TTR]],TT_COL_LONGORSHORT)="S" ),
      Transactions[[#This Row],[PL]],
      IF(INDEX(TransTypes[],Transactions[[#This Row],[TTR]],TT_COL_LONGORSHORT)="S",0,Transactions[[#This Row],[CalCashImpact]])
)</f>
        <v>-185.56</v>
      </c>
      <c r="N251" s="61">
        <f>IF(VLOOKUP(Transactions[[#This Row],[Symbol]],Symbols[],COLUMN(Symbols[Currency])-COLUMN(Symbols[])+1,FALSE)=
       VLOOKUP(Transactions[[#This Row],[Account]],Accounts[],COLUMN(Accounts[Currency])-COLUMN(Accounts[])+1,FALSE),
     Transactions[[#This Row],[OrigCashImpact]],
     0
)</f>
        <v>-185.56</v>
      </c>
      <c r="O25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-103257.18806114675</v>
      </c>
      <c r="P25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25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322</v>
      </c>
      <c r="R251" s="41">
        <f>ROW()</f>
        <v>251</v>
      </c>
      <c r="S2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185.56</v>
      </c>
      <c r="T2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53407.840000000004</v>
      </c>
      <c r="U25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322</v>
      </c>
      <c r="V251" s="65">
        <f>IF(INDEX(TransTypes[],Transactions[[#This Row],[TTR]],TT_COL_GLFlag)=1,Transactions[[#This Row],[CalCashImpact]]+Transactions[[#This Row],[CostImpact]],0)</f>
        <v>0</v>
      </c>
      <c r="W251" s="66">
        <f>Transactions[[#This Row],[Amount]]*INDEX(TransTypes[],Transactions[[#This Row],[TTR]],TT_COL_AmntSign)</f>
        <v>-185.56</v>
      </c>
      <c r="X251" s="66">
        <f>IF(INDEX(TransTypes[],Transactions[[#This Row],[TTR]],TT_COL_LONGORSHORT)="S",
      IF( OR(INDEX(TransTypes[],Transactions[[#This Row],[TTR]],TT_COL_GLFlag)=1, INDEX(TransTypes[], Transactions[[#This Row],[TTR]], TT_COL_ShareTransferFlag)=1),
            Transactions[[#This Row],[CostImpact]]*-1,
            Transactions[[#This Row],[CalCashImpact]]
      ),
     0
)</f>
        <v>0</v>
      </c>
      <c r="Y251" s="67" t="str">
        <f>VLOOKUP(Transactions[[#This Row],[Symbol]],Symbols[], COLUMN(Symbols[Currency])-COLUMN(Symbols[])+1,FALSE)</f>
        <v>USD</v>
      </c>
    </row>
    <row r="252" spans="1:25">
      <c r="A252" s="55" t="s">
        <v>65</v>
      </c>
      <c r="B252" s="56">
        <v>43087</v>
      </c>
      <c r="C252" s="55" t="s">
        <v>113</v>
      </c>
      <c r="D252" s="55"/>
      <c r="E252" s="55" t="s">
        <v>305</v>
      </c>
      <c r="F252" s="57">
        <v>2</v>
      </c>
      <c r="G252" s="58">
        <v>141.5889</v>
      </c>
      <c r="H252" s="57">
        <v>1</v>
      </c>
      <c r="I252" s="57"/>
      <c r="J252" s="68">
        <v>284.17779999999999</v>
      </c>
      <c r="K252" s="6"/>
      <c r="L252" s="20">
        <f>IF(ISNA(MATCH(Transactions[[#This Row],[TransType]],TransTypes[TransType],0)),1,MATCH(Transactions[[#This Row],[TransType]],TransTypes[TransType],0))</f>
        <v>2</v>
      </c>
      <c r="M252" s="60">
        <f>IF( AND( INDEX(TransTypes[],Transactions[[#This Row],[TTR]],TT_COL_GLFlag)=1, INDEX(TransTypes[],Transactions[[#This Row],[TTR]],TT_COL_LONGORSHORT)="S" ),
      Transactions[[#This Row],[PL]],
      IF(INDEX(TransTypes[],Transactions[[#This Row],[TTR]],TT_COL_LONGORSHORT)="S",0,Transactions[[#This Row],[CalCashImpact]])
)</f>
        <v>-284.17779999999999</v>
      </c>
      <c r="N252" s="61">
        <f>IF(VLOOKUP(Transactions[[#This Row],[Symbol]],Symbols[],COLUMN(Symbols[Currency])-COLUMN(Symbols[])+1,FALSE)=
       VLOOKUP(Transactions[[#This Row],[Account]],Accounts[],COLUMN(Accounts[Currency])-COLUMN(Accounts[])+1,FALSE),
     Transactions[[#This Row],[OrigCashImpact]],
     0
)</f>
        <v>-284.17779999999999</v>
      </c>
      <c r="O25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-103541.36586114675</v>
      </c>
      <c r="P25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25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374</v>
      </c>
      <c r="R252" s="41">
        <f>ROW()</f>
        <v>252</v>
      </c>
      <c r="S2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284.17779999999999</v>
      </c>
      <c r="T2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50969.523589473683</v>
      </c>
      <c r="U25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374</v>
      </c>
      <c r="V252" s="65">
        <f>IF(INDEX(TransTypes[],Transactions[[#This Row],[TTR]],TT_COL_GLFlag)=1,Transactions[[#This Row],[CalCashImpact]]+Transactions[[#This Row],[CostImpact]],0)</f>
        <v>0</v>
      </c>
      <c r="W252" s="66">
        <f>Transactions[[#This Row],[Amount]]*INDEX(TransTypes[],Transactions[[#This Row],[TTR]],TT_COL_AmntSign)</f>
        <v>-284.17779999999999</v>
      </c>
      <c r="X252" s="66">
        <f>IF(INDEX(TransTypes[],Transactions[[#This Row],[TTR]],TT_COL_LONGORSHORT)="S",
      IF( OR(INDEX(TransTypes[],Transactions[[#This Row],[TTR]],TT_COL_GLFlag)=1, INDEX(TransTypes[], Transactions[[#This Row],[TTR]], TT_COL_ShareTransferFlag)=1),
            Transactions[[#This Row],[CostImpact]]*-1,
            Transactions[[#This Row],[CalCashImpact]]
      ),
     0
)</f>
        <v>0</v>
      </c>
      <c r="Y252" s="67" t="str">
        <f>VLOOKUP(Transactions[[#This Row],[Symbol]],Symbols[], COLUMN(Symbols[Currency])-COLUMN(Symbols[])+1,FALSE)</f>
        <v>USD</v>
      </c>
    </row>
    <row r="253" spans="1:25">
      <c r="A253" s="55" t="s">
        <v>65</v>
      </c>
      <c r="B253" s="56">
        <v>43087</v>
      </c>
      <c r="C253" s="55" t="s">
        <v>113</v>
      </c>
      <c r="D253" s="55"/>
      <c r="E253" s="55" t="s">
        <v>313</v>
      </c>
      <c r="F253" s="57">
        <v>11</v>
      </c>
      <c r="G253" s="58">
        <v>26.23</v>
      </c>
      <c r="H253" s="57">
        <v>1</v>
      </c>
      <c r="I253" s="57"/>
      <c r="J253" s="68">
        <v>289.52999999999997</v>
      </c>
      <c r="K253" s="6"/>
      <c r="L253" s="20">
        <f>IF(ISNA(MATCH(Transactions[[#This Row],[TransType]],TransTypes[TransType],0)),1,MATCH(Transactions[[#This Row],[TransType]],TransTypes[TransType],0))</f>
        <v>2</v>
      </c>
      <c r="M253" s="60">
        <f>IF( AND( INDEX(TransTypes[],Transactions[[#This Row],[TTR]],TT_COL_GLFlag)=1, INDEX(TransTypes[],Transactions[[#This Row],[TTR]],TT_COL_LONGORSHORT)="S" ),
      Transactions[[#This Row],[PL]],
      IF(INDEX(TransTypes[],Transactions[[#This Row],[TTR]],TT_COL_LONGORSHORT)="S",0,Transactions[[#This Row],[CalCashImpact]])
)</f>
        <v>-289.52999999999997</v>
      </c>
      <c r="N253" s="61">
        <f>IF(VLOOKUP(Transactions[[#This Row],[Symbol]],Symbols[],COLUMN(Symbols[Currency])-COLUMN(Symbols[])+1,FALSE)=
       VLOOKUP(Transactions[[#This Row],[Account]],Accounts[],COLUMN(Accounts[Currency])-COLUMN(Accounts[])+1,FALSE),
     Transactions[[#This Row],[OrigCashImpact]],
     0
)</f>
        <v>-289.52999999999997</v>
      </c>
      <c r="O25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-103830.89586114675</v>
      </c>
      <c r="P25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v>
      </c>
      <c r="Q25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253" s="41">
        <f>ROW()</f>
        <v>253</v>
      </c>
      <c r="S2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289.52999999999997</v>
      </c>
      <c r="T2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25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253" s="65">
        <f>IF(INDEX(TransTypes[],Transactions[[#This Row],[TTR]],TT_COL_GLFlag)=1,Transactions[[#This Row],[CalCashImpact]]+Transactions[[#This Row],[CostImpact]],0)</f>
        <v>0</v>
      </c>
      <c r="W253" s="66">
        <f>Transactions[[#This Row],[Amount]]*INDEX(TransTypes[],Transactions[[#This Row],[TTR]],TT_COL_AmntSign)</f>
        <v>-289.52999999999997</v>
      </c>
      <c r="X253" s="66">
        <f>IF(INDEX(TransTypes[],Transactions[[#This Row],[TTR]],TT_COL_LONGORSHORT)="S",
      IF( OR(INDEX(TransTypes[],Transactions[[#This Row],[TTR]],TT_COL_GLFlag)=1, INDEX(TransTypes[], Transactions[[#This Row],[TTR]], TT_COL_ShareTransferFlag)=1),
            Transactions[[#This Row],[CostImpact]]*-1,
            Transactions[[#This Row],[CalCashImpact]]
      ),
     0
)</f>
        <v>0</v>
      </c>
      <c r="Y253" s="67" t="str">
        <f>VLOOKUP(Transactions[[#This Row],[Symbol]],Symbols[], COLUMN(Symbols[Currency])-COLUMN(Symbols[])+1,FALSE)</f>
        <v>USD</v>
      </c>
    </row>
    <row r="254" spans="1:25">
      <c r="A254" s="55" t="s">
        <v>65</v>
      </c>
      <c r="B254" s="56">
        <v>43087</v>
      </c>
      <c r="C254" s="55" t="s">
        <v>113</v>
      </c>
      <c r="D254" s="55"/>
      <c r="E254" s="55" t="s">
        <v>20</v>
      </c>
      <c r="F254" s="57">
        <v>4</v>
      </c>
      <c r="G254" s="58">
        <v>127.71</v>
      </c>
      <c r="H254" s="57">
        <v>1</v>
      </c>
      <c r="I254" s="57"/>
      <c r="J254" s="68">
        <v>511.84</v>
      </c>
      <c r="K254" s="6"/>
      <c r="L254" s="20">
        <f>IF(ISNA(MATCH(Transactions[[#This Row],[TransType]],TransTypes[TransType],0)),1,MATCH(Transactions[[#This Row],[TransType]],TransTypes[TransType],0))</f>
        <v>2</v>
      </c>
      <c r="M254" s="60">
        <f>IF( AND( INDEX(TransTypes[],Transactions[[#This Row],[TTR]],TT_COL_GLFlag)=1, INDEX(TransTypes[],Transactions[[#This Row],[TTR]],TT_COL_LONGORSHORT)="S" ),
      Transactions[[#This Row],[PL]],
      IF(INDEX(TransTypes[],Transactions[[#This Row],[TTR]],TT_COL_LONGORSHORT)="S",0,Transactions[[#This Row],[CalCashImpact]])
)</f>
        <v>-511.84</v>
      </c>
      <c r="N254" s="61">
        <f>IF(VLOOKUP(Transactions[[#This Row],[Symbol]],Symbols[],COLUMN(Symbols[Currency])-COLUMN(Symbols[])+1,FALSE)=
       VLOOKUP(Transactions[[#This Row],[Account]],Accounts[],COLUMN(Accounts[Currency])-COLUMN(Accounts[])+1,FALSE),
     Transactions[[#This Row],[OrigCashImpact]],
     0
)</f>
        <v>-511.84</v>
      </c>
      <c r="O25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-104342.73586114675</v>
      </c>
      <c r="P25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25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254" s="41">
        <f>ROW()</f>
        <v>254</v>
      </c>
      <c r="S2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511.84</v>
      </c>
      <c r="T2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256413.72825185183</v>
      </c>
      <c r="U25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254" s="65">
        <f>IF(INDEX(TransTypes[],Transactions[[#This Row],[TTR]],TT_COL_GLFlag)=1,Transactions[[#This Row],[CalCashImpact]]+Transactions[[#This Row],[CostImpact]],0)</f>
        <v>0</v>
      </c>
      <c r="W254" s="66">
        <f>Transactions[[#This Row],[Amount]]*INDEX(TransTypes[],Transactions[[#This Row],[TTR]],TT_COL_AmntSign)</f>
        <v>-511.84</v>
      </c>
      <c r="X254" s="66">
        <f>IF(INDEX(TransTypes[],Transactions[[#This Row],[TTR]],TT_COL_LONGORSHORT)="S",
      IF( OR(INDEX(TransTypes[],Transactions[[#This Row],[TTR]],TT_COL_GLFlag)=1, INDEX(TransTypes[], Transactions[[#This Row],[TTR]], TT_COL_ShareTransferFlag)=1),
            Transactions[[#This Row],[CostImpact]]*-1,
            Transactions[[#This Row],[CalCashImpact]]
      ),
     0
)</f>
        <v>0</v>
      </c>
      <c r="Y254" s="67" t="str">
        <f>VLOOKUP(Transactions[[#This Row],[Symbol]],Symbols[], COLUMN(Symbols[Currency])-COLUMN(Symbols[])+1,FALSE)</f>
        <v>USD</v>
      </c>
    </row>
    <row r="255" spans="1:25">
      <c r="A255" s="55" t="s">
        <v>65</v>
      </c>
      <c r="B255" s="56">
        <v>43087</v>
      </c>
      <c r="C255" s="55" t="s">
        <v>158</v>
      </c>
      <c r="D255" s="55"/>
      <c r="E255" s="55" t="s">
        <v>333</v>
      </c>
      <c r="F255" s="57">
        <v>16</v>
      </c>
      <c r="G255" s="58">
        <v>0.79</v>
      </c>
      <c r="H255" s="57">
        <v>20.575198400000001</v>
      </c>
      <c r="I255" s="57"/>
      <c r="J255" s="68">
        <v>1243.4248015999999</v>
      </c>
      <c r="K255" s="6"/>
      <c r="L255" s="20">
        <f>IF(ISNA(MATCH(Transactions[[#This Row],[TransType]],TransTypes[TransType],0)),1,MATCH(Transactions[[#This Row],[TransType]],TransTypes[TransType],0))</f>
        <v>19</v>
      </c>
      <c r="M255" s="60">
        <f>IF( AND( INDEX(TransTypes[],Transactions[[#This Row],[TTR]],TT_COL_GLFlag)=1, INDEX(TransTypes[],Transactions[[#This Row],[TTR]],TT_COL_LONGORSHORT)="S" ),
      Transactions[[#This Row],[PL]],
      IF(INDEX(TransTypes[],Transactions[[#This Row],[TTR]],TT_COL_LONGORSHORT)="S",0,Transactions[[#This Row],[CalCashImpact]])
)</f>
        <v>0</v>
      </c>
      <c r="N255" s="61">
        <f>IF(VLOOKUP(Transactions[[#This Row],[Symbol]],Symbols[],COLUMN(Symbols[Currency])-COLUMN(Symbols[])+1,FALSE)=
       VLOOKUP(Transactions[[#This Row],[Account]],Accounts[],COLUMN(Accounts[Currency])-COLUMN(Accounts[])+1,FALSE),
     Transactions[[#This Row],[OrigCashImpact]],
     0
)</f>
        <v>0</v>
      </c>
      <c r="O25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-104342.73586114675</v>
      </c>
      <c r="P25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v>
      </c>
      <c r="Q25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v>
      </c>
      <c r="R255" s="41">
        <f>ROW()</f>
        <v>255</v>
      </c>
      <c r="S2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-1243.4248015999999</v>
      </c>
      <c r="T2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-1243.4248015999999</v>
      </c>
      <c r="U25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v>
      </c>
      <c r="V255" s="65">
        <f>IF(INDEX(TransTypes[],Transactions[[#This Row],[TTR]],TT_COL_GLFlag)=1,Transactions[[#This Row],[CalCashImpact]]+Transactions[[#This Row],[CostImpact]],0)</f>
        <v>0</v>
      </c>
      <c r="W255" s="66">
        <f>Transactions[[#This Row],[Amount]]*INDEX(TransTypes[],Transactions[[#This Row],[TTR]],TT_COL_AmntSign)</f>
        <v>1243.4248015999999</v>
      </c>
      <c r="X255" s="66">
        <f>IF(INDEX(TransTypes[],Transactions[[#This Row],[TTR]],TT_COL_LONGORSHORT)="S",
      IF( OR(INDEX(TransTypes[],Transactions[[#This Row],[TTR]],TT_COL_GLFlag)=1, INDEX(TransTypes[], Transactions[[#This Row],[TTR]], TT_COL_ShareTransferFlag)=1),
            Transactions[[#This Row],[CostImpact]]*-1,
            Transactions[[#This Row],[CalCashImpact]]
      ),
     0
)</f>
        <v>1243.4248015999999</v>
      </c>
      <c r="Y255" s="67" t="str">
        <f>VLOOKUP(Transactions[[#This Row],[Symbol]],Symbols[], COLUMN(Symbols[Currency])-COLUMN(Symbols[])+1,FALSE)</f>
        <v>USD</v>
      </c>
    </row>
    <row r="256" spans="1:25">
      <c r="A256" s="55" t="s">
        <v>65</v>
      </c>
      <c r="B256" s="56">
        <v>43088</v>
      </c>
      <c r="C256" s="55" t="s">
        <v>115</v>
      </c>
      <c r="D256" s="55"/>
      <c r="E256" s="55" t="s">
        <v>316</v>
      </c>
      <c r="F256" s="57">
        <v>100</v>
      </c>
      <c r="G256" s="58">
        <v>335.16</v>
      </c>
      <c r="H256" s="57">
        <v>1.7861195999999999</v>
      </c>
      <c r="I256" s="57"/>
      <c r="J256" s="68">
        <v>33514.213880399999</v>
      </c>
      <c r="K256" s="6"/>
      <c r="L256" s="20">
        <f>IF(ISNA(MATCH(Transactions[[#This Row],[TransType]],TransTypes[TransType],0)),1,MATCH(Transactions[[#This Row],[TransType]],TransTypes[TransType],0))</f>
        <v>3</v>
      </c>
      <c r="M256" s="60">
        <f>IF( AND( INDEX(TransTypes[],Transactions[[#This Row],[TTR]],TT_COL_GLFlag)=1, INDEX(TransTypes[],Transactions[[#This Row],[TTR]],TT_COL_LONGORSHORT)="S" ),
      Transactions[[#This Row],[PL]],
      IF(INDEX(TransTypes[],Transactions[[#This Row],[TTR]],TT_COL_LONGORSHORT)="S",0,Transactions[[#This Row],[CalCashImpact]])
)</f>
        <v>33514.213880399999</v>
      </c>
      <c r="N256" s="61">
        <f>IF(VLOOKUP(Transactions[[#This Row],[Symbol]],Symbols[],COLUMN(Symbols[Currency])-COLUMN(Symbols[])+1,FALSE)=
       VLOOKUP(Transactions[[#This Row],[Account]],Accounts[],COLUMN(Accounts[Currency])-COLUMN(Accounts[])+1,FALSE),
     Transactions[[#This Row],[OrigCashImpact]],
     0
)</f>
        <v>33514.213880399999</v>
      </c>
      <c r="O256"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-70828.521980746751</v>
      </c>
      <c r="P256"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256"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256" s="41">
        <f>ROW()</f>
        <v>256</v>
      </c>
      <c r="S2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-31106.84403669725</v>
      </c>
      <c r="T2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93320.532110091735</v>
      </c>
      <c r="U256"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256" s="65">
        <f>IF(INDEX(TransTypes[],Transactions[[#This Row],[TTR]],TT_COL_GLFlag)=1,Transactions[[#This Row],[CalCashImpact]]+Transactions[[#This Row],[CostImpact]],0)</f>
        <v>2407.3698437027488</v>
      </c>
      <c r="W256" s="66">
        <f>Transactions[[#This Row],[Amount]]*INDEX(TransTypes[],Transactions[[#This Row],[TTR]],TT_COL_AmntSign)</f>
        <v>33514.213880399999</v>
      </c>
      <c r="X256" s="66">
        <f>IF(INDEX(TransTypes[],Transactions[[#This Row],[TTR]],TT_COL_LONGORSHORT)="S",
      IF( OR(INDEX(TransTypes[],Transactions[[#This Row],[TTR]],TT_COL_GLFlag)=1, INDEX(TransTypes[], Transactions[[#This Row],[TTR]], TT_COL_ShareTransferFlag)=1),
            Transactions[[#This Row],[CostImpact]]*-1,
            Transactions[[#This Row],[CalCashImpact]]
      ),
     0
)</f>
        <v>0</v>
      </c>
      <c r="Y256" s="67" t="str">
        <f>VLOOKUP(Transactions[[#This Row],[Symbol]],Symbols[], COLUMN(Symbols[Currency])-COLUMN(Symbols[])+1,FALSE)</f>
        <v>USD</v>
      </c>
    </row>
    <row r="257" spans="1:25">
      <c r="A257" s="55" t="s">
        <v>65</v>
      </c>
      <c r="B257" s="56">
        <v>43089</v>
      </c>
      <c r="C257" s="55" t="s">
        <v>113</v>
      </c>
      <c r="D257" s="55"/>
      <c r="E257" s="55" t="s">
        <v>258</v>
      </c>
      <c r="F257" s="57">
        <v>4000</v>
      </c>
      <c r="G257" s="58">
        <v>28.6</v>
      </c>
      <c r="H257" s="57">
        <v>327.69760000000002</v>
      </c>
      <c r="I257" s="57"/>
      <c r="J257" s="68">
        <v>114727.6976</v>
      </c>
      <c r="K257" s="6"/>
      <c r="L257" s="20">
        <f>IF(ISNA(MATCH(Transactions[[#This Row],[TransType]],TransTypes[TransType],0)),1,MATCH(Transactions[[#This Row],[TransType]],TransTypes[TransType],0))</f>
        <v>2</v>
      </c>
      <c r="M257" s="60">
        <f>IF( AND( INDEX(TransTypes[],Transactions[[#This Row],[TTR]],TT_COL_GLFlag)=1, INDEX(TransTypes[],Transactions[[#This Row],[TTR]],TT_COL_LONGORSHORT)="S" ),
      Transactions[[#This Row],[PL]],
      IF(INDEX(TransTypes[],Transactions[[#This Row],[TTR]],TT_COL_LONGORSHORT)="S",0,Transactions[[#This Row],[CalCashImpact]])
)</f>
        <v>-114727.6976</v>
      </c>
      <c r="N257" s="61">
        <f>IF(VLOOKUP(Transactions[[#This Row],[Symbol]],Symbols[],COLUMN(Symbols[Currency])-COLUMN(Symbols[])+1,FALSE)=
       VLOOKUP(Transactions[[#This Row],[Account]],Accounts[],COLUMN(Accounts[Currency])-COLUMN(Accounts[])+1,FALSE),
     Transactions[[#This Row],[OrigCashImpact]],
     0
)</f>
        <v>0</v>
      </c>
      <c r="O257"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-70828.521980746751</v>
      </c>
      <c r="P257"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257"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v>
      </c>
      <c r="R257" s="41">
        <f>ROW()</f>
        <v>257</v>
      </c>
      <c r="S2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114727.6976</v>
      </c>
      <c r="T2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464075.18849999999</v>
      </c>
      <c r="U257"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257" s="65">
        <f>IF(INDEX(TransTypes[],Transactions[[#This Row],[TTR]],TT_COL_GLFlag)=1,Transactions[[#This Row],[CalCashImpact]]+Transactions[[#This Row],[CostImpact]],0)</f>
        <v>0</v>
      </c>
      <c r="W257" s="66">
        <f>Transactions[[#This Row],[Amount]]*INDEX(TransTypes[],Transactions[[#This Row],[TTR]],TT_COL_AmntSign)</f>
        <v>-114727.6976</v>
      </c>
      <c r="X257" s="66">
        <f>IF(INDEX(TransTypes[],Transactions[[#This Row],[TTR]],TT_COL_LONGORSHORT)="S",
      IF( OR(INDEX(TransTypes[],Transactions[[#This Row],[TTR]],TT_COL_GLFlag)=1, INDEX(TransTypes[], Transactions[[#This Row],[TTR]], TT_COL_ShareTransferFlag)=1),
            Transactions[[#This Row],[CostImpact]]*-1,
            Transactions[[#This Row],[CalCashImpact]]
      ),
     0
)</f>
        <v>0</v>
      </c>
      <c r="Y257" s="67" t="str">
        <f>VLOOKUP(Transactions[[#This Row],[Symbol]],Symbols[], COLUMN(Symbols[Currency])-COLUMN(Symbols[])+1,FALSE)</f>
        <v>HKD</v>
      </c>
    </row>
    <row r="258" spans="1:25">
      <c r="A258" s="55" t="s">
        <v>65</v>
      </c>
      <c r="B258" s="56">
        <v>43089</v>
      </c>
      <c r="C258" s="55" t="s">
        <v>115</v>
      </c>
      <c r="D258" s="55"/>
      <c r="E258" s="55" t="s">
        <v>332</v>
      </c>
      <c r="F258" s="57">
        <v>3</v>
      </c>
      <c r="G258" s="58">
        <v>0.39</v>
      </c>
      <c r="H258" s="57">
        <v>2.2332027000000001</v>
      </c>
      <c r="I258" s="57"/>
      <c r="J258" s="68">
        <v>114.76679729999999</v>
      </c>
      <c r="K258" s="6"/>
      <c r="L258" s="20">
        <f>IF(ISNA(MATCH(Transactions[[#This Row],[TransType]],TransTypes[TransType],0)),1,MATCH(Transactions[[#This Row],[TransType]],TransTypes[TransType],0))</f>
        <v>3</v>
      </c>
      <c r="M258" s="60">
        <f>IF( AND( INDEX(TransTypes[],Transactions[[#This Row],[TTR]],TT_COL_GLFlag)=1, INDEX(TransTypes[],Transactions[[#This Row],[TTR]],TT_COL_LONGORSHORT)="S" ),
      Transactions[[#This Row],[PL]],
      IF(INDEX(TransTypes[],Transactions[[#This Row],[TTR]],TT_COL_LONGORSHORT)="S",0,Transactions[[#This Row],[CalCashImpact]])
)</f>
        <v>114.76679729999999</v>
      </c>
      <c r="N258" s="61">
        <f>IF(VLOOKUP(Transactions[[#This Row],[Symbol]],Symbols[],COLUMN(Symbols[Currency])-COLUMN(Symbols[])+1,FALSE)=
       VLOOKUP(Transactions[[#This Row],[Account]],Accounts[],COLUMN(Accounts[Currency])-COLUMN(Accounts[])+1,FALSE),
     Transactions[[#This Row],[OrigCashImpact]],
     0
)</f>
        <v>114.76679729999999</v>
      </c>
      <c r="O258"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-70713.755183446745</v>
      </c>
      <c r="P258"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258"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58" s="41">
        <f>ROW()</f>
        <v>258</v>
      </c>
      <c r="S2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-545.37450000000001</v>
      </c>
      <c r="T2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58"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258" s="65">
        <f>IF(INDEX(TransTypes[],Transactions[[#This Row],[TTR]],TT_COL_GLFlag)=1,Transactions[[#This Row],[CalCashImpact]]+Transactions[[#This Row],[CostImpact]],0)</f>
        <v>-430.6077027</v>
      </c>
      <c r="W258" s="66">
        <f>Transactions[[#This Row],[Amount]]*INDEX(TransTypes[],Transactions[[#This Row],[TTR]],TT_COL_AmntSign)</f>
        <v>114.76679729999999</v>
      </c>
      <c r="X258" s="66">
        <f>IF(INDEX(TransTypes[],Transactions[[#This Row],[TTR]],TT_COL_LONGORSHORT)="S",
      IF( OR(INDEX(TransTypes[],Transactions[[#This Row],[TTR]],TT_COL_GLFlag)=1, INDEX(TransTypes[], Transactions[[#This Row],[TTR]], TT_COL_ShareTransferFlag)=1),
            Transactions[[#This Row],[CostImpact]]*-1,
            Transactions[[#This Row],[CalCashImpact]]
      ),
     0
)</f>
        <v>0</v>
      </c>
      <c r="Y258" s="67" t="str">
        <f>VLOOKUP(Transactions[[#This Row],[Symbol]],Symbols[], COLUMN(Symbols[Currency])-COLUMN(Symbols[])+1,FALSE)</f>
        <v>USD</v>
      </c>
    </row>
    <row r="259" spans="1:25">
      <c r="A259" s="55" t="s">
        <v>65</v>
      </c>
      <c r="B259" s="56">
        <v>43089</v>
      </c>
      <c r="C259" s="55" t="s">
        <v>160</v>
      </c>
      <c r="D259" s="55"/>
      <c r="E259" s="55" t="s">
        <v>333</v>
      </c>
      <c r="F259" s="57">
        <v>16</v>
      </c>
      <c r="G259" s="58">
        <v>0.23</v>
      </c>
      <c r="H259" s="57">
        <v>11.263999999999999</v>
      </c>
      <c r="I259" s="57"/>
      <c r="J259" s="68">
        <v>379.26400000000001</v>
      </c>
      <c r="K259" s="6"/>
      <c r="L259" s="20">
        <f>IF(ISNA(MATCH(Transactions[[#This Row],[TransType]],TransTypes[TransType],0)),1,MATCH(Transactions[[#This Row],[TransType]],TransTypes[TransType],0))</f>
        <v>20</v>
      </c>
      <c r="M259" s="60">
        <f>IF( AND( INDEX(TransTypes[],Transactions[[#This Row],[TTR]],TT_COL_GLFlag)=1, INDEX(TransTypes[],Transactions[[#This Row],[TTR]],TT_COL_LONGORSHORT)="S" ),
      Transactions[[#This Row],[PL]],
      IF(INDEX(TransTypes[],Transactions[[#This Row],[TTR]],TT_COL_LONGORSHORT)="S",0,Transactions[[#This Row],[CalCashImpact]])
)</f>
        <v>864.1608015999999</v>
      </c>
      <c r="N259" s="61">
        <f>IF(VLOOKUP(Transactions[[#This Row],[Symbol]],Symbols[],COLUMN(Symbols[Currency])-COLUMN(Symbols[])+1,FALSE)=
       VLOOKUP(Transactions[[#This Row],[Account]],Accounts[],COLUMN(Accounts[Currency])-COLUMN(Accounts[])+1,FALSE),
     Transactions[[#This Row],[OrigCashImpact]],
     0
)</f>
        <v>864.1608015999999</v>
      </c>
      <c r="O259"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-69849.594381846749</v>
      </c>
      <c r="P259"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v>
      </c>
      <c r="Q259"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59" s="41">
        <f>ROW()</f>
        <v>259</v>
      </c>
      <c r="S2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1243.4248015999999</v>
      </c>
      <c r="T2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59"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v>
      </c>
      <c r="V259" s="65">
        <f>IF(INDEX(TransTypes[],Transactions[[#This Row],[TTR]],TT_COL_GLFlag)=1,Transactions[[#This Row],[CalCashImpact]]+Transactions[[#This Row],[CostImpact]],0)</f>
        <v>864.1608015999999</v>
      </c>
      <c r="W259" s="66">
        <f>Transactions[[#This Row],[Amount]]*INDEX(TransTypes[],Transactions[[#This Row],[TTR]],TT_COL_AmntSign)</f>
        <v>-379.26400000000001</v>
      </c>
      <c r="X259" s="66">
        <f>IF(INDEX(TransTypes[],Transactions[[#This Row],[TTR]],TT_COL_LONGORSHORT)="S",
      IF( OR(INDEX(TransTypes[],Transactions[[#This Row],[TTR]],TT_COL_GLFlag)=1, INDEX(TransTypes[], Transactions[[#This Row],[TTR]], TT_COL_ShareTransferFlag)=1),
            Transactions[[#This Row],[CostImpact]]*-1,
            Transactions[[#This Row],[CalCashImpact]]
      ),
     0
)</f>
        <v>-1243.4248015999999</v>
      </c>
      <c r="Y259" s="67" t="str">
        <f>VLOOKUP(Transactions[[#This Row],[Symbol]],Symbols[], COLUMN(Symbols[Currency])-COLUMN(Symbols[])+1,FALSE)</f>
        <v>USD</v>
      </c>
    </row>
    <row r="260" spans="1:25">
      <c r="A260" s="55" t="s">
        <v>65</v>
      </c>
      <c r="B260" s="56">
        <v>43090</v>
      </c>
      <c r="C260" s="55" t="s">
        <v>112</v>
      </c>
      <c r="D260" s="55"/>
      <c r="E260" s="55" t="s">
        <v>208</v>
      </c>
      <c r="F260" s="57"/>
      <c r="G260" s="58"/>
      <c r="H260" s="57"/>
      <c r="I260" s="57"/>
      <c r="J260" s="68">
        <v>50000</v>
      </c>
      <c r="K260" s="6" t="s">
        <v>337</v>
      </c>
      <c r="L260" s="20">
        <f>IF(ISNA(MATCH(Transactions[[#This Row],[TransType]],TransTypes[TransType],0)),1,MATCH(Transactions[[#This Row],[TransType]],TransTypes[TransType],0))</f>
        <v>1</v>
      </c>
      <c r="M260" s="60">
        <f>IF( AND( INDEX(TransTypes[],Transactions[[#This Row],[TTR]],TT_COL_GLFlag)=1, INDEX(TransTypes[],Transactions[[#This Row],[TTR]],TT_COL_LONGORSHORT)="S" ),
      Transactions[[#This Row],[PL]],
      IF(INDEX(TransTypes[],Transactions[[#This Row],[TTR]],TT_COL_LONGORSHORT)="S",0,Transactions[[#This Row],[CalCashImpact]])
)</f>
        <v>50000</v>
      </c>
      <c r="N260" s="61">
        <f>IF(VLOOKUP(Transactions[[#This Row],[Symbol]],Symbols[],COLUMN(Symbols[Currency])-COLUMN(Symbols[])+1,FALSE)=
       VLOOKUP(Transactions[[#This Row],[Account]],Accounts[],COLUMN(Accounts[Currency])-COLUMN(Accounts[])+1,FALSE),
     Transactions[[#This Row],[OrigCashImpact]],
     0
)</f>
        <v>50000</v>
      </c>
      <c r="O260"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-19849.594381846749</v>
      </c>
      <c r="P260"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60"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60" s="41">
        <f>ROW()</f>
        <v>260</v>
      </c>
      <c r="S2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60"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60" s="65">
        <f>IF(INDEX(TransTypes[],Transactions[[#This Row],[TTR]],TT_COL_GLFlag)=1,Transactions[[#This Row],[CalCashImpact]]+Transactions[[#This Row],[CostImpact]],0)</f>
        <v>0</v>
      </c>
      <c r="W260" s="66">
        <f>Transactions[[#This Row],[Amount]]*INDEX(TransTypes[],Transactions[[#This Row],[TTR]],TT_COL_AmntSign)</f>
        <v>50000</v>
      </c>
      <c r="X260" s="66">
        <f>IF(INDEX(TransTypes[],Transactions[[#This Row],[TTR]],TT_COL_LONGORSHORT)="S",
      IF( OR(INDEX(TransTypes[],Transactions[[#This Row],[TTR]],TT_COL_GLFlag)=1, INDEX(TransTypes[], Transactions[[#This Row],[TTR]], TT_COL_ShareTransferFlag)=1),
            Transactions[[#This Row],[CostImpact]]*-1,
            Transactions[[#This Row],[CalCashImpact]]
      ),
     0
)</f>
        <v>0</v>
      </c>
      <c r="Y260" s="67" t="str">
        <f>VLOOKUP(Transactions[[#This Row],[Symbol]],Symbols[], COLUMN(Symbols[Currency])-COLUMN(Symbols[])+1,FALSE)</f>
        <v>USD</v>
      </c>
    </row>
    <row r="261" spans="1:25">
      <c r="A261" s="55" t="s">
        <v>65</v>
      </c>
      <c r="B261" s="56">
        <v>43091</v>
      </c>
      <c r="C261" s="55" t="s">
        <v>115</v>
      </c>
      <c r="D261" s="55"/>
      <c r="E261" s="55" t="s">
        <v>308</v>
      </c>
      <c r="F261" s="57">
        <v>5000</v>
      </c>
      <c r="G261" s="58">
        <v>4.08</v>
      </c>
      <c r="H261" s="57">
        <v>26.066240000000001</v>
      </c>
      <c r="I261" s="57"/>
      <c r="J261" s="68">
        <v>20373.93376</v>
      </c>
      <c r="K261" s="6"/>
      <c r="L261" s="20">
        <f>IF(ISNA(MATCH(Transactions[[#This Row],[TransType]],TransTypes[TransType],0)),1,MATCH(Transactions[[#This Row],[TransType]],TransTypes[TransType],0))</f>
        <v>3</v>
      </c>
      <c r="M261" s="60">
        <f>IF( AND( INDEX(TransTypes[],Transactions[[#This Row],[TTR]],TT_COL_GLFlag)=1, INDEX(TransTypes[],Transactions[[#This Row],[TTR]],TT_COL_LONGORSHORT)="S" ),
      Transactions[[#This Row],[PL]],
      IF(INDEX(TransTypes[],Transactions[[#This Row],[TTR]],TT_COL_LONGORSHORT)="S",0,Transactions[[#This Row],[CalCashImpact]])
)</f>
        <v>20373.93376</v>
      </c>
      <c r="N261" s="61">
        <f>IF(VLOOKUP(Transactions[[#This Row],[Symbol]],Symbols[],COLUMN(Symbols[Currency])-COLUMN(Symbols[])+1,FALSE)=
       VLOOKUP(Transactions[[#This Row],[Account]],Accounts[],COLUMN(Accounts[Currency])-COLUMN(Accounts[])+1,FALSE),
     Transactions[[#This Row],[OrigCashImpact]],
     0
)</f>
        <v>20373.93376</v>
      </c>
      <c r="O261"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524.3393781532468</v>
      </c>
      <c r="P261"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261"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61" s="41">
        <f>ROW()</f>
        <v>261</v>
      </c>
      <c r="S2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-20257.5</v>
      </c>
      <c r="T2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61"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261" s="65">
        <f>IF(INDEX(TransTypes[],Transactions[[#This Row],[TTR]],TT_COL_GLFlag)=1,Transactions[[#This Row],[CalCashImpact]]+Transactions[[#This Row],[CostImpact]],0)</f>
        <v>116.43375999999989</v>
      </c>
      <c r="W261" s="66">
        <f>Transactions[[#This Row],[Amount]]*INDEX(TransTypes[],Transactions[[#This Row],[TTR]],TT_COL_AmntSign)</f>
        <v>20373.93376</v>
      </c>
      <c r="X261" s="66">
        <f>IF(INDEX(TransTypes[],Transactions[[#This Row],[TTR]],TT_COL_LONGORSHORT)="S",
      IF( OR(INDEX(TransTypes[],Transactions[[#This Row],[TTR]],TT_COL_GLFlag)=1, INDEX(TransTypes[], Transactions[[#This Row],[TTR]], TT_COL_ShareTransferFlag)=1),
            Transactions[[#This Row],[CostImpact]]*-1,
            Transactions[[#This Row],[CalCashImpact]]
      ),
     0
)</f>
        <v>0</v>
      </c>
      <c r="Y261" s="67" t="str">
        <f>VLOOKUP(Transactions[[#This Row],[Symbol]],Symbols[], COLUMN(Symbols[Currency])-COLUMN(Symbols[])+1,FALSE)</f>
        <v>USD</v>
      </c>
    </row>
    <row r="262" spans="1:25">
      <c r="A262" s="55" t="s">
        <v>65</v>
      </c>
      <c r="B262" s="56">
        <v>43097</v>
      </c>
      <c r="C262" s="55" t="s">
        <v>118</v>
      </c>
      <c r="D262" s="55"/>
      <c r="E262" s="55" t="s">
        <v>285</v>
      </c>
      <c r="F262" s="57">
        <v>1502</v>
      </c>
      <c r="G262" s="58"/>
      <c r="H262" s="57"/>
      <c r="I262" s="57"/>
      <c r="J262" s="68">
        <v>557.51</v>
      </c>
      <c r="K262" s="6" t="s">
        <v>399</v>
      </c>
      <c r="L262" s="20">
        <f>IF(ISNA(MATCH(Transactions[[#This Row],[TransType]],TransTypes[TransType],0)),1,MATCH(Transactions[[#This Row],[TransType]],TransTypes[TransType],0))</f>
        <v>4</v>
      </c>
      <c r="M262" s="60">
        <f>IF( AND( INDEX(TransTypes[],Transactions[[#This Row],[TTR]],TT_COL_GLFlag)=1, INDEX(TransTypes[],Transactions[[#This Row],[TTR]],TT_COL_LONGORSHORT)="S" ),
      Transactions[[#This Row],[PL]],
      IF(INDEX(TransTypes[],Transactions[[#This Row],[TTR]],TT_COL_LONGORSHORT)="S",0,Transactions[[#This Row],[CalCashImpact]])
)</f>
        <v>557.51</v>
      </c>
      <c r="N262" s="61">
        <f>IF(VLOOKUP(Transactions[[#This Row],[Symbol]],Symbols[],COLUMN(Symbols[Currency])-COLUMN(Symbols[])+1,FALSE)=
       VLOOKUP(Transactions[[#This Row],[Account]],Accounts[],COLUMN(Accounts[Currency])-COLUMN(Accounts[])+1,FALSE),
     Transactions[[#This Row],[OrigCashImpact]],
     0
)</f>
        <v>557.51</v>
      </c>
      <c r="O262"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1081.8493781532497</v>
      </c>
      <c r="P262"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62"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1502</v>
      </c>
      <c r="R262" s="41">
        <f>ROW()</f>
        <v>262</v>
      </c>
      <c r="S2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173025.19798181817</v>
      </c>
      <c r="U262"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262" s="65">
        <f>IF(INDEX(TransTypes[],Transactions[[#This Row],[TTR]],TT_COL_GLFlag)=1,Transactions[[#This Row],[CalCashImpact]]+Transactions[[#This Row],[CostImpact]],0)</f>
        <v>0</v>
      </c>
      <c r="W262" s="66">
        <f>Transactions[[#This Row],[Amount]]*INDEX(TransTypes[],Transactions[[#This Row],[TTR]],TT_COL_AmntSign)</f>
        <v>557.51</v>
      </c>
      <c r="X262" s="66">
        <f>IF(INDEX(TransTypes[],Transactions[[#This Row],[TTR]],TT_COL_LONGORSHORT)="S",
      IF( OR(INDEX(TransTypes[],Transactions[[#This Row],[TTR]],TT_COL_GLFlag)=1, INDEX(TransTypes[], Transactions[[#This Row],[TTR]], TT_COL_ShareTransferFlag)=1),
            Transactions[[#This Row],[CostImpact]]*-1,
            Transactions[[#This Row],[CalCashImpact]]
      ),
     0
)</f>
        <v>0</v>
      </c>
      <c r="Y262" s="67" t="str">
        <f>VLOOKUP(Transactions[[#This Row],[Symbol]],Symbols[], COLUMN(Symbols[Currency])-COLUMN(Symbols[])+1,FALSE)</f>
        <v>USD</v>
      </c>
    </row>
    <row r="263" spans="1:25">
      <c r="A263" s="55" t="s">
        <v>65</v>
      </c>
      <c r="B263" s="56">
        <v>43097</v>
      </c>
      <c r="C263" s="55" t="s">
        <v>118</v>
      </c>
      <c r="D263" s="55"/>
      <c r="E263" s="55" t="s">
        <v>20</v>
      </c>
      <c r="F263" s="57">
        <v>2048</v>
      </c>
      <c r="G263" s="58"/>
      <c r="H263" s="57"/>
      <c r="I263" s="57"/>
      <c r="J263" s="68">
        <v>535.66999999999996</v>
      </c>
      <c r="K263" s="6" t="s">
        <v>400</v>
      </c>
      <c r="L263" s="20">
        <f>IF(ISNA(MATCH(Transactions[[#This Row],[TransType]],TransTypes[TransType],0)),1,MATCH(Transactions[[#This Row],[TransType]],TransTypes[TransType],0))</f>
        <v>4</v>
      </c>
      <c r="M263" s="60">
        <f>IF( AND( INDEX(TransTypes[],Transactions[[#This Row],[TTR]],TT_COL_GLFlag)=1, INDEX(TransTypes[],Transactions[[#This Row],[TTR]],TT_COL_LONGORSHORT)="S" ),
      Transactions[[#This Row],[PL]],
      IF(INDEX(TransTypes[],Transactions[[#This Row],[TTR]],TT_COL_LONGORSHORT)="S",0,Transactions[[#This Row],[CalCashImpact]])
)</f>
        <v>535.66999999999996</v>
      </c>
      <c r="N263" s="61">
        <f>IF(VLOOKUP(Transactions[[#This Row],[Symbol]],Symbols[],COLUMN(Symbols[Currency])-COLUMN(Symbols[])+1,FALSE)=
       VLOOKUP(Transactions[[#This Row],[Account]],Accounts[],COLUMN(Accounts[Currency])-COLUMN(Accounts[])+1,FALSE),
     Transactions[[#This Row],[OrigCashImpact]],
     0
)</f>
        <v>535.66999999999996</v>
      </c>
      <c r="O263"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1617.5193781532498</v>
      </c>
      <c r="P263"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63"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263" s="41">
        <f>ROW()</f>
        <v>263</v>
      </c>
      <c r="S2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256413.72825185183</v>
      </c>
      <c r="U263"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263" s="65">
        <f>IF(INDEX(TransTypes[],Transactions[[#This Row],[TTR]],TT_COL_GLFlag)=1,Transactions[[#This Row],[CalCashImpact]]+Transactions[[#This Row],[CostImpact]],0)</f>
        <v>0</v>
      </c>
      <c r="W263" s="66">
        <f>Transactions[[#This Row],[Amount]]*INDEX(TransTypes[],Transactions[[#This Row],[TTR]],TT_COL_AmntSign)</f>
        <v>535.66999999999996</v>
      </c>
      <c r="X263" s="66">
        <f>IF(INDEX(TransTypes[],Transactions[[#This Row],[TTR]],TT_COL_LONGORSHORT)="S",
      IF( OR(INDEX(TransTypes[],Transactions[[#This Row],[TTR]],TT_COL_GLFlag)=1, INDEX(TransTypes[], Transactions[[#This Row],[TTR]], TT_COL_ShareTransferFlag)=1),
            Transactions[[#This Row],[CostImpact]]*-1,
            Transactions[[#This Row],[CalCashImpact]]
      ),
     0
)</f>
        <v>0</v>
      </c>
      <c r="Y263" s="67" t="str">
        <f>VLOOKUP(Transactions[[#This Row],[Symbol]],Symbols[], COLUMN(Symbols[Currency])-COLUMN(Symbols[])+1,FALSE)</f>
        <v>USD</v>
      </c>
    </row>
    <row r="264" spans="1:25">
      <c r="A264" s="55" t="s">
        <v>65</v>
      </c>
      <c r="B264" s="56">
        <v>43097</v>
      </c>
      <c r="C264" s="55" t="s">
        <v>123</v>
      </c>
      <c r="D264" s="55"/>
      <c r="E264" s="55" t="s">
        <v>285</v>
      </c>
      <c r="F264" s="57"/>
      <c r="G264" s="58"/>
      <c r="H264" s="57"/>
      <c r="I264" s="57"/>
      <c r="J264" s="68">
        <v>83.63</v>
      </c>
      <c r="K264" s="6" t="s">
        <v>401</v>
      </c>
      <c r="L264" s="20">
        <f>IF(ISNA(MATCH(Transactions[[#This Row],[TransType]],TransTypes[TransType],0)),1,MATCH(Transactions[[#This Row],[TransType]],TransTypes[TransType],0))</f>
        <v>7</v>
      </c>
      <c r="M264" s="60">
        <f>IF( AND( INDEX(TransTypes[],Transactions[[#This Row],[TTR]],TT_COL_GLFlag)=1, INDEX(TransTypes[],Transactions[[#This Row],[TTR]],TT_COL_LONGORSHORT)="S" ),
      Transactions[[#This Row],[PL]],
      IF(INDEX(TransTypes[],Transactions[[#This Row],[TTR]],TT_COL_LONGORSHORT)="S",0,Transactions[[#This Row],[CalCashImpact]])
)</f>
        <v>-83.63</v>
      </c>
      <c r="N264" s="61">
        <f>IF(VLOOKUP(Transactions[[#This Row],[Symbol]],Symbols[],COLUMN(Symbols[Currency])-COLUMN(Symbols[])+1,FALSE)=
       VLOOKUP(Transactions[[#This Row],[Account]],Accounts[],COLUMN(Accounts[Currency])-COLUMN(Accounts[])+1,FALSE),
     Transactions[[#This Row],[OrigCashImpact]],
     0
)</f>
        <v>-83.63</v>
      </c>
      <c r="O264"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1533.8893781532497</v>
      </c>
      <c r="P264"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64"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1502</v>
      </c>
      <c r="R264" s="41">
        <f>ROW()</f>
        <v>264</v>
      </c>
      <c r="S2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173025.19798181817</v>
      </c>
      <c r="U264"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264" s="65">
        <f>IF(INDEX(TransTypes[],Transactions[[#This Row],[TTR]],TT_COL_GLFlag)=1,Transactions[[#This Row],[CalCashImpact]]+Transactions[[#This Row],[CostImpact]],0)</f>
        <v>0</v>
      </c>
      <c r="W264" s="66">
        <f>Transactions[[#This Row],[Amount]]*INDEX(TransTypes[],Transactions[[#This Row],[TTR]],TT_COL_AmntSign)</f>
        <v>-83.63</v>
      </c>
      <c r="X264" s="66">
        <f>IF(INDEX(TransTypes[],Transactions[[#This Row],[TTR]],TT_COL_LONGORSHORT)="S",
      IF( OR(INDEX(TransTypes[],Transactions[[#This Row],[TTR]],TT_COL_GLFlag)=1, INDEX(TransTypes[], Transactions[[#This Row],[TTR]], TT_COL_ShareTransferFlag)=1),
            Transactions[[#This Row],[CostImpact]]*-1,
            Transactions[[#This Row],[CalCashImpact]]
      ),
     0
)</f>
        <v>0</v>
      </c>
      <c r="Y264" s="67" t="str">
        <f>VLOOKUP(Transactions[[#This Row],[Symbol]],Symbols[], COLUMN(Symbols[Currency])-COLUMN(Symbols[])+1,FALSE)</f>
        <v>USD</v>
      </c>
    </row>
    <row r="265" spans="1:25">
      <c r="A265" s="55" t="s">
        <v>65</v>
      </c>
      <c r="B265" s="56">
        <v>43097</v>
      </c>
      <c r="C265" s="55" t="s">
        <v>123</v>
      </c>
      <c r="D265" s="55"/>
      <c r="E265" s="55" t="s">
        <v>20</v>
      </c>
      <c r="F265" s="57"/>
      <c r="G265" s="58"/>
      <c r="H265" s="57"/>
      <c r="I265" s="57"/>
      <c r="J265" s="68">
        <v>80.349999999999994</v>
      </c>
      <c r="K265" s="6" t="s">
        <v>402</v>
      </c>
      <c r="L265" s="20">
        <f>IF(ISNA(MATCH(Transactions[[#This Row],[TransType]],TransTypes[TransType],0)),1,MATCH(Transactions[[#This Row],[TransType]],TransTypes[TransType],0))</f>
        <v>7</v>
      </c>
      <c r="M265" s="60">
        <f>IF( AND( INDEX(TransTypes[],Transactions[[#This Row],[TTR]],TT_COL_GLFlag)=1, INDEX(TransTypes[],Transactions[[#This Row],[TTR]],TT_COL_LONGORSHORT)="S" ),
      Transactions[[#This Row],[PL]],
      IF(INDEX(TransTypes[],Transactions[[#This Row],[TTR]],TT_COL_LONGORSHORT)="S",0,Transactions[[#This Row],[CalCashImpact]])
)</f>
        <v>-80.349999999999994</v>
      </c>
      <c r="N265" s="61">
        <f>IF(VLOOKUP(Transactions[[#This Row],[Symbol]],Symbols[],COLUMN(Symbols[Currency])-COLUMN(Symbols[])+1,FALSE)=
       VLOOKUP(Transactions[[#This Row],[Account]],Accounts[],COLUMN(Accounts[Currency])-COLUMN(Accounts[])+1,FALSE),
     Transactions[[#This Row],[OrigCashImpact]],
     0
)</f>
        <v>-80.349999999999994</v>
      </c>
      <c r="O265" s="5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1453.5393781532498</v>
      </c>
      <c r="P265" s="62">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65" s="63">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265" s="41">
        <f>ROW()</f>
        <v>265</v>
      </c>
      <c r="S2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256413.72825185183</v>
      </c>
      <c r="U265" s="64">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265" s="65">
        <f>IF(INDEX(TransTypes[],Transactions[[#This Row],[TTR]],TT_COL_GLFlag)=1,Transactions[[#This Row],[CalCashImpact]]+Transactions[[#This Row],[CostImpact]],0)</f>
        <v>0</v>
      </c>
      <c r="W265" s="66">
        <f>Transactions[[#This Row],[Amount]]*INDEX(TransTypes[],Transactions[[#This Row],[TTR]],TT_COL_AmntSign)</f>
        <v>-80.349999999999994</v>
      </c>
      <c r="X265" s="66">
        <f>IF(INDEX(TransTypes[],Transactions[[#This Row],[TTR]],TT_COL_LONGORSHORT)="S",
      IF( OR(INDEX(TransTypes[],Transactions[[#This Row],[TTR]],TT_COL_GLFlag)=1, INDEX(TransTypes[], Transactions[[#This Row],[TTR]], TT_COL_ShareTransferFlag)=1),
            Transactions[[#This Row],[CostImpact]]*-1,
            Transactions[[#This Row],[CalCashImpact]]
      ),
     0
)</f>
        <v>0</v>
      </c>
      <c r="Y265" s="67" t="str">
        <f>VLOOKUP(Transactions[[#This Row],[Symbol]],Symbols[], COLUMN(Symbols[Currency])-COLUMN(Symbols[])+1,FALSE)</f>
        <v>USD</v>
      </c>
    </row>
    <row r="266" spans="1:25">
      <c r="A266" s="75" t="s">
        <v>65</v>
      </c>
      <c r="B266" s="76">
        <v>43014</v>
      </c>
      <c r="C266" s="75" t="s">
        <v>123</v>
      </c>
      <c r="D266" s="75"/>
      <c r="E266" s="75" t="s">
        <v>292</v>
      </c>
      <c r="F266" s="77"/>
      <c r="G266" s="78"/>
      <c r="H266" s="77"/>
      <c r="I266" s="77"/>
      <c r="J266" s="79">
        <v>-15.5</v>
      </c>
      <c r="K266" s="6" t="s">
        <v>355</v>
      </c>
      <c r="L266" s="20">
        <f>IF(ISNA(MATCH(Transactions[[#This Row],[TransType]],TransTypes[TransType],0)),1,MATCH(Transactions[[#This Row],[TransType]],TransTypes[TransType],0))</f>
        <v>7</v>
      </c>
      <c r="M266" s="80">
        <f>IF( AND( INDEX(TransTypes[],Transactions[[#This Row],[TTR]],TT_COL_GLFlag)=1, INDEX(TransTypes[],Transactions[[#This Row],[TTR]],TT_COL_LONGORSHORT)="S" ),
      Transactions[[#This Row],[PL]],
      IF(INDEX(TransTypes[],Transactions[[#This Row],[TTR]],TT_COL_LONGORSHORT)="S",0,Transactions[[#This Row],[CalCashImpact]])
)</f>
        <v>15.5</v>
      </c>
      <c r="N266" s="81">
        <f>IF(VLOOKUP(Transactions[[#This Row],[Symbol]],Symbols[],COLUMN(Symbols[Currency])-COLUMN(Symbols[])+1,FALSE)=
       VLOOKUP(Transactions[[#This Row],[Account]],Accounts[],COLUMN(Accounts[Currency])-COLUMN(Accounts[])+1,FALSE),
     Transactions[[#This Row],[OrigCashImpact]],
     0
)</f>
        <v>15.5</v>
      </c>
      <c r="O26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4053.4285652570225</v>
      </c>
      <c r="P26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6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283</v>
      </c>
      <c r="R266" s="41">
        <f>ROW()</f>
        <v>266</v>
      </c>
      <c r="S2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24993.044999999998</v>
      </c>
      <c r="U26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283</v>
      </c>
      <c r="V266" s="86">
        <f>IF(INDEX(TransTypes[],Transactions[[#This Row],[TTR]],TT_COL_GLFlag)=1,Transactions[[#This Row],[CalCashImpact]]+Transactions[[#This Row],[CostImpact]],0)</f>
        <v>0</v>
      </c>
      <c r="W266" s="87">
        <f>Transactions[[#This Row],[Amount]]*INDEX(TransTypes[],Transactions[[#This Row],[TTR]],TT_COL_AmntSign)</f>
        <v>15.5</v>
      </c>
      <c r="X266" s="87">
        <f>IF(INDEX(TransTypes[],Transactions[[#This Row],[TTR]],TT_COL_LONGORSHORT)="S",
      IF( OR(INDEX(TransTypes[],Transactions[[#This Row],[TTR]],TT_COL_GLFlag)=1, INDEX(TransTypes[], Transactions[[#This Row],[TTR]], TT_COL_ShareTransferFlag)=1),
            Transactions[[#This Row],[CostImpact]]*-1,
            Transactions[[#This Row],[CalCashImpact]]
      ),
     0
)</f>
        <v>0</v>
      </c>
      <c r="Y266" s="88" t="str">
        <f>VLOOKUP(Transactions[[#This Row],[Symbol]],Symbols[], COLUMN(Symbols[Currency])-COLUMN(Symbols[])+1,FALSE)</f>
        <v>USD</v>
      </c>
    </row>
    <row r="267" spans="1:25">
      <c r="A267" s="75" t="s">
        <v>65</v>
      </c>
      <c r="B267" s="76">
        <v>43014</v>
      </c>
      <c r="C267" s="75" t="s">
        <v>123</v>
      </c>
      <c r="D267" s="75"/>
      <c r="E267" s="75" t="s">
        <v>292</v>
      </c>
      <c r="F267" s="77"/>
      <c r="G267" s="78"/>
      <c r="H267" s="77"/>
      <c r="I267" s="77"/>
      <c r="J267" s="79">
        <v>6.54</v>
      </c>
      <c r="K267" s="6" t="s">
        <v>355</v>
      </c>
      <c r="L267" s="20">
        <f>IF(ISNA(MATCH(Transactions[[#This Row],[TransType]],TransTypes[TransType],0)),1,MATCH(Transactions[[#This Row],[TransType]],TransTypes[TransType],0))</f>
        <v>7</v>
      </c>
      <c r="M267" s="80">
        <f>IF( AND( INDEX(TransTypes[],Transactions[[#This Row],[TTR]],TT_COL_GLFlag)=1, INDEX(TransTypes[],Transactions[[#This Row],[TTR]],TT_COL_LONGORSHORT)="S" ),
      Transactions[[#This Row],[PL]],
      IF(INDEX(TransTypes[],Transactions[[#This Row],[TTR]],TT_COL_LONGORSHORT)="S",0,Transactions[[#This Row],[CalCashImpact]])
)</f>
        <v>-6.54</v>
      </c>
      <c r="N267" s="81">
        <f>IF(VLOOKUP(Transactions[[#This Row],[Symbol]],Symbols[],COLUMN(Symbols[Currency])-COLUMN(Symbols[])+1,FALSE)=
       VLOOKUP(Transactions[[#This Row],[Account]],Accounts[],COLUMN(Accounts[Currency])-COLUMN(Accounts[])+1,FALSE),
     Transactions[[#This Row],[OrigCashImpact]],
     0
)</f>
        <v>-6.54</v>
      </c>
      <c r="O26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4046.8885652570225</v>
      </c>
      <c r="P26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6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283</v>
      </c>
      <c r="R267" s="41">
        <f>ROW()</f>
        <v>267</v>
      </c>
      <c r="S2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24993.044999999998</v>
      </c>
      <c r="U26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283</v>
      </c>
      <c r="V267" s="86">
        <f>IF(INDEX(TransTypes[],Transactions[[#This Row],[TTR]],TT_COL_GLFlag)=1,Transactions[[#This Row],[CalCashImpact]]+Transactions[[#This Row],[CostImpact]],0)</f>
        <v>0</v>
      </c>
      <c r="W267" s="87">
        <f>Transactions[[#This Row],[Amount]]*INDEX(TransTypes[],Transactions[[#This Row],[TTR]],TT_COL_AmntSign)</f>
        <v>-6.54</v>
      </c>
      <c r="X267" s="87">
        <f>IF(INDEX(TransTypes[],Transactions[[#This Row],[TTR]],TT_COL_LONGORSHORT)="S",
      IF( OR(INDEX(TransTypes[],Transactions[[#This Row],[TTR]],TT_COL_GLFlag)=1, INDEX(TransTypes[], Transactions[[#This Row],[TTR]], TT_COL_ShareTransferFlag)=1),
            Transactions[[#This Row],[CostImpact]]*-1,
            Transactions[[#This Row],[CalCashImpact]]
      ),
     0
)</f>
        <v>0</v>
      </c>
      <c r="Y267" s="88" t="str">
        <f>VLOOKUP(Transactions[[#This Row],[Symbol]],Symbols[], COLUMN(Symbols[Currency])-COLUMN(Symbols[])+1,FALSE)</f>
        <v>USD</v>
      </c>
    </row>
    <row r="268" spans="1:25">
      <c r="A268" s="75" t="s">
        <v>65</v>
      </c>
      <c r="B268" s="76">
        <v>43014</v>
      </c>
      <c r="C268" s="75" t="s">
        <v>123</v>
      </c>
      <c r="D268" s="75"/>
      <c r="E268" s="75" t="s">
        <v>20</v>
      </c>
      <c r="F268" s="77"/>
      <c r="G268" s="78"/>
      <c r="H268" s="77"/>
      <c r="I268" s="77"/>
      <c r="J268" s="79">
        <v>-15.14</v>
      </c>
      <c r="K268" s="6" t="s">
        <v>356</v>
      </c>
      <c r="L268" s="20">
        <f>IF(ISNA(MATCH(Transactions[[#This Row],[TransType]],TransTypes[TransType],0)),1,MATCH(Transactions[[#This Row],[TransType]],TransTypes[TransType],0))</f>
        <v>7</v>
      </c>
      <c r="M268" s="80">
        <f>IF( AND( INDEX(TransTypes[],Transactions[[#This Row],[TTR]],TT_COL_GLFlag)=1, INDEX(TransTypes[],Transactions[[#This Row],[TTR]],TT_COL_LONGORSHORT)="S" ),
      Transactions[[#This Row],[PL]],
      IF(INDEX(TransTypes[],Transactions[[#This Row],[TTR]],TT_COL_LONGORSHORT)="S",0,Transactions[[#This Row],[CalCashImpact]])
)</f>
        <v>15.14</v>
      </c>
      <c r="N268" s="81">
        <f>IF(VLOOKUP(Transactions[[#This Row],[Symbol]],Symbols[],COLUMN(Symbols[Currency])-COLUMN(Symbols[])+1,FALSE)=
       VLOOKUP(Transactions[[#This Row],[Account]],Accounts[],COLUMN(Accounts[Currency])-COLUMN(Accounts[])+1,FALSE),
     Transactions[[#This Row],[OrigCashImpact]],
     0
)</f>
        <v>15.14</v>
      </c>
      <c r="O26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4062.0285652570224</v>
      </c>
      <c r="P26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6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268" s="41">
        <f>ROW()</f>
        <v>268</v>
      </c>
      <c r="S2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26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268" s="86">
        <f>IF(INDEX(TransTypes[],Transactions[[#This Row],[TTR]],TT_COL_GLFlag)=1,Transactions[[#This Row],[CalCashImpact]]+Transactions[[#This Row],[CostImpact]],0)</f>
        <v>0</v>
      </c>
      <c r="W268" s="87">
        <f>Transactions[[#This Row],[Amount]]*INDEX(TransTypes[],Transactions[[#This Row],[TTR]],TT_COL_AmntSign)</f>
        <v>15.14</v>
      </c>
      <c r="X268" s="87">
        <f>IF(INDEX(TransTypes[],Transactions[[#This Row],[TTR]],TT_COL_LONGORSHORT)="S",
      IF( OR(INDEX(TransTypes[],Transactions[[#This Row],[TTR]],TT_COL_GLFlag)=1, INDEX(TransTypes[], Transactions[[#This Row],[TTR]], TT_COL_ShareTransferFlag)=1),
            Transactions[[#This Row],[CostImpact]]*-1,
            Transactions[[#This Row],[CalCashImpact]]
      ),
     0
)</f>
        <v>0</v>
      </c>
      <c r="Y268" s="88" t="str">
        <f>VLOOKUP(Transactions[[#This Row],[Symbol]],Symbols[], COLUMN(Symbols[Currency])-COLUMN(Symbols[])+1,FALSE)</f>
        <v>USD</v>
      </c>
    </row>
    <row r="269" spans="1:25">
      <c r="A269" s="75" t="s">
        <v>65</v>
      </c>
      <c r="B269" s="76">
        <v>43046</v>
      </c>
      <c r="C269" s="75" t="s">
        <v>123</v>
      </c>
      <c r="D269" s="75"/>
      <c r="E269" s="75" t="s">
        <v>292</v>
      </c>
      <c r="F269" s="77"/>
      <c r="G269" s="78"/>
      <c r="H269" s="77"/>
      <c r="I269" s="77"/>
      <c r="J269" s="79">
        <v>-15.52</v>
      </c>
      <c r="K269" s="6" t="s">
        <v>368</v>
      </c>
      <c r="L269" s="20">
        <f>IF(ISNA(MATCH(Transactions[[#This Row],[TransType]],TransTypes[TransType],0)),1,MATCH(Transactions[[#This Row],[TransType]],TransTypes[TransType],0))</f>
        <v>7</v>
      </c>
      <c r="M269" s="80">
        <f>IF( AND( INDEX(TransTypes[],Transactions[[#This Row],[TTR]],TT_COL_GLFlag)=1, INDEX(TransTypes[],Transactions[[#This Row],[TTR]],TT_COL_LONGORSHORT)="S" ),
      Transactions[[#This Row],[PL]],
      IF(INDEX(TransTypes[],Transactions[[#This Row],[TTR]],TT_COL_LONGORSHORT)="S",0,Transactions[[#This Row],[CalCashImpact]])
)</f>
        <v>15.52</v>
      </c>
      <c r="N269" s="81">
        <f>IF(VLOOKUP(Transactions[[#This Row],[Symbol]],Symbols[],COLUMN(Symbols[Currency])-COLUMN(Symbols[])+1,FALSE)=
       VLOOKUP(Transactions[[#This Row],[Account]],Accounts[],COLUMN(Accounts[Currency])-COLUMN(Accounts[])+1,FALSE),
     Transactions[[#This Row],[OrigCashImpact]],
     0
)</f>
        <v>15.52</v>
      </c>
      <c r="O26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12405.845759936001</v>
      </c>
      <c r="P26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6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283</v>
      </c>
      <c r="R269" s="41">
        <f>ROW()</f>
        <v>269</v>
      </c>
      <c r="S2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24993.044999999998</v>
      </c>
      <c r="U26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283</v>
      </c>
      <c r="V269" s="86">
        <f>IF(INDEX(TransTypes[],Transactions[[#This Row],[TTR]],TT_COL_GLFlag)=1,Transactions[[#This Row],[CalCashImpact]]+Transactions[[#This Row],[CostImpact]],0)</f>
        <v>0</v>
      </c>
      <c r="W269" s="87">
        <f>Transactions[[#This Row],[Amount]]*INDEX(TransTypes[],Transactions[[#This Row],[TTR]],TT_COL_AmntSign)</f>
        <v>15.52</v>
      </c>
      <c r="X269" s="87">
        <f>IF(INDEX(TransTypes[],Transactions[[#This Row],[TTR]],TT_COL_LONGORSHORT)="S",
      IF( OR(INDEX(TransTypes[],Transactions[[#This Row],[TTR]],TT_COL_GLFlag)=1, INDEX(TransTypes[], Transactions[[#This Row],[TTR]], TT_COL_ShareTransferFlag)=1),
            Transactions[[#This Row],[CostImpact]]*-1,
            Transactions[[#This Row],[CalCashImpact]]
      ),
     0
)</f>
        <v>0</v>
      </c>
      <c r="Y269" s="88" t="str">
        <f>VLOOKUP(Transactions[[#This Row],[Symbol]],Symbols[], COLUMN(Symbols[Currency])-COLUMN(Symbols[])+1,FALSE)</f>
        <v>USD</v>
      </c>
    </row>
    <row r="270" spans="1:25">
      <c r="A270" s="75" t="s">
        <v>65</v>
      </c>
      <c r="B270" s="76">
        <v>43046</v>
      </c>
      <c r="C270" s="75" t="s">
        <v>123</v>
      </c>
      <c r="D270" s="75"/>
      <c r="E270" s="75" t="s">
        <v>292</v>
      </c>
      <c r="F270" s="77"/>
      <c r="G270" s="78"/>
      <c r="H270" s="77"/>
      <c r="I270" s="77"/>
      <c r="J270" s="79">
        <v>5.75</v>
      </c>
      <c r="K270" s="6" t="s">
        <v>368</v>
      </c>
      <c r="L270" s="20">
        <f>IF(ISNA(MATCH(Transactions[[#This Row],[TransType]],TransTypes[TransType],0)),1,MATCH(Transactions[[#This Row],[TransType]],TransTypes[TransType],0))</f>
        <v>7</v>
      </c>
      <c r="M270" s="80">
        <f>IF( AND( INDEX(TransTypes[],Transactions[[#This Row],[TTR]],TT_COL_GLFlag)=1, INDEX(TransTypes[],Transactions[[#This Row],[TTR]],TT_COL_LONGORSHORT)="S" ),
      Transactions[[#This Row],[PL]],
      IF(INDEX(TransTypes[],Transactions[[#This Row],[TTR]],TT_COL_LONGORSHORT)="S",0,Transactions[[#This Row],[CalCashImpact]])
)</f>
        <v>-5.75</v>
      </c>
      <c r="N270" s="81">
        <f>IF(VLOOKUP(Transactions[[#This Row],[Symbol]],Symbols[],COLUMN(Symbols[Currency])-COLUMN(Symbols[])+1,FALSE)=
       VLOOKUP(Transactions[[#This Row],[Account]],Accounts[],COLUMN(Accounts[Currency])-COLUMN(Accounts[])+1,FALSE),
     Transactions[[#This Row],[OrigCashImpact]],
     0
)</f>
        <v>-5.75</v>
      </c>
      <c r="O27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12400.095759936001</v>
      </c>
      <c r="P27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7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283</v>
      </c>
      <c r="R270" s="41">
        <f>ROW()</f>
        <v>270</v>
      </c>
      <c r="S2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24993.044999999998</v>
      </c>
      <c r="U27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283</v>
      </c>
      <c r="V270" s="86">
        <f>IF(INDEX(TransTypes[],Transactions[[#This Row],[TTR]],TT_COL_GLFlag)=1,Transactions[[#This Row],[CalCashImpact]]+Transactions[[#This Row],[CostImpact]],0)</f>
        <v>0</v>
      </c>
      <c r="W270" s="87">
        <f>Transactions[[#This Row],[Amount]]*INDEX(TransTypes[],Transactions[[#This Row],[TTR]],TT_COL_AmntSign)</f>
        <v>-5.75</v>
      </c>
      <c r="X270" s="87">
        <f>IF(INDEX(TransTypes[],Transactions[[#This Row],[TTR]],TT_COL_LONGORSHORT)="S",
      IF( OR(INDEX(TransTypes[],Transactions[[#This Row],[TTR]],TT_COL_GLFlag)=1, INDEX(TransTypes[], Transactions[[#This Row],[TTR]], TT_COL_ShareTransferFlag)=1),
            Transactions[[#This Row],[CostImpact]]*-1,
            Transactions[[#This Row],[CalCashImpact]]
      ),
     0
)</f>
        <v>0</v>
      </c>
      <c r="Y270" s="88" t="str">
        <f>VLOOKUP(Transactions[[#This Row],[Symbol]],Symbols[], COLUMN(Symbols[Currency])-COLUMN(Symbols[])+1,FALSE)</f>
        <v>USD</v>
      </c>
    </row>
    <row r="271" spans="1:25">
      <c r="A271" s="75" t="s">
        <v>65</v>
      </c>
      <c r="B271" s="76">
        <v>43046</v>
      </c>
      <c r="C271" s="75" t="s">
        <v>123</v>
      </c>
      <c r="D271" s="75"/>
      <c r="E271" s="75" t="s">
        <v>20</v>
      </c>
      <c r="F271" s="77"/>
      <c r="G271" s="78"/>
      <c r="H271" s="77"/>
      <c r="I271" s="77"/>
      <c r="J271" s="79">
        <v>-1.62</v>
      </c>
      <c r="K271" s="6" t="s">
        <v>369</v>
      </c>
      <c r="L271" s="20">
        <f>IF(ISNA(MATCH(Transactions[[#This Row],[TransType]],TransTypes[TransType],0)),1,MATCH(Transactions[[#This Row],[TransType]],TransTypes[TransType],0))</f>
        <v>7</v>
      </c>
      <c r="M271" s="80">
        <f>IF( AND( INDEX(TransTypes[],Transactions[[#This Row],[TTR]],TT_COL_GLFlag)=1, INDEX(TransTypes[],Transactions[[#This Row],[TTR]],TT_COL_LONGORSHORT)="S" ),
      Transactions[[#This Row],[PL]],
      IF(INDEX(TransTypes[],Transactions[[#This Row],[TTR]],TT_COL_LONGORSHORT)="S",0,Transactions[[#This Row],[CalCashImpact]])
)</f>
        <v>1.62</v>
      </c>
      <c r="N271" s="81">
        <f>IF(VLOOKUP(Transactions[[#This Row],[Symbol]],Symbols[],COLUMN(Symbols[Currency])-COLUMN(Symbols[])+1,FALSE)=
       VLOOKUP(Transactions[[#This Row],[Account]],Accounts[],COLUMN(Accounts[Currency])-COLUMN(Accounts[])+1,FALSE),
     Transactions[[#This Row],[OrigCashImpact]],
     0
)</f>
        <v>1.62</v>
      </c>
      <c r="O27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12401.715759936002</v>
      </c>
      <c r="P27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7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271" s="41">
        <f>ROW()</f>
        <v>271</v>
      </c>
      <c r="S2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27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271" s="86">
        <f>IF(INDEX(TransTypes[],Transactions[[#This Row],[TTR]],TT_COL_GLFlag)=1,Transactions[[#This Row],[CalCashImpact]]+Transactions[[#This Row],[CostImpact]],0)</f>
        <v>0</v>
      </c>
      <c r="W271" s="87">
        <f>Transactions[[#This Row],[Amount]]*INDEX(TransTypes[],Transactions[[#This Row],[TTR]],TT_COL_AmntSign)</f>
        <v>1.62</v>
      </c>
      <c r="X271" s="87">
        <f>IF(INDEX(TransTypes[],Transactions[[#This Row],[TTR]],TT_COL_LONGORSHORT)="S",
      IF( OR(INDEX(TransTypes[],Transactions[[#This Row],[TTR]],TT_COL_GLFlag)=1, INDEX(TransTypes[], Transactions[[#This Row],[TTR]], TT_COL_ShareTransferFlag)=1),
            Transactions[[#This Row],[CostImpact]]*-1,
            Transactions[[#This Row],[CalCashImpact]]
      ),
     0
)</f>
        <v>0</v>
      </c>
      <c r="Y271" s="88" t="str">
        <f>VLOOKUP(Transactions[[#This Row],[Symbol]],Symbols[], COLUMN(Symbols[Currency])-COLUMN(Symbols[])+1,FALSE)</f>
        <v>USD</v>
      </c>
    </row>
    <row r="272" spans="1:25">
      <c r="A272" s="75" t="s">
        <v>65</v>
      </c>
      <c r="B272" s="76">
        <v>43046</v>
      </c>
      <c r="C272" s="75" t="s">
        <v>123</v>
      </c>
      <c r="D272" s="75"/>
      <c r="E272" s="75" t="s">
        <v>20</v>
      </c>
      <c r="F272" s="77"/>
      <c r="G272" s="78"/>
      <c r="H272" s="77"/>
      <c r="I272" s="77"/>
      <c r="J272" s="79">
        <v>-14.17</v>
      </c>
      <c r="K272" s="6" t="s">
        <v>370</v>
      </c>
      <c r="L272" s="20">
        <f>IF(ISNA(MATCH(Transactions[[#This Row],[TransType]],TransTypes[TransType],0)),1,MATCH(Transactions[[#This Row],[TransType]],TransTypes[TransType],0))</f>
        <v>7</v>
      </c>
      <c r="M272" s="80">
        <f>IF( AND( INDEX(TransTypes[],Transactions[[#This Row],[TTR]],TT_COL_GLFlag)=1, INDEX(TransTypes[],Transactions[[#This Row],[TTR]],TT_COL_LONGORSHORT)="S" ),
      Transactions[[#This Row],[PL]],
      IF(INDEX(TransTypes[],Transactions[[#This Row],[TTR]],TT_COL_LONGORSHORT)="S",0,Transactions[[#This Row],[CalCashImpact]])
)</f>
        <v>14.17</v>
      </c>
      <c r="N272" s="81">
        <f>IF(VLOOKUP(Transactions[[#This Row],[Symbol]],Symbols[],COLUMN(Symbols[Currency])-COLUMN(Symbols[])+1,FALSE)=
       VLOOKUP(Transactions[[#This Row],[Account]],Accounts[],COLUMN(Accounts[Currency])-COLUMN(Accounts[])+1,FALSE),
     Transactions[[#This Row],[OrigCashImpact]],
     0
)</f>
        <v>14.17</v>
      </c>
      <c r="O27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12415.885759936002</v>
      </c>
      <c r="P27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7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272" s="41">
        <f>ROW()</f>
        <v>272</v>
      </c>
      <c r="S2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50637.27</v>
      </c>
      <c r="U27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272" s="86">
        <f>IF(INDEX(TransTypes[],Transactions[[#This Row],[TTR]],TT_COL_GLFlag)=1,Transactions[[#This Row],[CalCashImpact]]+Transactions[[#This Row],[CostImpact]],0)</f>
        <v>0</v>
      </c>
      <c r="W272" s="87">
        <f>Transactions[[#This Row],[Amount]]*INDEX(TransTypes[],Transactions[[#This Row],[TTR]],TT_COL_AmntSign)</f>
        <v>14.17</v>
      </c>
      <c r="X272" s="87">
        <f>IF(INDEX(TransTypes[],Transactions[[#This Row],[TTR]],TT_COL_LONGORSHORT)="S",
      IF( OR(INDEX(TransTypes[],Transactions[[#This Row],[TTR]],TT_COL_GLFlag)=1, INDEX(TransTypes[], Transactions[[#This Row],[TTR]], TT_COL_ShareTransferFlag)=1),
            Transactions[[#This Row],[CostImpact]]*-1,
            Transactions[[#This Row],[CalCashImpact]]
      ),
     0
)</f>
        <v>0</v>
      </c>
      <c r="Y272" s="88" t="str">
        <f>VLOOKUP(Transactions[[#This Row],[Symbol]],Symbols[], COLUMN(Symbols[Currency])-COLUMN(Symbols[])+1,FALSE)</f>
        <v>USD</v>
      </c>
    </row>
    <row r="273" spans="1:25">
      <c r="A273" s="75" t="s">
        <v>65</v>
      </c>
      <c r="B273" s="76">
        <v>43076</v>
      </c>
      <c r="C273" s="75" t="s">
        <v>123</v>
      </c>
      <c r="D273" s="75"/>
      <c r="E273" s="75" t="s">
        <v>20</v>
      </c>
      <c r="F273" s="77"/>
      <c r="G273" s="78"/>
      <c r="H273" s="77"/>
      <c r="I273" s="77"/>
      <c r="J273" s="79">
        <v>-97.2</v>
      </c>
      <c r="K273" s="6" t="s">
        <v>393</v>
      </c>
      <c r="L273" s="20">
        <f>IF(ISNA(MATCH(Transactions[[#This Row],[TransType]],TransTypes[TransType],0)),1,MATCH(Transactions[[#This Row],[TransType]],TransTypes[TransType],0))</f>
        <v>7</v>
      </c>
      <c r="M273" s="80">
        <f>IF( AND( INDEX(TransTypes[],Transactions[[#This Row],[TTR]],TT_COL_GLFlag)=1, INDEX(TransTypes[],Transactions[[#This Row],[TTR]],TT_COL_LONGORSHORT)="S" ),
      Transactions[[#This Row],[PL]],
      IF(INDEX(TransTypes[],Transactions[[#This Row],[TTR]],TT_COL_LONGORSHORT)="S",0,Transactions[[#This Row],[CalCashImpact]])
)</f>
        <v>97.2</v>
      </c>
      <c r="N273" s="81">
        <f>IF(VLOOKUP(Transactions[[#This Row],[Symbol]],Symbols[],COLUMN(Symbols[Currency])-COLUMN(Symbols[])+1,FALSE)=
       VLOOKUP(Transactions[[#This Row],[Account]],Accounts[],COLUMN(Accounts[Currency])-COLUMN(Accounts[])+1,FALSE),
     Transactions[[#This Row],[OrigCashImpact]],
     0
)</f>
        <v>97.2</v>
      </c>
      <c r="O27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7988.6418433761519</v>
      </c>
      <c r="P27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7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2544</v>
      </c>
      <c r="R273" s="41">
        <f>ROW()</f>
        <v>273</v>
      </c>
      <c r="S2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318500.1975111111</v>
      </c>
      <c r="U27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2544</v>
      </c>
      <c r="V273" s="86">
        <f>IF(INDEX(TransTypes[],Transactions[[#This Row],[TTR]],TT_COL_GLFlag)=1,Transactions[[#This Row],[CalCashImpact]]+Transactions[[#This Row],[CostImpact]],0)</f>
        <v>0</v>
      </c>
      <c r="W273" s="87">
        <f>Transactions[[#This Row],[Amount]]*INDEX(TransTypes[],Transactions[[#This Row],[TTR]],TT_COL_AmntSign)</f>
        <v>97.2</v>
      </c>
      <c r="X273" s="87">
        <f>IF(INDEX(TransTypes[],Transactions[[#This Row],[TTR]],TT_COL_LONGORSHORT)="S",
      IF( OR(INDEX(TransTypes[],Transactions[[#This Row],[TTR]],TT_COL_GLFlag)=1, INDEX(TransTypes[], Transactions[[#This Row],[TTR]], TT_COL_ShareTransferFlag)=1),
            Transactions[[#This Row],[CostImpact]]*-1,
            Transactions[[#This Row],[CalCashImpact]]
      ),
     0
)</f>
        <v>0</v>
      </c>
      <c r="Y273" s="88" t="str">
        <f>VLOOKUP(Transactions[[#This Row],[Symbol]],Symbols[], COLUMN(Symbols[Currency])-COLUMN(Symbols[])+1,FALSE)</f>
        <v>USD</v>
      </c>
    </row>
    <row r="274" spans="1:25">
      <c r="A274" s="75" t="s">
        <v>65</v>
      </c>
      <c r="B274" s="76">
        <v>43097</v>
      </c>
      <c r="C274" s="75" t="s">
        <v>123</v>
      </c>
      <c r="D274" s="75"/>
      <c r="E274" s="75" t="s">
        <v>20</v>
      </c>
      <c r="F274" s="77"/>
      <c r="G274" s="78"/>
      <c r="H274" s="77"/>
      <c r="I274" s="77"/>
      <c r="J274" s="79">
        <v>-80.349999999999994</v>
      </c>
      <c r="K274" s="6" t="s">
        <v>402</v>
      </c>
      <c r="L274" s="20">
        <f>IF(ISNA(MATCH(Transactions[[#This Row],[TransType]],TransTypes[TransType],0)),1,MATCH(Transactions[[#This Row],[TransType]],TransTypes[TransType],0))</f>
        <v>7</v>
      </c>
      <c r="M274" s="80">
        <f>IF( AND( INDEX(TransTypes[],Transactions[[#This Row],[TTR]],TT_COL_GLFlag)=1, INDEX(TransTypes[],Transactions[[#This Row],[TTR]],TT_COL_LONGORSHORT)="S" ),
      Transactions[[#This Row],[PL]],
      IF(INDEX(TransTypes[],Transactions[[#This Row],[TTR]],TT_COL_LONGORSHORT)="S",0,Transactions[[#This Row],[CalCashImpact]])
)</f>
        <v>80.349999999999994</v>
      </c>
      <c r="N274" s="81">
        <f>IF(VLOOKUP(Transactions[[#This Row],[Symbol]],Symbols[],COLUMN(Symbols[Currency])-COLUMN(Symbols[])+1,FALSE)=
       VLOOKUP(Transactions[[#This Row],[Account]],Accounts[],COLUMN(Accounts[Currency])-COLUMN(Accounts[])+1,FALSE),
     Transactions[[#This Row],[OrigCashImpact]],
     0
)</f>
        <v>80.349999999999994</v>
      </c>
      <c r="O27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1533.8893781532497</v>
      </c>
      <c r="P27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7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274" s="41">
        <f>ROW()</f>
        <v>274</v>
      </c>
      <c r="S2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256413.72825185183</v>
      </c>
      <c r="U27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274" s="86">
        <f>IF(INDEX(TransTypes[],Transactions[[#This Row],[TTR]],TT_COL_GLFlag)=1,Transactions[[#This Row],[CalCashImpact]]+Transactions[[#This Row],[CostImpact]],0)</f>
        <v>0</v>
      </c>
      <c r="W274" s="87">
        <f>Transactions[[#This Row],[Amount]]*INDEX(TransTypes[],Transactions[[#This Row],[TTR]],TT_COL_AmntSign)</f>
        <v>80.349999999999994</v>
      </c>
      <c r="X274" s="87">
        <f>IF(INDEX(TransTypes[],Transactions[[#This Row],[TTR]],TT_COL_LONGORSHORT)="S",
      IF( OR(INDEX(TransTypes[],Transactions[[#This Row],[TTR]],TT_COL_GLFlag)=1, INDEX(TransTypes[], Transactions[[#This Row],[TTR]], TT_COL_ShareTransferFlag)=1),
            Transactions[[#This Row],[CostImpact]]*-1,
            Transactions[[#This Row],[CalCashImpact]]
      ),
     0
)</f>
        <v>0</v>
      </c>
      <c r="Y274" s="88" t="str">
        <f>VLOOKUP(Transactions[[#This Row],[Symbol]],Symbols[], COLUMN(Symbols[Currency])-COLUMN(Symbols[])+1,FALSE)</f>
        <v>USD</v>
      </c>
    </row>
    <row r="275" spans="1:25">
      <c r="A275" s="75" t="s">
        <v>65</v>
      </c>
      <c r="B275" s="76">
        <v>43101</v>
      </c>
      <c r="C275" s="75" t="s">
        <v>113</v>
      </c>
      <c r="D275" s="75"/>
      <c r="E275" s="75" t="s">
        <v>258</v>
      </c>
      <c r="F275" s="77">
        <v>10000</v>
      </c>
      <c r="G275" s="78">
        <v>34.200000000000003</v>
      </c>
      <c r="H275" s="77">
        <v>976.06799999999998</v>
      </c>
      <c r="I275" s="77"/>
      <c r="J275" s="79">
        <v>342976.06800000003</v>
      </c>
      <c r="K275" s="6"/>
      <c r="L275" s="20">
        <f>IF(ISNA(MATCH(Transactions[[#This Row],[TransType]],TransTypes[TransType],0)),1,MATCH(Transactions[[#This Row],[TransType]],TransTypes[TransType],0))</f>
        <v>2</v>
      </c>
      <c r="M275" s="80">
        <f>IF( AND( INDEX(TransTypes[],Transactions[[#This Row],[TTR]],TT_COL_GLFlag)=1, INDEX(TransTypes[],Transactions[[#This Row],[TTR]],TT_COL_LONGORSHORT)="S" ),
      Transactions[[#This Row],[PL]],
      IF(INDEX(TransTypes[],Transactions[[#This Row],[TTR]],TT_COL_LONGORSHORT)="S",0,Transactions[[#This Row],[CalCashImpact]])
)</f>
        <v>-342976.06800000003</v>
      </c>
      <c r="N275" s="81">
        <f>IF(VLOOKUP(Transactions[[#This Row],[Symbol]],Symbols[],COLUMN(Symbols[Currency])-COLUMN(Symbols[])+1,FALSE)=
       VLOOKUP(Transactions[[#This Row],[Account]],Accounts[],COLUMN(Accounts[Currency])-COLUMN(Accounts[])+1,FALSE),
     Transactions[[#This Row],[OrigCashImpact]],
     0
)</f>
        <v>0</v>
      </c>
      <c r="O27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1533.8893781532497</v>
      </c>
      <c r="P27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27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24000</v>
      </c>
      <c r="R275" s="41">
        <f>ROW()</f>
        <v>275</v>
      </c>
      <c r="S2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342976.06800000003</v>
      </c>
      <c r="T2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807051.25650000002</v>
      </c>
      <c r="U27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24000</v>
      </c>
      <c r="V275" s="86">
        <f>IF(INDEX(TransTypes[],Transactions[[#This Row],[TTR]],TT_COL_GLFlag)=1,Transactions[[#This Row],[CalCashImpact]]+Transactions[[#This Row],[CostImpact]],0)</f>
        <v>0</v>
      </c>
      <c r="W275" s="87">
        <f>Transactions[[#This Row],[Amount]]*INDEX(TransTypes[],Transactions[[#This Row],[TTR]],TT_COL_AmntSign)</f>
        <v>-342976.06800000003</v>
      </c>
      <c r="X275" s="87">
        <f>IF(INDEX(TransTypes[],Transactions[[#This Row],[TTR]],TT_COL_LONGORSHORT)="S",
      IF( OR(INDEX(TransTypes[],Transactions[[#This Row],[TTR]],TT_COL_GLFlag)=1, INDEX(TransTypes[], Transactions[[#This Row],[TTR]], TT_COL_ShareTransferFlag)=1),
            Transactions[[#This Row],[CostImpact]]*-1,
            Transactions[[#This Row],[CalCashImpact]]
      ),
     0
)</f>
        <v>0</v>
      </c>
      <c r="Y275" s="88" t="str">
        <f>VLOOKUP(Transactions[[#This Row],[Symbol]],Symbols[], COLUMN(Symbols[Currency])-COLUMN(Symbols[])+1,FALSE)</f>
        <v>HKD</v>
      </c>
    </row>
    <row r="276" spans="1:25">
      <c r="A276" s="75" t="s">
        <v>65</v>
      </c>
      <c r="B276" s="76">
        <v>43101</v>
      </c>
      <c r="C276" s="75" t="s">
        <v>115</v>
      </c>
      <c r="D276" s="75"/>
      <c r="E276" s="75" t="s">
        <v>266</v>
      </c>
      <c r="F276" s="77">
        <v>1000</v>
      </c>
      <c r="G276" s="78">
        <v>38.049999999999997</v>
      </c>
      <c r="H276" s="77">
        <v>110.49469999999999</v>
      </c>
      <c r="I276" s="77"/>
      <c r="J276" s="79">
        <v>37939.505299999997</v>
      </c>
      <c r="K276" s="6"/>
      <c r="L276" s="20">
        <f>IF(ISNA(MATCH(Transactions[[#This Row],[TransType]],TransTypes[TransType],0)),1,MATCH(Transactions[[#This Row],[TransType]],TransTypes[TransType],0))</f>
        <v>3</v>
      </c>
      <c r="M276" s="80">
        <f>IF( AND( INDEX(TransTypes[],Transactions[[#This Row],[TTR]],TT_COL_GLFlag)=1, INDEX(TransTypes[],Transactions[[#This Row],[TTR]],TT_COL_LONGORSHORT)="S" ),
      Transactions[[#This Row],[PL]],
      IF(INDEX(TransTypes[],Transactions[[#This Row],[TTR]],TT_COL_LONGORSHORT)="S",0,Transactions[[#This Row],[CalCashImpact]])
)</f>
        <v>37939.505299999997</v>
      </c>
      <c r="N276" s="81">
        <f>IF(VLOOKUP(Transactions[[#This Row],[Symbol]],Symbols[],COLUMN(Symbols[Currency])-COLUMN(Symbols[])+1,FALSE)=
       VLOOKUP(Transactions[[#This Row],[Account]],Accounts[],COLUMN(Accounts[Currency])-COLUMN(Accounts[])+1,FALSE),
     Transactions[[#This Row],[OrigCashImpact]],
     0
)</f>
        <v>0</v>
      </c>
      <c r="O27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1533.8893781532497</v>
      </c>
      <c r="P27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27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76" s="41">
        <f>ROW()</f>
        <v>276</v>
      </c>
      <c r="S2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-37207.683400000002</v>
      </c>
      <c r="T2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7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276" s="86">
        <f>IF(INDEX(TransTypes[],Transactions[[#This Row],[TTR]],TT_COL_GLFlag)=1,Transactions[[#This Row],[CalCashImpact]]+Transactions[[#This Row],[CostImpact]],0)</f>
        <v>731.82189999999537</v>
      </c>
      <c r="W276" s="87">
        <f>Transactions[[#This Row],[Amount]]*INDEX(TransTypes[],Transactions[[#This Row],[TTR]],TT_COL_AmntSign)</f>
        <v>37939.505299999997</v>
      </c>
      <c r="X276" s="87">
        <f>IF(INDEX(TransTypes[],Transactions[[#This Row],[TTR]],TT_COL_LONGORSHORT)="S",
      IF( OR(INDEX(TransTypes[],Transactions[[#This Row],[TTR]],TT_COL_GLFlag)=1, INDEX(TransTypes[], Transactions[[#This Row],[TTR]], TT_COL_ShareTransferFlag)=1),
            Transactions[[#This Row],[CostImpact]]*-1,
            Transactions[[#This Row],[CalCashImpact]]
      ),
     0
)</f>
        <v>0</v>
      </c>
      <c r="Y276" s="88" t="str">
        <f>VLOOKUP(Transactions[[#This Row],[Symbol]],Symbols[], COLUMN(Symbols[Currency])-COLUMN(Symbols[])+1,FALSE)</f>
        <v>HKD</v>
      </c>
    </row>
    <row r="277" spans="1:25">
      <c r="A277" s="75" t="s">
        <v>65</v>
      </c>
      <c r="B277" s="76">
        <v>43101</v>
      </c>
      <c r="C277" s="75" t="s">
        <v>115</v>
      </c>
      <c r="D277" s="75"/>
      <c r="E277" s="75" t="s">
        <v>273</v>
      </c>
      <c r="F277" s="77">
        <v>10000</v>
      </c>
      <c r="G277" s="78">
        <v>29.6</v>
      </c>
      <c r="H277" s="77">
        <v>844.78399999999999</v>
      </c>
      <c r="I277" s="77"/>
      <c r="J277" s="79">
        <v>295155.21600000001</v>
      </c>
      <c r="K277" s="6"/>
      <c r="L277" s="20">
        <f>IF(ISNA(MATCH(Transactions[[#This Row],[TransType]],TransTypes[TransType],0)),1,MATCH(Transactions[[#This Row],[TransType]],TransTypes[TransType],0))</f>
        <v>3</v>
      </c>
      <c r="M277" s="80">
        <f>IF( AND( INDEX(TransTypes[],Transactions[[#This Row],[TTR]],TT_COL_GLFlag)=1, INDEX(TransTypes[],Transactions[[#This Row],[TTR]],TT_COL_LONGORSHORT)="S" ),
      Transactions[[#This Row],[PL]],
      IF(INDEX(TransTypes[],Transactions[[#This Row],[TTR]],TT_COL_LONGORSHORT)="S",0,Transactions[[#This Row],[CalCashImpact]])
)</f>
        <v>295155.21600000001</v>
      </c>
      <c r="N277" s="81">
        <f>IF(VLOOKUP(Transactions[[#This Row],[Symbol]],Symbols[],COLUMN(Symbols[Currency])-COLUMN(Symbols[])+1,FALSE)=
       VLOOKUP(Transactions[[#This Row],[Account]],Accounts[],COLUMN(Accounts[Currency])-COLUMN(Accounts[])+1,FALSE),
     Transactions[[#This Row],[OrigCashImpact]],
     0
)</f>
        <v>0</v>
      </c>
      <c r="O27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1533.8893781532497</v>
      </c>
      <c r="P27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27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11600</v>
      </c>
      <c r="R277" s="41">
        <f>ROW()</f>
        <v>277</v>
      </c>
      <c r="S2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-262475.1013935185</v>
      </c>
      <c r="T2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304471.1176164815</v>
      </c>
      <c r="U27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21600</v>
      </c>
      <c r="V277" s="86">
        <f>IF(INDEX(TransTypes[],Transactions[[#This Row],[TTR]],TT_COL_GLFlag)=1,Transactions[[#This Row],[CalCashImpact]]+Transactions[[#This Row],[CostImpact]],0)</f>
        <v>32680.114606481511</v>
      </c>
      <c r="W277" s="87">
        <f>Transactions[[#This Row],[Amount]]*INDEX(TransTypes[],Transactions[[#This Row],[TTR]],TT_COL_AmntSign)</f>
        <v>295155.21600000001</v>
      </c>
      <c r="X277" s="87">
        <f>IF(INDEX(TransTypes[],Transactions[[#This Row],[TTR]],TT_COL_LONGORSHORT)="S",
      IF( OR(INDEX(TransTypes[],Transactions[[#This Row],[TTR]],TT_COL_GLFlag)=1, INDEX(TransTypes[], Transactions[[#This Row],[TTR]], TT_COL_ShareTransferFlag)=1),
            Transactions[[#This Row],[CostImpact]]*-1,
            Transactions[[#This Row],[CalCashImpact]]
      ),
     0
)</f>
        <v>0</v>
      </c>
      <c r="Y277" s="88" t="str">
        <f>VLOOKUP(Transactions[[#This Row],[Symbol]],Symbols[], COLUMN(Symbols[Currency])-COLUMN(Symbols[])+1,FALSE)</f>
        <v>HKD</v>
      </c>
    </row>
    <row r="278" spans="1:25">
      <c r="A278" s="75" t="s">
        <v>65</v>
      </c>
      <c r="B278" s="76">
        <v>43102</v>
      </c>
      <c r="C278" s="75" t="s">
        <v>118</v>
      </c>
      <c r="D278" s="75"/>
      <c r="E278" s="75" t="s">
        <v>313</v>
      </c>
      <c r="F278" s="77">
        <v>3475</v>
      </c>
      <c r="G278" s="78"/>
      <c r="H278" s="77"/>
      <c r="I278" s="77"/>
      <c r="J278" s="79">
        <v>660.25</v>
      </c>
      <c r="K278" s="6" t="s">
        <v>344</v>
      </c>
      <c r="L278" s="20">
        <f>IF(ISNA(MATCH(Transactions[[#This Row],[TransType]],TransTypes[TransType],0)),1,MATCH(Transactions[[#This Row],[TransType]],TransTypes[TransType],0))</f>
        <v>4</v>
      </c>
      <c r="M278" s="80">
        <f>IF( AND( INDEX(TransTypes[],Transactions[[#This Row],[TTR]],TT_COL_GLFlag)=1, INDEX(TransTypes[],Transactions[[#This Row],[TTR]],TT_COL_LONGORSHORT)="S" ),
      Transactions[[#This Row],[PL]],
      IF(INDEX(TransTypes[],Transactions[[#This Row],[TTR]],TT_COL_LONGORSHORT)="S",0,Transactions[[#This Row],[CalCashImpact]])
)</f>
        <v>660.25</v>
      </c>
      <c r="N278" s="81">
        <f>IF(VLOOKUP(Transactions[[#This Row],[Symbol]],Symbols[],COLUMN(Symbols[Currency])-COLUMN(Symbols[])+1,FALSE)=
       VLOOKUP(Transactions[[#This Row],[Account]],Accounts[],COLUMN(Accounts[Currency])-COLUMN(Accounts[])+1,FALSE),
     Transactions[[#This Row],[OrigCashImpact]],
     0
)</f>
        <v>660.25</v>
      </c>
      <c r="O27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2194.1393781532497</v>
      </c>
      <c r="P27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7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278" s="41">
        <f>ROW()</f>
        <v>278</v>
      </c>
      <c r="S2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27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278" s="86">
        <f>IF(INDEX(TransTypes[],Transactions[[#This Row],[TTR]],TT_COL_GLFlag)=1,Transactions[[#This Row],[CalCashImpact]]+Transactions[[#This Row],[CostImpact]],0)</f>
        <v>0</v>
      </c>
      <c r="W278" s="87">
        <f>Transactions[[#This Row],[Amount]]*INDEX(TransTypes[],Transactions[[#This Row],[TTR]],TT_COL_AmntSign)</f>
        <v>660.25</v>
      </c>
      <c r="X278" s="87">
        <f>IF(INDEX(TransTypes[],Transactions[[#This Row],[TTR]],TT_COL_LONGORSHORT)="S",
      IF( OR(INDEX(TransTypes[],Transactions[[#This Row],[TTR]],TT_COL_GLFlag)=1, INDEX(TransTypes[], Transactions[[#This Row],[TTR]], TT_COL_ShareTransferFlag)=1),
            Transactions[[#This Row],[CostImpact]]*-1,
            Transactions[[#This Row],[CalCashImpact]]
      ),
     0
)</f>
        <v>0</v>
      </c>
      <c r="Y278" s="88" t="str">
        <f>VLOOKUP(Transactions[[#This Row],[Symbol]],Symbols[], COLUMN(Symbols[Currency])-COLUMN(Symbols[])+1,FALSE)</f>
        <v>USD</v>
      </c>
    </row>
    <row r="279" spans="1:25">
      <c r="A279" s="75" t="s">
        <v>65</v>
      </c>
      <c r="B279" s="76">
        <v>43102</v>
      </c>
      <c r="C279" s="75" t="s">
        <v>123</v>
      </c>
      <c r="D279" s="75"/>
      <c r="E279" s="75" t="s">
        <v>313</v>
      </c>
      <c r="F279" s="77"/>
      <c r="G279" s="78"/>
      <c r="H279" s="77"/>
      <c r="I279" s="77"/>
      <c r="J279" s="79">
        <v>99.04</v>
      </c>
      <c r="K279" s="6" t="s">
        <v>345</v>
      </c>
      <c r="L279" s="20">
        <f>IF(ISNA(MATCH(Transactions[[#This Row],[TransType]],TransTypes[TransType],0)),1,MATCH(Transactions[[#This Row],[TransType]],TransTypes[TransType],0))</f>
        <v>7</v>
      </c>
      <c r="M279" s="80">
        <f>IF( AND( INDEX(TransTypes[],Transactions[[#This Row],[TTR]],TT_COL_GLFlag)=1, INDEX(TransTypes[],Transactions[[#This Row],[TTR]],TT_COL_LONGORSHORT)="S" ),
      Transactions[[#This Row],[PL]],
      IF(INDEX(TransTypes[],Transactions[[#This Row],[TTR]],TT_COL_LONGORSHORT)="S",0,Transactions[[#This Row],[CalCashImpact]])
)</f>
        <v>-99.04</v>
      </c>
      <c r="N279" s="81">
        <f>IF(VLOOKUP(Transactions[[#This Row],[Symbol]],Symbols[],COLUMN(Symbols[Currency])-COLUMN(Symbols[])+1,FALSE)=
       VLOOKUP(Transactions[[#This Row],[Account]],Accounts[],COLUMN(Accounts[Currency])-COLUMN(Accounts[])+1,FALSE),
     Transactions[[#This Row],[OrigCashImpact]],
     0
)</f>
        <v>-99.04</v>
      </c>
      <c r="O27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2095.0993781532497</v>
      </c>
      <c r="P27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7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279" s="41">
        <f>ROW()</f>
        <v>279</v>
      </c>
      <c r="S2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27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279" s="86">
        <f>IF(INDEX(TransTypes[],Transactions[[#This Row],[TTR]],TT_COL_GLFlag)=1,Transactions[[#This Row],[CalCashImpact]]+Transactions[[#This Row],[CostImpact]],0)</f>
        <v>0</v>
      </c>
      <c r="W279" s="87">
        <f>Transactions[[#This Row],[Amount]]*INDEX(TransTypes[],Transactions[[#This Row],[TTR]],TT_COL_AmntSign)</f>
        <v>-99.04</v>
      </c>
      <c r="X279" s="87">
        <f>IF(INDEX(TransTypes[],Transactions[[#This Row],[TTR]],TT_COL_LONGORSHORT)="S",
      IF( OR(INDEX(TransTypes[],Transactions[[#This Row],[TTR]],TT_COL_GLFlag)=1, INDEX(TransTypes[], Transactions[[#This Row],[TTR]], TT_COL_ShareTransferFlag)=1),
            Transactions[[#This Row],[CostImpact]]*-1,
            Transactions[[#This Row],[CalCashImpact]]
      ),
     0
)</f>
        <v>0</v>
      </c>
      <c r="Y279" s="88" t="str">
        <f>VLOOKUP(Transactions[[#This Row],[Symbol]],Symbols[], COLUMN(Symbols[Currency])-COLUMN(Symbols[])+1,FALSE)</f>
        <v>USD</v>
      </c>
    </row>
    <row r="280" spans="1:25">
      <c r="A280" s="75" t="s">
        <v>65</v>
      </c>
      <c r="B280" s="76">
        <v>43103</v>
      </c>
      <c r="C280" s="75" t="s">
        <v>113</v>
      </c>
      <c r="D280" s="75"/>
      <c r="E280" s="75" t="s">
        <v>322</v>
      </c>
      <c r="F280" s="77">
        <v>1300</v>
      </c>
      <c r="G280" s="78">
        <v>141.737661538</v>
      </c>
      <c r="H280" s="77">
        <v>5.45</v>
      </c>
      <c r="I280" s="77"/>
      <c r="J280" s="79">
        <v>184264.41</v>
      </c>
      <c r="K280" s="6"/>
      <c r="L280" s="20">
        <f>IF(ISNA(MATCH(Transactions[[#This Row],[TransType]],TransTypes[TransType],0)),1,MATCH(Transactions[[#This Row],[TransType]],TransTypes[TransType],0))</f>
        <v>2</v>
      </c>
      <c r="M280" s="80">
        <f>IF( AND( INDEX(TransTypes[],Transactions[[#This Row],[TTR]],TT_COL_GLFlag)=1, INDEX(TransTypes[],Transactions[[#This Row],[TTR]],TT_COL_LONGORSHORT)="S" ),
      Transactions[[#This Row],[PL]],
      IF(INDEX(TransTypes[],Transactions[[#This Row],[TTR]],TT_COL_LONGORSHORT)="S",0,Transactions[[#This Row],[CalCashImpact]])
)</f>
        <v>-184264.41</v>
      </c>
      <c r="N280" s="81">
        <f>IF(VLOOKUP(Transactions[[#This Row],[Symbol]],Symbols[],COLUMN(Symbols[Currency])-COLUMN(Symbols[])+1,FALSE)=
       VLOOKUP(Transactions[[#This Row],[Account]],Accounts[],COLUMN(Accounts[Currency])-COLUMN(Accounts[])+1,FALSE),
     Transactions[[#This Row],[OrigCashImpact]],
     0
)</f>
        <v>-184264.41</v>
      </c>
      <c r="O28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-182169.31062184676</v>
      </c>
      <c r="P28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1300</v>
      </c>
      <c r="Q28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v>
      </c>
      <c r="R280" s="41">
        <f>ROW()</f>
        <v>280</v>
      </c>
      <c r="S2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184264.41</v>
      </c>
      <c r="T2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184264.41</v>
      </c>
      <c r="U28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v>
      </c>
      <c r="V280" s="86">
        <f>IF(INDEX(TransTypes[],Transactions[[#This Row],[TTR]],TT_COL_GLFlag)=1,Transactions[[#This Row],[CalCashImpact]]+Transactions[[#This Row],[CostImpact]],0)</f>
        <v>0</v>
      </c>
      <c r="W280" s="87">
        <f>Transactions[[#This Row],[Amount]]*INDEX(TransTypes[],Transactions[[#This Row],[TTR]],TT_COL_AmntSign)</f>
        <v>-184264.41</v>
      </c>
      <c r="X280" s="87">
        <f>IF(INDEX(TransTypes[],Transactions[[#This Row],[TTR]],TT_COL_LONGORSHORT)="S",
      IF( OR(INDEX(TransTypes[],Transactions[[#This Row],[TTR]],TT_COL_GLFlag)=1, INDEX(TransTypes[], Transactions[[#This Row],[TTR]], TT_COL_ShareTransferFlag)=1),
            Transactions[[#This Row],[CostImpact]]*-1,
            Transactions[[#This Row],[CalCashImpact]]
      ),
     0
)</f>
        <v>0</v>
      </c>
      <c r="Y280" s="88" t="str">
        <f>VLOOKUP(Transactions[[#This Row],[Symbol]],Symbols[], COLUMN(Symbols[Currency])-COLUMN(Symbols[])+1,FALSE)</f>
        <v>USD</v>
      </c>
    </row>
    <row r="281" spans="1:25">
      <c r="A281" s="75" t="s">
        <v>65</v>
      </c>
      <c r="B281" s="76">
        <v>43103</v>
      </c>
      <c r="C281" s="75" t="s">
        <v>121</v>
      </c>
      <c r="D281" s="75"/>
      <c r="E281" s="75" t="s">
        <v>208</v>
      </c>
      <c r="F281" s="77"/>
      <c r="G281" s="78"/>
      <c r="H281" s="77"/>
      <c r="I281" s="77"/>
      <c r="J281" s="79">
        <v>4.5</v>
      </c>
      <c r="K281" s="6" t="s">
        <v>420</v>
      </c>
      <c r="L281" s="20">
        <f>IF(ISNA(MATCH(Transactions[[#This Row],[TransType]],TransTypes[TransType],0)),1,MATCH(Transactions[[#This Row],[TransType]],TransTypes[TransType],0))</f>
        <v>6</v>
      </c>
      <c r="M281" s="80">
        <f>IF( AND( INDEX(TransTypes[],Transactions[[#This Row],[TTR]],TT_COL_GLFlag)=1, INDEX(TransTypes[],Transactions[[#This Row],[TTR]],TT_COL_LONGORSHORT)="S" ),
      Transactions[[#This Row],[PL]],
      IF(INDEX(TransTypes[],Transactions[[#This Row],[TTR]],TT_COL_LONGORSHORT)="S",0,Transactions[[#This Row],[CalCashImpact]])
)</f>
        <v>-4.5</v>
      </c>
      <c r="N281" s="81">
        <f>IF(VLOOKUP(Transactions[[#This Row],[Symbol]],Symbols[],COLUMN(Symbols[Currency])-COLUMN(Symbols[])+1,FALSE)=
       VLOOKUP(Transactions[[#This Row],[Account]],Accounts[],COLUMN(Accounts[Currency])-COLUMN(Accounts[])+1,FALSE),
     Transactions[[#This Row],[OrigCashImpact]],
     0
)</f>
        <v>-4.5</v>
      </c>
      <c r="O28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-182173.81062184676</v>
      </c>
      <c r="P28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8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81" s="41">
        <f>ROW()</f>
        <v>281</v>
      </c>
      <c r="S2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8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81" s="86">
        <f>IF(INDEX(TransTypes[],Transactions[[#This Row],[TTR]],TT_COL_GLFlag)=1,Transactions[[#This Row],[CalCashImpact]]+Transactions[[#This Row],[CostImpact]],0)</f>
        <v>0</v>
      </c>
      <c r="W281" s="87">
        <f>Transactions[[#This Row],[Amount]]*INDEX(TransTypes[],Transactions[[#This Row],[TTR]],TT_COL_AmntSign)</f>
        <v>-4.5</v>
      </c>
      <c r="X281" s="87">
        <f>IF(INDEX(TransTypes[],Transactions[[#This Row],[TTR]],TT_COL_LONGORSHORT)="S",
      IF( OR(INDEX(TransTypes[],Transactions[[#This Row],[TTR]],TT_COL_GLFlag)=1, INDEX(TransTypes[], Transactions[[#This Row],[TTR]], TT_COL_ShareTransferFlag)=1),
            Transactions[[#This Row],[CostImpact]]*-1,
            Transactions[[#This Row],[CalCashImpact]]
      ),
     0
)</f>
        <v>0</v>
      </c>
      <c r="Y281" s="88" t="str">
        <f>VLOOKUP(Transactions[[#This Row],[Symbol]],Symbols[], COLUMN(Symbols[Currency])-COLUMN(Symbols[])+1,FALSE)</f>
        <v>USD</v>
      </c>
    </row>
    <row r="282" spans="1:25">
      <c r="A282" s="75" t="s">
        <v>65</v>
      </c>
      <c r="B282" s="76">
        <v>43103</v>
      </c>
      <c r="C282" s="75" t="s">
        <v>121</v>
      </c>
      <c r="D282" s="75"/>
      <c r="E282" s="75" t="s">
        <v>208</v>
      </c>
      <c r="F282" s="77"/>
      <c r="G282" s="78"/>
      <c r="H282" s="77"/>
      <c r="I282" s="77"/>
      <c r="J282" s="79">
        <v>16.64</v>
      </c>
      <c r="K282" s="6" t="s">
        <v>421</v>
      </c>
      <c r="L282" s="20">
        <f>IF(ISNA(MATCH(Transactions[[#This Row],[TransType]],TransTypes[TransType],0)),1,MATCH(Transactions[[#This Row],[TransType]],TransTypes[TransType],0))</f>
        <v>6</v>
      </c>
      <c r="M282" s="80">
        <f>IF( AND( INDEX(TransTypes[],Transactions[[#This Row],[TTR]],TT_COL_GLFlag)=1, INDEX(TransTypes[],Transactions[[#This Row],[TTR]],TT_COL_LONGORSHORT)="S" ),
      Transactions[[#This Row],[PL]],
      IF(INDEX(TransTypes[],Transactions[[#This Row],[TTR]],TT_COL_LONGORSHORT)="S",0,Transactions[[#This Row],[CalCashImpact]])
)</f>
        <v>-16.64</v>
      </c>
      <c r="N282" s="81">
        <f>IF(VLOOKUP(Transactions[[#This Row],[Symbol]],Symbols[],COLUMN(Symbols[Currency])-COLUMN(Symbols[])+1,FALSE)=
       VLOOKUP(Transactions[[#This Row],[Account]],Accounts[],COLUMN(Accounts[Currency])-COLUMN(Accounts[])+1,FALSE),
     Transactions[[#This Row],[OrigCashImpact]],
     0
)</f>
        <v>-16.64</v>
      </c>
      <c r="O28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-182190.45062184677</v>
      </c>
      <c r="P28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8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82" s="41">
        <f>ROW()</f>
        <v>282</v>
      </c>
      <c r="S2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8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82" s="86">
        <f>IF(INDEX(TransTypes[],Transactions[[#This Row],[TTR]],TT_COL_GLFlag)=1,Transactions[[#This Row],[CalCashImpact]]+Transactions[[#This Row],[CostImpact]],0)</f>
        <v>0</v>
      </c>
      <c r="W282" s="87">
        <f>Transactions[[#This Row],[Amount]]*INDEX(TransTypes[],Transactions[[#This Row],[TTR]],TT_COL_AmntSign)</f>
        <v>-16.64</v>
      </c>
      <c r="X282" s="87">
        <f>IF(INDEX(TransTypes[],Transactions[[#This Row],[TTR]],TT_COL_LONGORSHORT)="S",
      IF( OR(INDEX(TransTypes[],Transactions[[#This Row],[TTR]],TT_COL_GLFlag)=1, INDEX(TransTypes[], Transactions[[#This Row],[TTR]], TT_COL_ShareTransferFlag)=1),
            Transactions[[#This Row],[CostImpact]]*-1,
            Transactions[[#This Row],[CalCashImpact]]
      ),
     0
)</f>
        <v>0</v>
      </c>
      <c r="Y282" s="88" t="str">
        <f>VLOOKUP(Transactions[[#This Row],[Symbol]],Symbols[], COLUMN(Symbols[Currency])-COLUMN(Symbols[])+1,FALSE)</f>
        <v>USD</v>
      </c>
    </row>
    <row r="283" spans="1:25">
      <c r="A283" s="75" t="s">
        <v>65</v>
      </c>
      <c r="B283" s="76">
        <v>43103</v>
      </c>
      <c r="C283" s="75" t="s">
        <v>121</v>
      </c>
      <c r="D283" s="75"/>
      <c r="E283" s="75" t="s">
        <v>208</v>
      </c>
      <c r="F283" s="77"/>
      <c r="G283" s="78"/>
      <c r="H283" s="77"/>
      <c r="I283" s="77"/>
      <c r="J283" s="79">
        <v>3.2</v>
      </c>
      <c r="K283" s="6" t="s">
        <v>422</v>
      </c>
      <c r="L283" s="20">
        <f>IF(ISNA(MATCH(Transactions[[#This Row],[TransType]],TransTypes[TransType],0)),1,MATCH(Transactions[[#This Row],[TransType]],TransTypes[TransType],0))</f>
        <v>6</v>
      </c>
      <c r="M283" s="80">
        <f>IF( AND( INDEX(TransTypes[],Transactions[[#This Row],[TTR]],TT_COL_GLFlag)=1, INDEX(TransTypes[],Transactions[[#This Row],[TTR]],TT_COL_LONGORSHORT)="S" ),
      Transactions[[#This Row],[PL]],
      IF(INDEX(TransTypes[],Transactions[[#This Row],[TTR]],TT_COL_LONGORSHORT)="S",0,Transactions[[#This Row],[CalCashImpact]])
)</f>
        <v>-3.2</v>
      </c>
      <c r="N283" s="81">
        <f>IF(VLOOKUP(Transactions[[#This Row],[Symbol]],Symbols[],COLUMN(Symbols[Currency])-COLUMN(Symbols[])+1,FALSE)=
       VLOOKUP(Transactions[[#This Row],[Account]],Accounts[],COLUMN(Accounts[Currency])-COLUMN(Accounts[])+1,FALSE),
     Transactions[[#This Row],[OrigCashImpact]],
     0
)</f>
        <v>-3.2</v>
      </c>
      <c r="O28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-182193.65062184678</v>
      </c>
      <c r="P28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8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83" s="41">
        <f>ROW()</f>
        <v>283</v>
      </c>
      <c r="S2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8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83" s="86">
        <f>IF(INDEX(TransTypes[],Transactions[[#This Row],[TTR]],TT_COL_GLFlag)=1,Transactions[[#This Row],[CalCashImpact]]+Transactions[[#This Row],[CostImpact]],0)</f>
        <v>0</v>
      </c>
      <c r="W283" s="87">
        <f>Transactions[[#This Row],[Amount]]*INDEX(TransTypes[],Transactions[[#This Row],[TTR]],TT_COL_AmntSign)</f>
        <v>-3.2</v>
      </c>
      <c r="X283" s="87">
        <f>IF(INDEX(TransTypes[],Transactions[[#This Row],[TTR]],TT_COL_LONGORSHORT)="S",
      IF( OR(INDEX(TransTypes[],Transactions[[#This Row],[TTR]],TT_COL_GLFlag)=1, INDEX(TransTypes[], Transactions[[#This Row],[TTR]], TT_COL_ShareTransferFlag)=1),
            Transactions[[#This Row],[CostImpact]]*-1,
            Transactions[[#This Row],[CalCashImpact]]
      ),
     0
)</f>
        <v>0</v>
      </c>
      <c r="Y283" s="88" t="str">
        <f>VLOOKUP(Transactions[[#This Row],[Symbol]],Symbols[], COLUMN(Symbols[Currency])-COLUMN(Symbols[])+1,FALSE)</f>
        <v>USD</v>
      </c>
    </row>
    <row r="284" spans="1:25">
      <c r="A284" s="75" t="s">
        <v>65</v>
      </c>
      <c r="B284" s="76">
        <v>43103</v>
      </c>
      <c r="C284" s="75" t="s">
        <v>121</v>
      </c>
      <c r="D284" s="75"/>
      <c r="E284" s="75" t="s">
        <v>208</v>
      </c>
      <c r="F284" s="77"/>
      <c r="G284" s="78"/>
      <c r="H284" s="77"/>
      <c r="I284" s="77"/>
      <c r="J284" s="79">
        <v>10</v>
      </c>
      <c r="K284" s="6" t="s">
        <v>423</v>
      </c>
      <c r="L284" s="20">
        <f>IF(ISNA(MATCH(Transactions[[#This Row],[TransType]],TransTypes[TransType],0)),1,MATCH(Transactions[[#This Row],[TransType]],TransTypes[TransType],0))</f>
        <v>6</v>
      </c>
      <c r="M284" s="80">
        <f>IF( AND( INDEX(TransTypes[],Transactions[[#This Row],[TTR]],TT_COL_GLFlag)=1, INDEX(TransTypes[],Transactions[[#This Row],[TTR]],TT_COL_LONGORSHORT)="S" ),
      Transactions[[#This Row],[PL]],
      IF(INDEX(TransTypes[],Transactions[[#This Row],[TTR]],TT_COL_LONGORSHORT)="S",0,Transactions[[#This Row],[CalCashImpact]])
)</f>
        <v>-10</v>
      </c>
      <c r="N284" s="81">
        <f>IF(VLOOKUP(Transactions[[#This Row],[Symbol]],Symbols[],COLUMN(Symbols[Currency])-COLUMN(Symbols[])+1,FALSE)=
       VLOOKUP(Transactions[[#This Row],[Account]],Accounts[],COLUMN(Accounts[Currency])-COLUMN(Accounts[])+1,FALSE),
     Transactions[[#This Row],[OrigCashImpact]],
     0
)</f>
        <v>-10</v>
      </c>
      <c r="O28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-182203.65062184678</v>
      </c>
      <c r="P28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8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84" s="41">
        <f>ROW()</f>
        <v>284</v>
      </c>
      <c r="S2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8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84" s="86">
        <f>IF(INDEX(TransTypes[],Transactions[[#This Row],[TTR]],TT_COL_GLFlag)=1,Transactions[[#This Row],[CalCashImpact]]+Transactions[[#This Row],[CostImpact]],0)</f>
        <v>0</v>
      </c>
      <c r="W284" s="87">
        <f>Transactions[[#This Row],[Amount]]*INDEX(TransTypes[],Transactions[[#This Row],[TTR]],TT_COL_AmntSign)</f>
        <v>-10</v>
      </c>
      <c r="X284" s="87">
        <f>IF(INDEX(TransTypes[],Transactions[[#This Row],[TTR]],TT_COL_LONGORSHORT)="S",
      IF( OR(INDEX(TransTypes[],Transactions[[#This Row],[TTR]],TT_COL_GLFlag)=1, INDEX(TransTypes[], Transactions[[#This Row],[TTR]], TT_COL_ShareTransferFlag)=1),
            Transactions[[#This Row],[CostImpact]]*-1,
            Transactions[[#This Row],[CalCashImpact]]
      ),
     0
)</f>
        <v>0</v>
      </c>
      <c r="Y284" s="88" t="str">
        <f>VLOOKUP(Transactions[[#This Row],[Symbol]],Symbols[], COLUMN(Symbols[Currency])-COLUMN(Symbols[])+1,FALSE)</f>
        <v>USD</v>
      </c>
    </row>
    <row r="285" spans="1:25">
      <c r="A285" s="75" t="s">
        <v>65</v>
      </c>
      <c r="B285" s="76">
        <v>43103</v>
      </c>
      <c r="C285" s="75" t="s">
        <v>121</v>
      </c>
      <c r="D285" s="75"/>
      <c r="E285" s="75" t="s">
        <v>208</v>
      </c>
      <c r="F285" s="77"/>
      <c r="G285" s="78"/>
      <c r="H285" s="77"/>
      <c r="I285" s="77"/>
      <c r="J285" s="79">
        <v>-10</v>
      </c>
      <c r="K285" s="6" t="s">
        <v>423</v>
      </c>
      <c r="L285" s="20">
        <f>IF(ISNA(MATCH(Transactions[[#This Row],[TransType]],TransTypes[TransType],0)),1,MATCH(Transactions[[#This Row],[TransType]],TransTypes[TransType],0))</f>
        <v>6</v>
      </c>
      <c r="M285" s="80">
        <f>IF( AND( INDEX(TransTypes[],Transactions[[#This Row],[TTR]],TT_COL_GLFlag)=1, INDEX(TransTypes[],Transactions[[#This Row],[TTR]],TT_COL_LONGORSHORT)="S" ),
      Transactions[[#This Row],[PL]],
      IF(INDEX(TransTypes[],Transactions[[#This Row],[TTR]],TT_COL_LONGORSHORT)="S",0,Transactions[[#This Row],[CalCashImpact]])
)</f>
        <v>10</v>
      </c>
      <c r="N285" s="81">
        <f>IF(VLOOKUP(Transactions[[#This Row],[Symbol]],Symbols[],COLUMN(Symbols[Currency])-COLUMN(Symbols[])+1,FALSE)=
       VLOOKUP(Transactions[[#This Row],[Account]],Accounts[],COLUMN(Accounts[Currency])-COLUMN(Accounts[])+1,FALSE),
     Transactions[[#This Row],[OrigCashImpact]],
     0
)</f>
        <v>10</v>
      </c>
      <c r="O28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-182193.65062184678</v>
      </c>
      <c r="P28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8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85" s="41">
        <f>ROW()</f>
        <v>285</v>
      </c>
      <c r="S2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8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85" s="86">
        <f>IF(INDEX(TransTypes[],Transactions[[#This Row],[TTR]],TT_COL_GLFlag)=1,Transactions[[#This Row],[CalCashImpact]]+Transactions[[#This Row],[CostImpact]],0)</f>
        <v>0</v>
      </c>
      <c r="W285" s="87">
        <f>Transactions[[#This Row],[Amount]]*INDEX(TransTypes[],Transactions[[#This Row],[TTR]],TT_COL_AmntSign)</f>
        <v>10</v>
      </c>
      <c r="X285" s="87">
        <f>IF(INDEX(TransTypes[],Transactions[[#This Row],[TTR]],TT_COL_LONGORSHORT)="S",
      IF( OR(INDEX(TransTypes[],Transactions[[#This Row],[TTR]],TT_COL_GLFlag)=1, INDEX(TransTypes[], Transactions[[#This Row],[TTR]], TT_COL_ShareTransferFlag)=1),
            Transactions[[#This Row],[CostImpact]]*-1,
            Transactions[[#This Row],[CalCashImpact]]
      ),
     0
)</f>
        <v>0</v>
      </c>
      <c r="Y285" s="88" t="str">
        <f>VLOOKUP(Transactions[[#This Row],[Symbol]],Symbols[], COLUMN(Symbols[Currency])-COLUMN(Symbols[])+1,FALSE)</f>
        <v>USD</v>
      </c>
    </row>
    <row r="286" spans="1:25">
      <c r="A286" s="75" t="s">
        <v>65</v>
      </c>
      <c r="B286" s="76">
        <v>43104</v>
      </c>
      <c r="C286" s="75" t="s">
        <v>115</v>
      </c>
      <c r="D286" s="75"/>
      <c r="E286" s="75" t="s">
        <v>273</v>
      </c>
      <c r="F286" s="77">
        <v>11600</v>
      </c>
      <c r="G286" s="78">
        <v>30.4</v>
      </c>
      <c r="H286" s="77">
        <v>1013.1545599999999</v>
      </c>
      <c r="I286" s="77"/>
      <c r="J286" s="79">
        <v>351626.84544</v>
      </c>
      <c r="K286" s="6"/>
      <c r="L286" s="20">
        <f>IF(ISNA(MATCH(Transactions[[#This Row],[TransType]],TransTypes[TransType],0)),1,MATCH(Transactions[[#This Row],[TransType]],TransTypes[TransType],0))</f>
        <v>3</v>
      </c>
      <c r="M286" s="80">
        <f>IF( AND( INDEX(TransTypes[],Transactions[[#This Row],[TTR]],TT_COL_GLFlag)=1, INDEX(TransTypes[],Transactions[[#This Row],[TTR]],TT_COL_LONGORSHORT)="S" ),
      Transactions[[#This Row],[PL]],
      IF(INDEX(TransTypes[],Transactions[[#This Row],[TTR]],TT_COL_LONGORSHORT)="S",0,Transactions[[#This Row],[CalCashImpact]])
)</f>
        <v>351626.84544</v>
      </c>
      <c r="N286" s="81">
        <f>IF(VLOOKUP(Transactions[[#This Row],[Symbol]],Symbols[],COLUMN(Symbols[Currency])-COLUMN(Symbols[])+1,FALSE)=
       VLOOKUP(Transactions[[#This Row],[Account]],Accounts[],COLUMN(Accounts[Currency])-COLUMN(Accounts[])+1,FALSE),
     Transactions[[#This Row],[OrigCashImpact]],
     0
)</f>
        <v>0</v>
      </c>
      <c r="O28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-182193.65062184678</v>
      </c>
      <c r="P28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-11600</v>
      </c>
      <c r="Q28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86" s="41">
        <f>ROW()</f>
        <v>286</v>
      </c>
      <c r="S2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-304471.1176164815</v>
      </c>
      <c r="T2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8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11600</v>
      </c>
      <c r="V286" s="86">
        <f>IF(INDEX(TransTypes[],Transactions[[#This Row],[TTR]],TT_COL_GLFlag)=1,Transactions[[#This Row],[CalCashImpact]]+Transactions[[#This Row],[CostImpact]],0)</f>
        <v>47155.727823518508</v>
      </c>
      <c r="W286" s="87">
        <f>Transactions[[#This Row],[Amount]]*INDEX(TransTypes[],Transactions[[#This Row],[TTR]],TT_COL_AmntSign)</f>
        <v>351626.84544</v>
      </c>
      <c r="X286" s="87">
        <f>IF(INDEX(TransTypes[],Transactions[[#This Row],[TTR]],TT_COL_LONGORSHORT)="S",
      IF( OR(INDEX(TransTypes[],Transactions[[#This Row],[TTR]],TT_COL_GLFlag)=1, INDEX(TransTypes[], Transactions[[#This Row],[TTR]], TT_COL_ShareTransferFlag)=1),
            Transactions[[#This Row],[CostImpact]]*-1,
            Transactions[[#This Row],[CalCashImpact]]
      ),
     0
)</f>
        <v>0</v>
      </c>
      <c r="Y286" s="88" t="str">
        <f>VLOOKUP(Transactions[[#This Row],[Symbol]],Symbols[], COLUMN(Symbols[Currency])-COLUMN(Symbols[])+1,FALSE)</f>
        <v>HKD</v>
      </c>
    </row>
    <row r="287" spans="1:25">
      <c r="A287" s="75" t="s">
        <v>65</v>
      </c>
      <c r="B287" s="76">
        <v>43104</v>
      </c>
      <c r="C287" s="75" t="s">
        <v>158</v>
      </c>
      <c r="D287" s="75"/>
      <c r="E287" s="75" t="s">
        <v>411</v>
      </c>
      <c r="F287" s="77">
        <v>2</v>
      </c>
      <c r="G287" s="78">
        <v>1.36</v>
      </c>
      <c r="H287" s="77">
        <v>1.5932831999999999</v>
      </c>
      <c r="I287" s="77"/>
      <c r="J287" s="79">
        <v>270.40671680000003</v>
      </c>
      <c r="K287" s="6"/>
      <c r="L287" s="20">
        <f>IF(ISNA(MATCH(Transactions[[#This Row],[TransType]],TransTypes[TransType],0)),1,MATCH(Transactions[[#This Row],[TransType]],TransTypes[TransType],0))</f>
        <v>19</v>
      </c>
      <c r="M287" s="80">
        <f>IF( AND( INDEX(TransTypes[],Transactions[[#This Row],[TTR]],TT_COL_GLFlag)=1, INDEX(TransTypes[],Transactions[[#This Row],[TTR]],TT_COL_LONGORSHORT)="S" ),
      Transactions[[#This Row],[PL]],
      IF(INDEX(TransTypes[],Transactions[[#This Row],[TTR]],TT_COL_LONGORSHORT)="S",0,Transactions[[#This Row],[CalCashImpact]])
)</f>
        <v>0</v>
      </c>
      <c r="N287" s="81">
        <f>IF(VLOOKUP(Transactions[[#This Row],[Symbol]],Symbols[],COLUMN(Symbols[Currency])-COLUMN(Symbols[])+1,FALSE)=
       VLOOKUP(Transactions[[#This Row],[Account]],Accounts[],COLUMN(Accounts[Currency])-COLUMN(Accounts[])+1,FALSE),
     Transactions[[#This Row],[OrigCashImpact]],
     0
)</f>
        <v>0</v>
      </c>
      <c r="O28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-182193.65062184678</v>
      </c>
      <c r="P28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28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v>
      </c>
      <c r="R287" s="41">
        <f>ROW()</f>
        <v>287</v>
      </c>
      <c r="S2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-270.40671680000003</v>
      </c>
      <c r="T2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-270.40671680000003</v>
      </c>
      <c r="U28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287" s="86">
        <f>IF(INDEX(TransTypes[],Transactions[[#This Row],[TTR]],TT_COL_GLFlag)=1,Transactions[[#This Row],[CalCashImpact]]+Transactions[[#This Row],[CostImpact]],0)</f>
        <v>0</v>
      </c>
      <c r="W287" s="87">
        <f>Transactions[[#This Row],[Amount]]*INDEX(TransTypes[],Transactions[[#This Row],[TTR]],TT_COL_AmntSign)</f>
        <v>270.40671680000003</v>
      </c>
      <c r="X287" s="87">
        <f>IF(INDEX(TransTypes[],Transactions[[#This Row],[TTR]],TT_COL_LONGORSHORT)="S",
      IF( OR(INDEX(TransTypes[],Transactions[[#This Row],[TTR]],TT_COL_GLFlag)=1, INDEX(TransTypes[], Transactions[[#This Row],[TTR]], TT_COL_ShareTransferFlag)=1),
            Transactions[[#This Row],[CostImpact]]*-1,
            Transactions[[#This Row],[CalCashImpact]]
      ),
     0
)</f>
        <v>270.40671680000003</v>
      </c>
      <c r="Y287" s="88" t="str">
        <f>VLOOKUP(Transactions[[#This Row],[Symbol]],Symbols[], COLUMN(Symbols[Currency])-COLUMN(Symbols[])+1,FALSE)</f>
        <v>USD</v>
      </c>
    </row>
    <row r="288" spans="1:25">
      <c r="A288" s="75" t="s">
        <v>65</v>
      </c>
      <c r="B288" s="76">
        <v>43104</v>
      </c>
      <c r="C288" s="75" t="s">
        <v>158</v>
      </c>
      <c r="D288" s="75"/>
      <c r="E288" s="75" t="s">
        <v>412</v>
      </c>
      <c r="F288" s="77">
        <v>1</v>
      </c>
      <c r="G288" s="78">
        <v>0.37</v>
      </c>
      <c r="H288" s="77">
        <v>1.0943547</v>
      </c>
      <c r="I288" s="77"/>
      <c r="J288" s="79">
        <v>35.905645300000003</v>
      </c>
      <c r="K288" s="6"/>
      <c r="L288" s="20">
        <f>IF(ISNA(MATCH(Transactions[[#This Row],[TransType]],TransTypes[TransType],0)),1,MATCH(Transactions[[#This Row],[TransType]],TransTypes[TransType],0))</f>
        <v>19</v>
      </c>
      <c r="M288" s="80">
        <f>IF( AND( INDEX(TransTypes[],Transactions[[#This Row],[TTR]],TT_COL_GLFlag)=1, INDEX(TransTypes[],Transactions[[#This Row],[TTR]],TT_COL_LONGORSHORT)="S" ),
      Transactions[[#This Row],[PL]],
      IF(INDEX(TransTypes[],Transactions[[#This Row],[TTR]],TT_COL_LONGORSHORT)="S",0,Transactions[[#This Row],[CalCashImpact]])
)</f>
        <v>0</v>
      </c>
      <c r="N288" s="81">
        <f>IF(VLOOKUP(Transactions[[#This Row],[Symbol]],Symbols[],COLUMN(Symbols[Currency])-COLUMN(Symbols[])+1,FALSE)=
       VLOOKUP(Transactions[[#This Row],[Account]],Accounts[],COLUMN(Accounts[Currency])-COLUMN(Accounts[])+1,FALSE),
     Transactions[[#This Row],[OrigCashImpact]],
     0
)</f>
        <v>0</v>
      </c>
      <c r="O28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-182193.65062184678</v>
      </c>
      <c r="P28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28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288" s="41">
        <f>ROW()</f>
        <v>288</v>
      </c>
      <c r="S2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-35.905645300000003</v>
      </c>
      <c r="T2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-35.905645300000003</v>
      </c>
      <c r="U28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288" s="86">
        <f>IF(INDEX(TransTypes[],Transactions[[#This Row],[TTR]],TT_COL_GLFlag)=1,Transactions[[#This Row],[CalCashImpact]]+Transactions[[#This Row],[CostImpact]],0)</f>
        <v>0</v>
      </c>
      <c r="W288" s="87">
        <f>Transactions[[#This Row],[Amount]]*INDEX(TransTypes[],Transactions[[#This Row],[TTR]],TT_COL_AmntSign)</f>
        <v>35.905645300000003</v>
      </c>
      <c r="X288" s="87">
        <f>IF(INDEX(TransTypes[],Transactions[[#This Row],[TTR]],TT_COL_LONGORSHORT)="S",
      IF( OR(INDEX(TransTypes[],Transactions[[#This Row],[TTR]],TT_COL_GLFlag)=1, INDEX(TransTypes[], Transactions[[#This Row],[TTR]], TT_COL_ShareTransferFlag)=1),
            Transactions[[#This Row],[CostImpact]]*-1,
            Transactions[[#This Row],[CalCashImpact]]
      ),
     0
)</f>
        <v>35.905645300000003</v>
      </c>
      <c r="Y288" s="88" t="str">
        <f>VLOOKUP(Transactions[[#This Row],[Symbol]],Symbols[], COLUMN(Symbols[Currency])-COLUMN(Symbols[])+1,FALSE)</f>
        <v>USD</v>
      </c>
    </row>
    <row r="289" spans="1:25">
      <c r="A289" s="75" t="s">
        <v>65</v>
      </c>
      <c r="B289" s="76">
        <v>43104</v>
      </c>
      <c r="C289" s="75" t="s">
        <v>158</v>
      </c>
      <c r="D289" s="75"/>
      <c r="E289" s="75" t="s">
        <v>413</v>
      </c>
      <c r="F289" s="77">
        <v>1</v>
      </c>
      <c r="G289" s="78">
        <v>0.64</v>
      </c>
      <c r="H289" s="77">
        <v>1.0949784</v>
      </c>
      <c r="I289" s="77"/>
      <c r="J289" s="79">
        <v>62.905021599999998</v>
      </c>
      <c r="K289" s="6"/>
      <c r="L289" s="20">
        <f>IF(ISNA(MATCH(Transactions[[#This Row],[TransType]],TransTypes[TransType],0)),1,MATCH(Transactions[[#This Row],[TransType]],TransTypes[TransType],0))</f>
        <v>19</v>
      </c>
      <c r="M289" s="80">
        <f>IF( AND( INDEX(TransTypes[],Transactions[[#This Row],[TTR]],TT_COL_GLFlag)=1, INDEX(TransTypes[],Transactions[[#This Row],[TTR]],TT_COL_LONGORSHORT)="S" ),
      Transactions[[#This Row],[PL]],
      IF(INDEX(TransTypes[],Transactions[[#This Row],[TTR]],TT_COL_LONGORSHORT)="S",0,Transactions[[#This Row],[CalCashImpact]])
)</f>
        <v>0</v>
      </c>
      <c r="N289" s="81">
        <f>IF(VLOOKUP(Transactions[[#This Row],[Symbol]],Symbols[],COLUMN(Symbols[Currency])-COLUMN(Symbols[])+1,FALSE)=
       VLOOKUP(Transactions[[#This Row],[Account]],Accounts[],COLUMN(Accounts[Currency])-COLUMN(Accounts[])+1,FALSE),
     Transactions[[#This Row],[OrigCashImpact]],
     0
)</f>
        <v>0</v>
      </c>
      <c r="O28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-182193.65062184678</v>
      </c>
      <c r="P28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28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289" s="41">
        <f>ROW()</f>
        <v>289</v>
      </c>
      <c r="S2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-62.905021599999998</v>
      </c>
      <c r="T2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-62.905021599999998</v>
      </c>
      <c r="U28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289" s="86">
        <f>IF(INDEX(TransTypes[],Transactions[[#This Row],[TTR]],TT_COL_GLFlag)=1,Transactions[[#This Row],[CalCashImpact]]+Transactions[[#This Row],[CostImpact]],0)</f>
        <v>0</v>
      </c>
      <c r="W289" s="87">
        <f>Transactions[[#This Row],[Amount]]*INDEX(TransTypes[],Transactions[[#This Row],[TTR]],TT_COL_AmntSign)</f>
        <v>62.905021599999998</v>
      </c>
      <c r="X289" s="87">
        <f>IF(INDEX(TransTypes[],Transactions[[#This Row],[TTR]],TT_COL_LONGORSHORT)="S",
      IF( OR(INDEX(TransTypes[],Transactions[[#This Row],[TTR]],TT_COL_GLFlag)=1, INDEX(TransTypes[], Transactions[[#This Row],[TTR]], TT_COL_ShareTransferFlag)=1),
            Transactions[[#This Row],[CostImpact]]*-1,
            Transactions[[#This Row],[CalCashImpact]]
      ),
     0
)</f>
        <v>62.905021599999998</v>
      </c>
      <c r="Y289" s="88" t="str">
        <f>VLOOKUP(Transactions[[#This Row],[Symbol]],Symbols[], COLUMN(Symbols[Currency])-COLUMN(Symbols[])+1,FALSE)</f>
        <v>USD</v>
      </c>
    </row>
    <row r="290" spans="1:25">
      <c r="A290" s="75" t="s">
        <v>65</v>
      </c>
      <c r="B290" s="76">
        <v>43104</v>
      </c>
      <c r="C290" s="75" t="s">
        <v>241</v>
      </c>
      <c r="D290" s="75"/>
      <c r="E290" s="75" t="s">
        <v>211</v>
      </c>
      <c r="F290" s="77"/>
      <c r="G290" s="78"/>
      <c r="H290" s="77"/>
      <c r="I290" s="77"/>
      <c r="J290" s="79">
        <v>12.54</v>
      </c>
      <c r="K290" s="6" t="s">
        <v>424</v>
      </c>
      <c r="L290" s="20">
        <f>IF(ISNA(MATCH(Transactions[[#This Row],[TransType]],TransTypes[TransType],0)),1,MATCH(Transactions[[#This Row],[TransType]],TransTypes[TransType],0))</f>
        <v>9</v>
      </c>
      <c r="M290" s="80">
        <f>IF( AND( INDEX(TransTypes[],Transactions[[#This Row],[TTR]],TT_COL_GLFlag)=1, INDEX(TransTypes[],Transactions[[#This Row],[TTR]],TT_COL_LONGORSHORT)="S" ),
      Transactions[[#This Row],[PL]],
      IF(INDEX(TransTypes[],Transactions[[#This Row],[TTR]],TT_COL_LONGORSHORT)="S",0,Transactions[[#This Row],[CalCashImpact]])
)</f>
        <v>-12.54</v>
      </c>
      <c r="N290" s="81">
        <f>IF(VLOOKUP(Transactions[[#This Row],[Symbol]],Symbols[],COLUMN(Symbols[Currency])-COLUMN(Symbols[])+1,FALSE)=
       VLOOKUP(Transactions[[#This Row],[Account]],Accounts[],COLUMN(Accounts[Currency])-COLUMN(Accounts[])+1,FALSE),
     Transactions[[#This Row],[OrigCashImpact]],
     0
)</f>
        <v>0</v>
      </c>
      <c r="O29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-182193.65062184678</v>
      </c>
      <c r="P29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9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90" s="41">
        <f>ROW()</f>
        <v>290</v>
      </c>
      <c r="S2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9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90" s="86">
        <f>IF(INDEX(TransTypes[],Transactions[[#This Row],[TTR]],TT_COL_GLFlag)=1,Transactions[[#This Row],[CalCashImpact]]+Transactions[[#This Row],[CostImpact]],0)</f>
        <v>0</v>
      </c>
      <c r="W290" s="87">
        <f>Transactions[[#This Row],[Amount]]*INDEX(TransTypes[],Transactions[[#This Row],[TTR]],TT_COL_AmntSign)</f>
        <v>-12.54</v>
      </c>
      <c r="X290" s="87">
        <f>IF(INDEX(TransTypes[],Transactions[[#This Row],[TTR]],TT_COL_LONGORSHORT)="S",
      IF( OR(INDEX(TransTypes[],Transactions[[#This Row],[TTR]],TT_COL_GLFlag)=1, INDEX(TransTypes[], Transactions[[#This Row],[TTR]], TT_COL_ShareTransferFlag)=1),
            Transactions[[#This Row],[CostImpact]]*-1,
            Transactions[[#This Row],[CalCashImpact]]
      ),
     0
)</f>
        <v>0</v>
      </c>
      <c r="Y290" s="88" t="str">
        <f>VLOOKUP(Transactions[[#This Row],[Symbol]],Symbols[], COLUMN(Symbols[Currency])-COLUMN(Symbols[])+1,FALSE)</f>
        <v>CNY</v>
      </c>
    </row>
    <row r="291" spans="1:25">
      <c r="A291" s="75" t="s">
        <v>65</v>
      </c>
      <c r="B291" s="76">
        <v>43104</v>
      </c>
      <c r="C291" s="75" t="s">
        <v>240</v>
      </c>
      <c r="D291" s="75"/>
      <c r="E291" s="75" t="s">
        <v>208</v>
      </c>
      <c r="F291" s="77"/>
      <c r="G291" s="78"/>
      <c r="H291" s="77"/>
      <c r="I291" s="77"/>
      <c r="J291" s="79">
        <v>7.32</v>
      </c>
      <c r="K291" s="6" t="s">
        <v>425</v>
      </c>
      <c r="L291" s="20">
        <f>IF(ISNA(MATCH(Transactions[[#This Row],[TransType]],TransTypes[TransType],0)),1,MATCH(Transactions[[#This Row],[TransType]],TransTypes[TransType],0))</f>
        <v>8</v>
      </c>
      <c r="M291" s="80">
        <f>IF( AND( INDEX(TransTypes[],Transactions[[#This Row],[TTR]],TT_COL_GLFlag)=1, INDEX(TransTypes[],Transactions[[#This Row],[TTR]],TT_COL_LONGORSHORT)="S" ),
      Transactions[[#This Row],[PL]],
      IF(INDEX(TransTypes[],Transactions[[#This Row],[TTR]],TT_COL_LONGORSHORT)="S",0,Transactions[[#This Row],[CalCashImpact]])
)</f>
        <v>7.32</v>
      </c>
      <c r="N291" s="81">
        <f>IF(VLOOKUP(Transactions[[#This Row],[Symbol]],Symbols[],COLUMN(Symbols[Currency])-COLUMN(Symbols[])+1,FALSE)=
       VLOOKUP(Transactions[[#This Row],[Account]],Accounts[],COLUMN(Accounts[Currency])-COLUMN(Accounts[])+1,FALSE),
     Transactions[[#This Row],[OrigCashImpact]],
     0
)</f>
        <v>7.32</v>
      </c>
      <c r="O29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-182186.33062184678</v>
      </c>
      <c r="P29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9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91" s="41">
        <f>ROW()</f>
        <v>291</v>
      </c>
      <c r="S2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9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91" s="86">
        <f>IF(INDEX(TransTypes[],Transactions[[#This Row],[TTR]],TT_COL_GLFlag)=1,Transactions[[#This Row],[CalCashImpact]]+Transactions[[#This Row],[CostImpact]],0)</f>
        <v>0</v>
      </c>
      <c r="W291" s="87">
        <f>Transactions[[#This Row],[Amount]]*INDEX(TransTypes[],Transactions[[#This Row],[TTR]],TT_COL_AmntSign)</f>
        <v>7.32</v>
      </c>
      <c r="X291" s="87">
        <f>IF(INDEX(TransTypes[],Transactions[[#This Row],[TTR]],TT_COL_LONGORSHORT)="S",
      IF( OR(INDEX(TransTypes[],Transactions[[#This Row],[TTR]],TT_COL_GLFlag)=1, INDEX(TransTypes[], Transactions[[#This Row],[TTR]], TT_COL_ShareTransferFlag)=1),
            Transactions[[#This Row],[CostImpact]]*-1,
            Transactions[[#This Row],[CalCashImpact]]
      ),
     0
)</f>
        <v>0</v>
      </c>
      <c r="Y291" s="88" t="str">
        <f>VLOOKUP(Transactions[[#This Row],[Symbol]],Symbols[], COLUMN(Symbols[Currency])-COLUMN(Symbols[])+1,FALSE)</f>
        <v>USD</v>
      </c>
    </row>
    <row r="292" spans="1:25">
      <c r="A292" s="75" t="s">
        <v>65</v>
      </c>
      <c r="B292" s="76">
        <v>43104</v>
      </c>
      <c r="C292" s="75" t="s">
        <v>241</v>
      </c>
      <c r="D292" s="75"/>
      <c r="E292" s="75" t="s">
        <v>208</v>
      </c>
      <c r="F292" s="77"/>
      <c r="G292" s="78"/>
      <c r="H292" s="77"/>
      <c r="I292" s="77"/>
      <c r="J292" s="79">
        <v>82.54</v>
      </c>
      <c r="K292" s="6" t="s">
        <v>426</v>
      </c>
      <c r="L292" s="20">
        <f>IF(ISNA(MATCH(Transactions[[#This Row],[TransType]],TransTypes[TransType],0)),1,MATCH(Transactions[[#This Row],[TransType]],TransTypes[TransType],0))</f>
        <v>9</v>
      </c>
      <c r="M292" s="80">
        <f>IF( AND( INDEX(TransTypes[],Transactions[[#This Row],[TTR]],TT_COL_GLFlag)=1, INDEX(TransTypes[],Transactions[[#This Row],[TTR]],TT_COL_LONGORSHORT)="S" ),
      Transactions[[#This Row],[PL]],
      IF(INDEX(TransTypes[],Transactions[[#This Row],[TTR]],TT_COL_LONGORSHORT)="S",0,Transactions[[#This Row],[CalCashImpact]])
)</f>
        <v>-82.54</v>
      </c>
      <c r="N292" s="81">
        <f>IF(VLOOKUP(Transactions[[#This Row],[Symbol]],Symbols[],COLUMN(Symbols[Currency])-COLUMN(Symbols[])+1,FALSE)=
       VLOOKUP(Transactions[[#This Row],[Account]],Accounts[],COLUMN(Accounts[Currency])-COLUMN(Accounts[])+1,FALSE),
     Transactions[[#This Row],[OrigCashImpact]],
     0
)</f>
        <v>-82.54</v>
      </c>
      <c r="O29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-182268.87062184679</v>
      </c>
      <c r="P29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9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92" s="41">
        <f>ROW()</f>
        <v>292</v>
      </c>
      <c r="S2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9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92" s="86">
        <f>IF(INDEX(TransTypes[],Transactions[[#This Row],[TTR]],TT_COL_GLFlag)=1,Transactions[[#This Row],[CalCashImpact]]+Transactions[[#This Row],[CostImpact]],0)</f>
        <v>0</v>
      </c>
      <c r="W292" s="87">
        <f>Transactions[[#This Row],[Amount]]*INDEX(TransTypes[],Transactions[[#This Row],[TTR]],TT_COL_AmntSign)</f>
        <v>-82.54</v>
      </c>
      <c r="X292" s="87">
        <f>IF(INDEX(TransTypes[],Transactions[[#This Row],[TTR]],TT_COL_LONGORSHORT)="S",
      IF( OR(INDEX(TransTypes[],Transactions[[#This Row],[TTR]],TT_COL_GLFlag)=1, INDEX(TransTypes[], Transactions[[#This Row],[TTR]], TT_COL_ShareTransferFlag)=1),
            Transactions[[#This Row],[CostImpact]]*-1,
            Transactions[[#This Row],[CalCashImpact]]
      ),
     0
)</f>
        <v>0</v>
      </c>
      <c r="Y292" s="88" t="str">
        <f>VLOOKUP(Transactions[[#This Row],[Symbol]],Symbols[], COLUMN(Symbols[Currency])-COLUMN(Symbols[])+1,FALSE)</f>
        <v>USD</v>
      </c>
    </row>
    <row r="293" spans="1:25">
      <c r="A293" s="75" t="s">
        <v>65</v>
      </c>
      <c r="B293" s="76">
        <v>43104</v>
      </c>
      <c r="C293" s="75" t="s">
        <v>240</v>
      </c>
      <c r="D293" s="75"/>
      <c r="E293" s="75" t="s">
        <v>208</v>
      </c>
      <c r="F293" s="77"/>
      <c r="G293" s="78"/>
      <c r="H293" s="77"/>
      <c r="I293" s="77"/>
      <c r="J293" s="79">
        <v>37.659999999999997</v>
      </c>
      <c r="K293" s="6" t="s">
        <v>427</v>
      </c>
      <c r="L293" s="20">
        <f>IF(ISNA(MATCH(Transactions[[#This Row],[TransType]],TransTypes[TransType],0)),1,MATCH(Transactions[[#This Row],[TransType]],TransTypes[TransType],0))</f>
        <v>8</v>
      </c>
      <c r="M293" s="80">
        <f>IF( AND( INDEX(TransTypes[],Transactions[[#This Row],[TTR]],TT_COL_GLFlag)=1, INDEX(TransTypes[],Transactions[[#This Row],[TTR]],TT_COL_LONGORSHORT)="S" ),
      Transactions[[#This Row],[PL]],
      IF(INDEX(TransTypes[],Transactions[[#This Row],[TTR]],TT_COL_LONGORSHORT)="S",0,Transactions[[#This Row],[CalCashImpact]])
)</f>
        <v>37.659999999999997</v>
      </c>
      <c r="N293" s="81">
        <f>IF(VLOOKUP(Transactions[[#This Row],[Symbol]],Symbols[],COLUMN(Symbols[Currency])-COLUMN(Symbols[])+1,FALSE)=
       VLOOKUP(Transactions[[#This Row],[Account]],Accounts[],COLUMN(Accounts[Currency])-COLUMN(Accounts[])+1,FALSE),
     Transactions[[#This Row],[OrigCashImpact]],
     0
)</f>
        <v>37.659999999999997</v>
      </c>
      <c r="O29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-182231.21062184678</v>
      </c>
      <c r="P29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29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93" s="41">
        <f>ROW()</f>
        <v>293</v>
      </c>
      <c r="S2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2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9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293" s="86">
        <f>IF(INDEX(TransTypes[],Transactions[[#This Row],[TTR]],TT_COL_GLFlag)=1,Transactions[[#This Row],[CalCashImpact]]+Transactions[[#This Row],[CostImpact]],0)</f>
        <v>0</v>
      </c>
      <c r="W293" s="87">
        <f>Transactions[[#This Row],[Amount]]*INDEX(TransTypes[],Transactions[[#This Row],[TTR]],TT_COL_AmntSign)</f>
        <v>37.659999999999997</v>
      </c>
      <c r="X293" s="87">
        <f>IF(INDEX(TransTypes[],Transactions[[#This Row],[TTR]],TT_COL_LONGORSHORT)="S",
      IF( OR(INDEX(TransTypes[],Transactions[[#This Row],[TTR]],TT_COL_GLFlag)=1, INDEX(TransTypes[], Transactions[[#This Row],[TTR]], TT_COL_ShareTransferFlag)=1),
            Transactions[[#This Row],[CostImpact]]*-1,
            Transactions[[#This Row],[CalCashImpact]]
      ),
     0
)</f>
        <v>0</v>
      </c>
      <c r="Y293" s="88" t="str">
        <f>VLOOKUP(Transactions[[#This Row],[Symbol]],Symbols[], COLUMN(Symbols[Currency])-COLUMN(Symbols[])+1,FALSE)</f>
        <v>USD</v>
      </c>
    </row>
    <row r="294" spans="1:25">
      <c r="A294" s="75" t="s">
        <v>65</v>
      </c>
      <c r="B294" s="76">
        <v>43108</v>
      </c>
      <c r="C294" s="75" t="s">
        <v>113</v>
      </c>
      <c r="D294" s="75"/>
      <c r="E294" s="75" t="s">
        <v>263</v>
      </c>
      <c r="F294" s="77">
        <v>2000</v>
      </c>
      <c r="G294" s="78">
        <v>81.25</v>
      </c>
      <c r="H294" s="77">
        <v>464.77499999999998</v>
      </c>
      <c r="I294" s="77"/>
      <c r="J294" s="79">
        <v>162964.77499999999</v>
      </c>
      <c r="K294" s="6"/>
      <c r="L294" s="20">
        <f>IF(ISNA(MATCH(Transactions[[#This Row],[TransType]],TransTypes[TransType],0)),1,MATCH(Transactions[[#This Row],[TransType]],TransTypes[TransType],0))</f>
        <v>2</v>
      </c>
      <c r="M294" s="80">
        <f>IF( AND( INDEX(TransTypes[],Transactions[[#This Row],[TTR]],TT_COL_GLFlag)=1, INDEX(TransTypes[],Transactions[[#This Row],[TTR]],TT_COL_LONGORSHORT)="S" ),
      Transactions[[#This Row],[PL]],
      IF(INDEX(TransTypes[],Transactions[[#This Row],[TTR]],TT_COL_LONGORSHORT)="S",0,Transactions[[#This Row],[CalCashImpact]])
)</f>
        <v>-162964.77499999999</v>
      </c>
      <c r="N294" s="81">
        <f>IF(VLOOKUP(Transactions[[#This Row],[Symbol]],Symbols[],COLUMN(Symbols[Currency])-COLUMN(Symbols[])+1,FALSE)=
       VLOOKUP(Transactions[[#This Row],[Account]],Accounts[],COLUMN(Accounts[Currency])-COLUMN(Accounts[])+1,FALSE),
     Transactions[[#This Row],[OrigCashImpact]],
     0
)</f>
        <v>0</v>
      </c>
      <c r="O29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-182231.21062184678</v>
      </c>
      <c r="P29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29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294" s="41">
        <f>ROW()</f>
        <v>294</v>
      </c>
      <c r="S2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162964.77499999999</v>
      </c>
      <c r="T2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633659.59990000003</v>
      </c>
      <c r="U29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294" s="86">
        <f>IF(INDEX(TransTypes[],Transactions[[#This Row],[TTR]],TT_COL_GLFlag)=1,Transactions[[#This Row],[CalCashImpact]]+Transactions[[#This Row],[CostImpact]],0)</f>
        <v>0</v>
      </c>
      <c r="W294" s="87">
        <f>Transactions[[#This Row],[Amount]]*INDEX(TransTypes[],Transactions[[#This Row],[TTR]],TT_COL_AmntSign)</f>
        <v>-162964.77499999999</v>
      </c>
      <c r="X294" s="87">
        <f>IF(INDEX(TransTypes[],Transactions[[#This Row],[TTR]],TT_COL_LONGORSHORT)="S",
      IF( OR(INDEX(TransTypes[],Transactions[[#This Row],[TTR]],TT_COL_GLFlag)=1, INDEX(TransTypes[], Transactions[[#This Row],[TTR]], TT_COL_ShareTransferFlag)=1),
            Transactions[[#This Row],[CostImpact]]*-1,
            Transactions[[#This Row],[CalCashImpact]]
      ),
     0
)</f>
        <v>0</v>
      </c>
      <c r="Y294" s="88" t="str">
        <f>VLOOKUP(Transactions[[#This Row],[Symbol]],Symbols[], COLUMN(Symbols[Currency])-COLUMN(Symbols[])+1,FALSE)</f>
        <v>HKD</v>
      </c>
    </row>
    <row r="295" spans="1:25">
      <c r="A295" s="75" t="s">
        <v>65</v>
      </c>
      <c r="B295" s="76">
        <v>43108</v>
      </c>
      <c r="C295" s="75" t="s">
        <v>160</v>
      </c>
      <c r="D295" s="75"/>
      <c r="E295" s="75" t="s">
        <v>411</v>
      </c>
      <c r="F295" s="77">
        <v>2</v>
      </c>
      <c r="G295" s="78">
        <v>2.89</v>
      </c>
      <c r="H295" s="77">
        <v>1.583</v>
      </c>
      <c r="I295" s="77"/>
      <c r="J295" s="79">
        <v>579.58299999999997</v>
      </c>
      <c r="K295" s="6"/>
      <c r="L295" s="20">
        <f>IF(ISNA(MATCH(Transactions[[#This Row],[TransType]],TransTypes[TransType],0)),1,MATCH(Transactions[[#This Row],[TransType]],TransTypes[TransType],0))</f>
        <v>20</v>
      </c>
      <c r="M295" s="80">
        <f>IF( AND( INDEX(TransTypes[],Transactions[[#This Row],[TTR]],TT_COL_GLFlag)=1, INDEX(TransTypes[],Transactions[[#This Row],[TTR]],TT_COL_LONGORSHORT)="S" ),
      Transactions[[#This Row],[PL]],
      IF(INDEX(TransTypes[],Transactions[[#This Row],[TTR]],TT_COL_LONGORSHORT)="S",0,Transactions[[#This Row],[CalCashImpact]])
)</f>
        <v>-309.17628319999994</v>
      </c>
      <c r="N295" s="81">
        <f>IF(VLOOKUP(Transactions[[#This Row],[Symbol]],Symbols[],COLUMN(Symbols[Currency])-COLUMN(Symbols[])+1,FALSE)=
       VLOOKUP(Transactions[[#This Row],[Account]],Accounts[],COLUMN(Accounts[Currency])-COLUMN(Accounts[])+1,FALSE),
     Transactions[[#This Row],[OrigCashImpact]],
     0
)</f>
        <v>-309.17628319999994</v>
      </c>
      <c r="O29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-182540.38690504679</v>
      </c>
      <c r="P29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29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95" s="41">
        <f>ROW()</f>
        <v>295</v>
      </c>
      <c r="S2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270.40671680000003</v>
      </c>
      <c r="T2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9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295" s="86">
        <f>IF(INDEX(TransTypes[],Transactions[[#This Row],[TTR]],TT_COL_GLFlag)=1,Transactions[[#This Row],[CalCashImpact]]+Transactions[[#This Row],[CostImpact]],0)</f>
        <v>-309.17628319999994</v>
      </c>
      <c r="W295" s="87">
        <f>Transactions[[#This Row],[Amount]]*INDEX(TransTypes[],Transactions[[#This Row],[TTR]],TT_COL_AmntSign)</f>
        <v>-579.58299999999997</v>
      </c>
      <c r="X295" s="87">
        <f>IF(INDEX(TransTypes[],Transactions[[#This Row],[TTR]],TT_COL_LONGORSHORT)="S",
      IF( OR(INDEX(TransTypes[],Transactions[[#This Row],[TTR]],TT_COL_GLFlag)=1, INDEX(TransTypes[], Transactions[[#This Row],[TTR]], TT_COL_ShareTransferFlag)=1),
            Transactions[[#This Row],[CostImpact]]*-1,
            Transactions[[#This Row],[CalCashImpact]]
      ),
     0
)</f>
        <v>-270.40671680000003</v>
      </c>
      <c r="Y295" s="88" t="str">
        <f>VLOOKUP(Transactions[[#This Row],[Symbol]],Symbols[], COLUMN(Symbols[Currency])-COLUMN(Symbols[])+1,FALSE)</f>
        <v>USD</v>
      </c>
    </row>
    <row r="296" spans="1:25">
      <c r="A296" s="75" t="s">
        <v>65</v>
      </c>
      <c r="B296" s="76">
        <v>43108</v>
      </c>
      <c r="C296" s="75" t="s">
        <v>160</v>
      </c>
      <c r="D296" s="75"/>
      <c r="E296" s="75" t="s">
        <v>412</v>
      </c>
      <c r="F296" s="77">
        <v>1</v>
      </c>
      <c r="G296" s="78">
        <v>0.23</v>
      </c>
      <c r="H296" s="77">
        <v>1.0914999999999999</v>
      </c>
      <c r="I296" s="77"/>
      <c r="J296" s="79">
        <v>24.0915</v>
      </c>
      <c r="K296" s="6"/>
      <c r="L296" s="20">
        <f>IF(ISNA(MATCH(Transactions[[#This Row],[TransType]],TransTypes[TransType],0)),1,MATCH(Transactions[[#This Row],[TransType]],TransTypes[TransType],0))</f>
        <v>20</v>
      </c>
      <c r="M296" s="80">
        <f>IF( AND( INDEX(TransTypes[],Transactions[[#This Row],[TTR]],TT_COL_GLFlag)=1, INDEX(TransTypes[],Transactions[[#This Row],[TTR]],TT_COL_LONGORSHORT)="S" ),
      Transactions[[#This Row],[PL]],
      IF(INDEX(TransTypes[],Transactions[[#This Row],[TTR]],TT_COL_LONGORSHORT)="S",0,Transactions[[#This Row],[CalCashImpact]])
)</f>
        <v>11.814145300000003</v>
      </c>
      <c r="N296" s="81">
        <f>IF(VLOOKUP(Transactions[[#This Row],[Symbol]],Symbols[],COLUMN(Symbols[Currency])-COLUMN(Symbols[])+1,FALSE)=
       VLOOKUP(Transactions[[#This Row],[Account]],Accounts[],COLUMN(Accounts[Currency])-COLUMN(Accounts[])+1,FALSE),
     Transactions[[#This Row],[OrigCashImpact]],
     0
)</f>
        <v>11.814145300000003</v>
      </c>
      <c r="O29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-182528.57275974678</v>
      </c>
      <c r="P29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29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96" s="41">
        <f>ROW()</f>
        <v>296</v>
      </c>
      <c r="S2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35.905645300000003</v>
      </c>
      <c r="T2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9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296" s="86">
        <f>IF(INDEX(TransTypes[],Transactions[[#This Row],[TTR]],TT_COL_GLFlag)=1,Transactions[[#This Row],[CalCashImpact]]+Transactions[[#This Row],[CostImpact]],0)</f>
        <v>11.814145300000003</v>
      </c>
      <c r="W296" s="87">
        <f>Transactions[[#This Row],[Amount]]*INDEX(TransTypes[],Transactions[[#This Row],[TTR]],TT_COL_AmntSign)</f>
        <v>-24.0915</v>
      </c>
      <c r="X296" s="87">
        <f>IF(INDEX(TransTypes[],Transactions[[#This Row],[TTR]],TT_COL_LONGORSHORT)="S",
      IF( OR(INDEX(TransTypes[],Transactions[[#This Row],[TTR]],TT_COL_GLFlag)=1, INDEX(TransTypes[], Transactions[[#This Row],[TTR]], TT_COL_ShareTransferFlag)=1),
            Transactions[[#This Row],[CostImpact]]*-1,
            Transactions[[#This Row],[CalCashImpact]]
      ),
     0
)</f>
        <v>-35.905645300000003</v>
      </c>
      <c r="Y296" s="88" t="str">
        <f>VLOOKUP(Transactions[[#This Row],[Symbol]],Symbols[], COLUMN(Symbols[Currency])-COLUMN(Symbols[])+1,FALSE)</f>
        <v>USD</v>
      </c>
    </row>
    <row r="297" spans="1:25">
      <c r="A297" s="75" t="s">
        <v>65</v>
      </c>
      <c r="B297" s="76">
        <v>43108</v>
      </c>
      <c r="C297" s="75" t="s">
        <v>160</v>
      </c>
      <c r="D297" s="75"/>
      <c r="E297" s="75" t="s">
        <v>413</v>
      </c>
      <c r="F297" s="77">
        <v>1</v>
      </c>
      <c r="G297" s="78">
        <v>0.37</v>
      </c>
      <c r="H297" s="77">
        <v>1.0914999999999999</v>
      </c>
      <c r="I297" s="77"/>
      <c r="J297" s="79">
        <v>38.091499999999897</v>
      </c>
      <c r="K297" s="6"/>
      <c r="L297" s="20">
        <f>IF(ISNA(MATCH(Transactions[[#This Row],[TransType]],TransTypes[TransType],0)),1,MATCH(Transactions[[#This Row],[TransType]],TransTypes[TransType],0))</f>
        <v>20</v>
      </c>
      <c r="M297" s="80">
        <f>IF( AND( INDEX(TransTypes[],Transactions[[#This Row],[TTR]],TT_COL_GLFlag)=1, INDEX(TransTypes[],Transactions[[#This Row],[TTR]],TT_COL_LONGORSHORT)="S" ),
      Transactions[[#This Row],[PL]],
      IF(INDEX(TransTypes[],Transactions[[#This Row],[TTR]],TT_COL_LONGORSHORT)="S",0,Transactions[[#This Row],[CalCashImpact]])
)</f>
        <v>24.813521600000101</v>
      </c>
      <c r="N297" s="81">
        <f>IF(VLOOKUP(Transactions[[#This Row],[Symbol]],Symbols[],COLUMN(Symbols[Currency])-COLUMN(Symbols[])+1,FALSE)=
       VLOOKUP(Transactions[[#This Row],[Account]],Accounts[],COLUMN(Accounts[Currency])-COLUMN(Accounts[])+1,FALSE),
     Transactions[[#This Row],[OrigCashImpact]],
     0
)</f>
        <v>24.813521600000101</v>
      </c>
      <c r="O29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-182503.75923814677</v>
      </c>
      <c r="P29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29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97" s="41">
        <f>ROW()</f>
        <v>297</v>
      </c>
      <c r="S2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62.905021599999998</v>
      </c>
      <c r="T2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9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297" s="86">
        <f>IF(INDEX(TransTypes[],Transactions[[#This Row],[TTR]],TT_COL_GLFlag)=1,Transactions[[#This Row],[CalCashImpact]]+Transactions[[#This Row],[CostImpact]],0)</f>
        <v>24.813521600000101</v>
      </c>
      <c r="W297" s="87">
        <f>Transactions[[#This Row],[Amount]]*INDEX(TransTypes[],Transactions[[#This Row],[TTR]],TT_COL_AmntSign)</f>
        <v>-38.091499999999897</v>
      </c>
      <c r="X297" s="87">
        <f>IF(INDEX(TransTypes[],Transactions[[#This Row],[TTR]],TT_COL_LONGORSHORT)="S",
      IF( OR(INDEX(TransTypes[],Transactions[[#This Row],[TTR]],TT_COL_GLFlag)=1, INDEX(TransTypes[], Transactions[[#This Row],[TTR]], TT_COL_ShareTransferFlag)=1),
            Transactions[[#This Row],[CostImpact]]*-1,
            Transactions[[#This Row],[CalCashImpact]]
      ),
     0
)</f>
        <v>-62.905021599999998</v>
      </c>
      <c r="Y297" s="88" t="str">
        <f>VLOOKUP(Transactions[[#This Row],[Symbol]],Symbols[], COLUMN(Symbols[Currency])-COLUMN(Symbols[])+1,FALSE)</f>
        <v>USD</v>
      </c>
    </row>
    <row r="298" spans="1:25">
      <c r="A298" s="75" t="s">
        <v>65</v>
      </c>
      <c r="B298" s="76">
        <v>43109</v>
      </c>
      <c r="C298" s="75" t="s">
        <v>115</v>
      </c>
      <c r="D298" s="75"/>
      <c r="E298" s="75" t="s">
        <v>322</v>
      </c>
      <c r="F298" s="77">
        <v>1300</v>
      </c>
      <c r="G298" s="78">
        <v>143.94</v>
      </c>
      <c r="H298" s="77">
        <v>10.977218199999999</v>
      </c>
      <c r="I298" s="77"/>
      <c r="J298" s="79">
        <v>187111.02278180001</v>
      </c>
      <c r="K298" s="6"/>
      <c r="L298" s="20">
        <f>IF(ISNA(MATCH(Transactions[[#This Row],[TransType]],TransTypes[TransType],0)),1,MATCH(Transactions[[#This Row],[TransType]],TransTypes[TransType],0))</f>
        <v>3</v>
      </c>
      <c r="M298" s="80">
        <f>IF( AND( INDEX(TransTypes[],Transactions[[#This Row],[TTR]],TT_COL_GLFlag)=1, INDEX(TransTypes[],Transactions[[#This Row],[TTR]],TT_COL_LONGORSHORT)="S" ),
      Transactions[[#This Row],[PL]],
      IF(INDEX(TransTypes[],Transactions[[#This Row],[TTR]],TT_COL_LONGORSHORT)="S",0,Transactions[[#This Row],[CalCashImpact]])
)</f>
        <v>187111.02278180001</v>
      </c>
      <c r="N298" s="81">
        <f>IF(VLOOKUP(Transactions[[#This Row],[Symbol]],Symbols[],COLUMN(Symbols[Currency])-COLUMN(Symbols[])+1,FALSE)=
       VLOOKUP(Transactions[[#This Row],[Account]],Accounts[],COLUMN(Accounts[Currency])-COLUMN(Accounts[])+1,FALSE),
     Transactions[[#This Row],[OrigCashImpact]],
     0
)</f>
        <v>187111.02278180001</v>
      </c>
      <c r="O29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4607.2635436532437</v>
      </c>
      <c r="P29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-1300</v>
      </c>
      <c r="Q29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298" s="41">
        <f>ROW()</f>
        <v>298</v>
      </c>
      <c r="S2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-184264.41</v>
      </c>
      <c r="T2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29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v>
      </c>
      <c r="V298" s="86">
        <f>IF(INDEX(TransTypes[],Transactions[[#This Row],[TTR]],TT_COL_GLFlag)=1,Transactions[[#This Row],[CalCashImpact]]+Transactions[[#This Row],[CostImpact]],0)</f>
        <v>2846.6127818000095</v>
      </c>
      <c r="W298" s="87">
        <f>Transactions[[#This Row],[Amount]]*INDEX(TransTypes[],Transactions[[#This Row],[TTR]],TT_COL_AmntSign)</f>
        <v>187111.02278180001</v>
      </c>
      <c r="X298" s="87">
        <f>IF(INDEX(TransTypes[],Transactions[[#This Row],[TTR]],TT_COL_LONGORSHORT)="S",
      IF( OR(INDEX(TransTypes[],Transactions[[#This Row],[TTR]],TT_COL_GLFlag)=1, INDEX(TransTypes[], Transactions[[#This Row],[TTR]], TT_COL_ShareTransferFlag)=1),
            Transactions[[#This Row],[CostImpact]]*-1,
            Transactions[[#This Row],[CalCashImpact]]
      ),
     0
)</f>
        <v>0</v>
      </c>
      <c r="Y298" s="88" t="str">
        <f>VLOOKUP(Transactions[[#This Row],[Symbol]],Symbols[], COLUMN(Symbols[Currency])-COLUMN(Symbols[])+1,FALSE)</f>
        <v>USD</v>
      </c>
    </row>
    <row r="299" spans="1:25">
      <c r="A299" s="75" t="s">
        <v>65</v>
      </c>
      <c r="B299" s="76">
        <v>43110</v>
      </c>
      <c r="C299" s="75" t="s">
        <v>113</v>
      </c>
      <c r="D299" s="75"/>
      <c r="E299" s="75" t="s">
        <v>414</v>
      </c>
      <c r="F299" s="77">
        <v>20</v>
      </c>
      <c r="G299" s="78">
        <v>0.78</v>
      </c>
      <c r="H299" s="77">
        <v>15.83</v>
      </c>
      <c r="I299" s="77"/>
      <c r="J299" s="79">
        <v>1575.83</v>
      </c>
      <c r="K299" s="6"/>
      <c r="L299" s="20">
        <f>IF(ISNA(MATCH(Transactions[[#This Row],[TransType]],TransTypes[TransType],0)),1,MATCH(Transactions[[#This Row],[TransType]],TransTypes[TransType],0))</f>
        <v>2</v>
      </c>
      <c r="M299" s="80">
        <f>IF( AND( INDEX(TransTypes[],Transactions[[#This Row],[TTR]],TT_COL_GLFlag)=1, INDEX(TransTypes[],Transactions[[#This Row],[TTR]],TT_COL_LONGORSHORT)="S" ),
      Transactions[[#This Row],[PL]],
      IF(INDEX(TransTypes[],Transactions[[#This Row],[TTR]],TT_COL_LONGORSHORT)="S",0,Transactions[[#This Row],[CalCashImpact]])
)</f>
        <v>-1575.83</v>
      </c>
      <c r="N299" s="81">
        <f>IF(VLOOKUP(Transactions[[#This Row],[Symbol]],Symbols[],COLUMN(Symbols[Currency])-COLUMN(Symbols[])+1,FALSE)=
       VLOOKUP(Transactions[[#This Row],[Account]],Accounts[],COLUMN(Accounts[Currency])-COLUMN(Accounts[])+1,FALSE),
     Transactions[[#This Row],[OrigCashImpact]],
     0
)</f>
        <v>-1575.83</v>
      </c>
      <c r="O29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3031.4335436532438</v>
      </c>
      <c r="P29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v>
      </c>
      <c r="Q29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v>
      </c>
      <c r="R299" s="41">
        <f>ROW()</f>
        <v>299</v>
      </c>
      <c r="S2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1575.83</v>
      </c>
      <c r="T2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1575.83</v>
      </c>
      <c r="U29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v>
      </c>
      <c r="V299" s="86">
        <f>IF(INDEX(TransTypes[],Transactions[[#This Row],[TTR]],TT_COL_GLFlag)=1,Transactions[[#This Row],[CalCashImpact]]+Transactions[[#This Row],[CostImpact]],0)</f>
        <v>0</v>
      </c>
      <c r="W299" s="87">
        <f>Transactions[[#This Row],[Amount]]*INDEX(TransTypes[],Transactions[[#This Row],[TTR]],TT_COL_AmntSign)</f>
        <v>-1575.83</v>
      </c>
      <c r="X299" s="87">
        <f>IF(INDEX(TransTypes[],Transactions[[#This Row],[TTR]],TT_COL_LONGORSHORT)="S",
      IF( OR(INDEX(TransTypes[],Transactions[[#This Row],[TTR]],TT_COL_GLFlag)=1, INDEX(TransTypes[], Transactions[[#This Row],[TTR]], TT_COL_ShareTransferFlag)=1),
            Transactions[[#This Row],[CostImpact]]*-1,
            Transactions[[#This Row],[CalCashImpact]]
      ),
     0
)</f>
        <v>0</v>
      </c>
      <c r="Y299" s="88" t="str">
        <f>VLOOKUP(Transactions[[#This Row],[Symbol]],Symbols[], COLUMN(Symbols[Currency])-COLUMN(Symbols[])+1,FALSE)</f>
        <v>USD</v>
      </c>
    </row>
    <row r="300" spans="1:25">
      <c r="A300" s="75" t="s">
        <v>65</v>
      </c>
      <c r="B300" s="76">
        <v>43110</v>
      </c>
      <c r="C300" s="75" t="s">
        <v>121</v>
      </c>
      <c r="D300" s="75"/>
      <c r="E300" s="75" t="s">
        <v>208</v>
      </c>
      <c r="F300" s="77"/>
      <c r="G300" s="78"/>
      <c r="H300" s="77"/>
      <c r="I300" s="77"/>
      <c r="J300" s="79">
        <v>120</v>
      </c>
      <c r="K300" s="6" t="s">
        <v>428</v>
      </c>
      <c r="L300" s="20">
        <f>IF(ISNA(MATCH(Transactions[[#This Row],[TransType]],TransTypes[TransType],0)),1,MATCH(Transactions[[#This Row],[TransType]],TransTypes[TransType],0))</f>
        <v>6</v>
      </c>
      <c r="M300" s="80">
        <f>IF( AND( INDEX(TransTypes[],Transactions[[#This Row],[TTR]],TT_COL_GLFlag)=1, INDEX(TransTypes[],Transactions[[#This Row],[TTR]],TT_COL_LONGORSHORT)="S" ),
      Transactions[[#This Row],[PL]],
      IF(INDEX(TransTypes[],Transactions[[#This Row],[TTR]],TT_COL_LONGORSHORT)="S",0,Transactions[[#This Row],[CalCashImpact]])
)</f>
        <v>-120</v>
      </c>
      <c r="N300" s="81">
        <f>IF(VLOOKUP(Transactions[[#This Row],[Symbol]],Symbols[],COLUMN(Symbols[Currency])-COLUMN(Symbols[])+1,FALSE)=
       VLOOKUP(Transactions[[#This Row],[Account]],Accounts[],COLUMN(Accounts[Currency])-COLUMN(Accounts[])+1,FALSE),
     Transactions[[#This Row],[OrigCashImpact]],
     0
)</f>
        <v>-120</v>
      </c>
      <c r="O30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2911.4335436532438</v>
      </c>
      <c r="P30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0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00" s="41">
        <f>ROW()</f>
        <v>300</v>
      </c>
      <c r="S3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0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00" s="86">
        <f>IF(INDEX(TransTypes[],Transactions[[#This Row],[TTR]],TT_COL_GLFlag)=1,Transactions[[#This Row],[CalCashImpact]]+Transactions[[#This Row],[CostImpact]],0)</f>
        <v>0</v>
      </c>
      <c r="W300" s="87">
        <f>Transactions[[#This Row],[Amount]]*INDEX(TransTypes[],Transactions[[#This Row],[TTR]],TT_COL_AmntSign)</f>
        <v>-120</v>
      </c>
      <c r="X300" s="87">
        <f>IF(INDEX(TransTypes[],Transactions[[#This Row],[TTR]],TT_COL_LONGORSHORT)="S",
      IF( OR(INDEX(TransTypes[],Transactions[[#This Row],[TTR]],TT_COL_GLFlag)=1, INDEX(TransTypes[], Transactions[[#This Row],[TTR]], TT_COL_ShareTransferFlag)=1),
            Transactions[[#This Row],[CostImpact]]*-1,
            Transactions[[#This Row],[CalCashImpact]]
      ),
     0
)</f>
        <v>0</v>
      </c>
      <c r="Y300" s="88" t="str">
        <f>VLOOKUP(Transactions[[#This Row],[Symbol]],Symbols[], COLUMN(Symbols[Currency])-COLUMN(Symbols[])+1,FALSE)</f>
        <v>USD</v>
      </c>
    </row>
    <row r="301" spans="1:25">
      <c r="A301" s="75" t="s">
        <v>65</v>
      </c>
      <c r="B301" s="76">
        <v>43112</v>
      </c>
      <c r="C301" s="75" t="s">
        <v>113</v>
      </c>
      <c r="D301" s="75"/>
      <c r="E301" s="75" t="s">
        <v>287</v>
      </c>
      <c r="F301" s="77">
        <v>200</v>
      </c>
      <c r="G301" s="78">
        <v>178.41200000000001</v>
      </c>
      <c r="H301" s="77">
        <v>1</v>
      </c>
      <c r="I301" s="77"/>
      <c r="J301" s="79">
        <v>35683.4</v>
      </c>
      <c r="K301" s="6"/>
      <c r="L301" s="20">
        <f>IF(ISNA(MATCH(Transactions[[#This Row],[TransType]],TransTypes[TransType],0)),1,MATCH(Transactions[[#This Row],[TransType]],TransTypes[TransType],0))</f>
        <v>2</v>
      </c>
      <c r="M301" s="80">
        <f>IF( AND( INDEX(TransTypes[],Transactions[[#This Row],[TTR]],TT_COL_GLFlag)=1, INDEX(TransTypes[],Transactions[[#This Row],[TTR]],TT_COL_LONGORSHORT)="S" ),
      Transactions[[#This Row],[PL]],
      IF(INDEX(TransTypes[],Transactions[[#This Row],[TTR]],TT_COL_LONGORSHORT)="S",0,Transactions[[#This Row],[CalCashImpact]])
)</f>
        <v>-35683.4</v>
      </c>
      <c r="N301" s="81">
        <f>IF(VLOOKUP(Transactions[[#This Row],[Symbol]],Symbols[],COLUMN(Symbols[Currency])-COLUMN(Symbols[])+1,FALSE)=
       VLOOKUP(Transactions[[#This Row],[Account]],Accounts[],COLUMN(Accounts[Currency])-COLUMN(Accounts[])+1,FALSE),
     Transactions[[#This Row],[OrigCashImpact]],
     0
)</f>
        <v>-35683.4</v>
      </c>
      <c r="O30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-32771.96645634676</v>
      </c>
      <c r="P30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30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902</v>
      </c>
      <c r="R301" s="41">
        <f>ROW()</f>
        <v>301</v>
      </c>
      <c r="S3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35683.4</v>
      </c>
      <c r="T3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160805.87</v>
      </c>
      <c r="U30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902</v>
      </c>
      <c r="V301" s="86">
        <f>IF(INDEX(TransTypes[],Transactions[[#This Row],[TTR]],TT_COL_GLFlag)=1,Transactions[[#This Row],[CalCashImpact]]+Transactions[[#This Row],[CostImpact]],0)</f>
        <v>0</v>
      </c>
      <c r="W301" s="87">
        <f>Transactions[[#This Row],[Amount]]*INDEX(TransTypes[],Transactions[[#This Row],[TTR]],TT_COL_AmntSign)</f>
        <v>-35683.4</v>
      </c>
      <c r="X301" s="87">
        <f>IF(INDEX(TransTypes[],Transactions[[#This Row],[TTR]],TT_COL_LONGORSHORT)="S",
      IF( OR(INDEX(TransTypes[],Transactions[[#This Row],[TTR]],TT_COL_GLFlag)=1, INDEX(TransTypes[], Transactions[[#This Row],[TTR]], TT_COL_ShareTransferFlag)=1),
            Transactions[[#This Row],[CostImpact]]*-1,
            Transactions[[#This Row],[CalCashImpact]]
      ),
     0
)</f>
        <v>0</v>
      </c>
      <c r="Y301" s="88" t="str">
        <f>VLOOKUP(Transactions[[#This Row],[Symbol]],Symbols[], COLUMN(Symbols[Currency])-COLUMN(Symbols[])+1,FALSE)</f>
        <v>USD</v>
      </c>
    </row>
    <row r="302" spans="1:25">
      <c r="A302" s="75" t="s">
        <v>65</v>
      </c>
      <c r="B302" s="76">
        <v>43112</v>
      </c>
      <c r="C302" s="75" t="s">
        <v>113</v>
      </c>
      <c r="D302" s="75"/>
      <c r="E302" s="75" t="s">
        <v>287</v>
      </c>
      <c r="F302" s="77">
        <v>200</v>
      </c>
      <c r="G302" s="78">
        <v>179.97</v>
      </c>
      <c r="H302" s="77">
        <v>1</v>
      </c>
      <c r="I302" s="77"/>
      <c r="J302" s="79">
        <v>35995</v>
      </c>
      <c r="K302" s="6"/>
      <c r="L302" s="20">
        <f>IF(ISNA(MATCH(Transactions[[#This Row],[TransType]],TransTypes[TransType],0)),1,MATCH(Transactions[[#This Row],[TransType]],TransTypes[TransType],0))</f>
        <v>2</v>
      </c>
      <c r="M302" s="80">
        <f>IF( AND( INDEX(TransTypes[],Transactions[[#This Row],[TTR]],TT_COL_GLFlag)=1, INDEX(TransTypes[],Transactions[[#This Row],[TTR]],TT_COL_LONGORSHORT)="S" ),
      Transactions[[#This Row],[PL]],
      IF(INDEX(TransTypes[],Transactions[[#This Row],[TTR]],TT_COL_LONGORSHORT)="S",0,Transactions[[#This Row],[CalCashImpact]])
)</f>
        <v>-35995</v>
      </c>
      <c r="N302" s="81">
        <f>IF(VLOOKUP(Transactions[[#This Row],[Symbol]],Symbols[],COLUMN(Symbols[Currency])-COLUMN(Symbols[])+1,FALSE)=
       VLOOKUP(Transactions[[#This Row],[Account]],Accounts[],COLUMN(Accounts[Currency])-COLUMN(Accounts[])+1,FALSE),
     Transactions[[#This Row],[OrigCashImpact]],
     0
)</f>
        <v>-35995</v>
      </c>
      <c r="O30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-68766.966456346752</v>
      </c>
      <c r="P30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30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1102</v>
      </c>
      <c r="R302" s="41">
        <f>ROW()</f>
        <v>302</v>
      </c>
      <c r="S3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35995</v>
      </c>
      <c r="T3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196800.87</v>
      </c>
      <c r="U30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1102</v>
      </c>
      <c r="V302" s="86">
        <f>IF(INDEX(TransTypes[],Transactions[[#This Row],[TTR]],TT_COL_GLFlag)=1,Transactions[[#This Row],[CalCashImpact]]+Transactions[[#This Row],[CostImpact]],0)</f>
        <v>0</v>
      </c>
      <c r="W302" s="87">
        <f>Transactions[[#This Row],[Amount]]*INDEX(TransTypes[],Transactions[[#This Row],[TTR]],TT_COL_AmntSign)</f>
        <v>-35995</v>
      </c>
      <c r="X302" s="87">
        <f>IF(INDEX(TransTypes[],Transactions[[#This Row],[TTR]],TT_COL_LONGORSHORT)="S",
      IF( OR(INDEX(TransTypes[],Transactions[[#This Row],[TTR]],TT_COL_GLFlag)=1, INDEX(TransTypes[], Transactions[[#This Row],[TTR]], TT_COL_ShareTransferFlag)=1),
            Transactions[[#This Row],[CostImpact]]*-1,
            Transactions[[#This Row],[CalCashImpact]]
      ),
     0
)</f>
        <v>0</v>
      </c>
      <c r="Y302" s="88" t="str">
        <f>VLOOKUP(Transactions[[#This Row],[Symbol]],Symbols[], COLUMN(Symbols[Currency])-COLUMN(Symbols[])+1,FALSE)</f>
        <v>USD</v>
      </c>
    </row>
    <row r="303" spans="1:25">
      <c r="A303" s="75" t="s">
        <v>65</v>
      </c>
      <c r="B303" s="76">
        <v>43112</v>
      </c>
      <c r="C303" s="75" t="s">
        <v>115</v>
      </c>
      <c r="D303" s="75"/>
      <c r="E303" s="75" t="s">
        <v>20</v>
      </c>
      <c r="F303" s="77">
        <v>300</v>
      </c>
      <c r="G303" s="78">
        <v>124.07</v>
      </c>
      <c r="H303" s="77">
        <v>2.3955050999999998</v>
      </c>
      <c r="I303" s="77"/>
      <c r="J303" s="79">
        <v>37218.604494899999</v>
      </c>
      <c r="K303" s="6"/>
      <c r="L303" s="20">
        <f>IF(ISNA(MATCH(Transactions[[#This Row],[TransType]],TransTypes[TransType],0)),1,MATCH(Transactions[[#This Row],[TransType]],TransTypes[TransType],0))</f>
        <v>3</v>
      </c>
      <c r="M303" s="80">
        <f>IF( AND( INDEX(TransTypes[],Transactions[[#This Row],[TTR]],TT_COL_GLFlag)=1, INDEX(TransTypes[],Transactions[[#This Row],[TTR]],TT_COL_LONGORSHORT)="S" ),
      Transactions[[#This Row],[PL]],
      IF(INDEX(TransTypes[],Transactions[[#This Row],[TTR]],TT_COL_LONGORSHORT)="S",0,Transactions[[#This Row],[CalCashImpact]])
)</f>
        <v>37218.604494899999</v>
      </c>
      <c r="N303" s="81">
        <f>IF(VLOOKUP(Transactions[[#This Row],[Symbol]],Symbols[],COLUMN(Symbols[Currency])-COLUMN(Symbols[])+1,FALSE)=
       VLOOKUP(Transactions[[#This Row],[Account]],Accounts[],COLUMN(Accounts[Currency])-COLUMN(Accounts[])+1,FALSE),
     Transactions[[#This Row],[OrigCashImpact]],
     0
)</f>
        <v>37218.604494899999</v>
      </c>
      <c r="O30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-31548.361961446753</v>
      </c>
      <c r="P30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30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1748</v>
      </c>
      <c r="R303" s="41">
        <f>ROW()</f>
        <v>303</v>
      </c>
      <c r="S3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-37560.60472439236</v>
      </c>
      <c r="T3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218853.12352745948</v>
      </c>
      <c r="U30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303" s="86">
        <f>IF(INDEX(TransTypes[],Transactions[[#This Row],[TTR]],TT_COL_GLFlag)=1,Transactions[[#This Row],[CalCashImpact]]+Transactions[[#This Row],[CostImpact]],0)</f>
        <v>-342.00022949236154</v>
      </c>
      <c r="W303" s="87">
        <f>Transactions[[#This Row],[Amount]]*INDEX(TransTypes[],Transactions[[#This Row],[TTR]],TT_COL_AmntSign)</f>
        <v>37218.604494899999</v>
      </c>
      <c r="X303" s="87">
        <f>IF(INDEX(TransTypes[],Transactions[[#This Row],[TTR]],TT_COL_LONGORSHORT)="S",
      IF( OR(INDEX(TransTypes[],Transactions[[#This Row],[TTR]],TT_COL_GLFlag)=1, INDEX(TransTypes[], Transactions[[#This Row],[TTR]], TT_COL_ShareTransferFlag)=1),
            Transactions[[#This Row],[CostImpact]]*-1,
            Transactions[[#This Row],[CalCashImpact]]
      ),
     0
)</f>
        <v>0</v>
      </c>
      <c r="Y303" s="88" t="str">
        <f>VLOOKUP(Transactions[[#This Row],[Symbol]],Symbols[], COLUMN(Symbols[Currency])-COLUMN(Symbols[])+1,FALSE)</f>
        <v>USD</v>
      </c>
    </row>
    <row r="304" spans="1:25">
      <c r="A304" s="75" t="s">
        <v>65</v>
      </c>
      <c r="B304" s="76">
        <v>43112</v>
      </c>
      <c r="C304" s="75" t="s">
        <v>115</v>
      </c>
      <c r="D304" s="75"/>
      <c r="E304" s="75" t="s">
        <v>414</v>
      </c>
      <c r="F304" s="77">
        <v>3</v>
      </c>
      <c r="G304" s="78">
        <v>0.26</v>
      </c>
      <c r="H304" s="77">
        <v>3.8523018000000002</v>
      </c>
      <c r="I304" s="77"/>
      <c r="J304" s="79">
        <v>74.147698199999994</v>
      </c>
      <c r="K304" s="6"/>
      <c r="L304" s="20">
        <f>IF(ISNA(MATCH(Transactions[[#This Row],[TransType]],TransTypes[TransType],0)),1,MATCH(Transactions[[#This Row],[TransType]],TransTypes[TransType],0))</f>
        <v>3</v>
      </c>
      <c r="M304" s="80">
        <f>IF( AND( INDEX(TransTypes[],Transactions[[#This Row],[TTR]],TT_COL_GLFlag)=1, INDEX(TransTypes[],Transactions[[#This Row],[TTR]],TT_COL_LONGORSHORT)="S" ),
      Transactions[[#This Row],[PL]],
      IF(INDEX(TransTypes[],Transactions[[#This Row],[TTR]],TT_COL_LONGORSHORT)="S",0,Transactions[[#This Row],[CalCashImpact]])
)</f>
        <v>74.147698199999994</v>
      </c>
      <c r="N304" s="81">
        <f>IF(VLOOKUP(Transactions[[#This Row],[Symbol]],Symbols[],COLUMN(Symbols[Currency])-COLUMN(Symbols[])+1,FALSE)=
       VLOOKUP(Transactions[[#This Row],[Account]],Accounts[],COLUMN(Accounts[Currency])-COLUMN(Accounts[])+1,FALSE),
     Transactions[[#This Row],[OrigCashImpact]],
     0
)</f>
        <v>74.147698199999994</v>
      </c>
      <c r="O30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-31474.214263246751</v>
      </c>
      <c r="P30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30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v>
      </c>
      <c r="R304" s="41">
        <f>ROW()</f>
        <v>304</v>
      </c>
      <c r="S3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-236.37450000000001</v>
      </c>
      <c r="T3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1339.4555</v>
      </c>
      <c r="U30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v>
      </c>
      <c r="V304" s="86">
        <f>IF(INDEX(TransTypes[],Transactions[[#This Row],[TTR]],TT_COL_GLFlag)=1,Transactions[[#This Row],[CalCashImpact]]+Transactions[[#This Row],[CostImpact]],0)</f>
        <v>-162.22680180000003</v>
      </c>
      <c r="W304" s="87">
        <f>Transactions[[#This Row],[Amount]]*INDEX(TransTypes[],Transactions[[#This Row],[TTR]],TT_COL_AmntSign)</f>
        <v>74.147698199999994</v>
      </c>
      <c r="X304" s="87">
        <f>IF(INDEX(TransTypes[],Transactions[[#This Row],[TTR]],TT_COL_LONGORSHORT)="S",
      IF( OR(INDEX(TransTypes[],Transactions[[#This Row],[TTR]],TT_COL_GLFlag)=1, INDEX(TransTypes[], Transactions[[#This Row],[TTR]], TT_COL_ShareTransferFlag)=1),
            Transactions[[#This Row],[CostImpact]]*-1,
            Transactions[[#This Row],[CalCashImpact]]
      ),
     0
)</f>
        <v>0</v>
      </c>
      <c r="Y304" s="88" t="str">
        <f>VLOOKUP(Transactions[[#This Row],[Symbol]],Symbols[], COLUMN(Symbols[Currency])-COLUMN(Symbols[])+1,FALSE)</f>
        <v>USD</v>
      </c>
    </row>
    <row r="305" spans="1:25">
      <c r="A305" s="75" t="s">
        <v>65</v>
      </c>
      <c r="B305" s="76">
        <v>43115</v>
      </c>
      <c r="C305" s="75" t="s">
        <v>115</v>
      </c>
      <c r="D305" s="75"/>
      <c r="E305" s="75" t="s">
        <v>258</v>
      </c>
      <c r="F305" s="77">
        <v>10000</v>
      </c>
      <c r="G305" s="78">
        <v>35.049999999999997</v>
      </c>
      <c r="H305" s="77">
        <v>1003.327</v>
      </c>
      <c r="I305" s="77"/>
      <c r="J305" s="79">
        <v>349496.67300000001</v>
      </c>
      <c r="K305" s="6"/>
      <c r="L305" s="20">
        <f>IF(ISNA(MATCH(Transactions[[#This Row],[TransType]],TransTypes[TransType],0)),1,MATCH(Transactions[[#This Row],[TransType]],TransTypes[TransType],0))</f>
        <v>3</v>
      </c>
      <c r="M305" s="80">
        <f>IF( AND( INDEX(TransTypes[],Transactions[[#This Row],[TTR]],TT_COL_GLFlag)=1, INDEX(TransTypes[],Transactions[[#This Row],[TTR]],TT_COL_LONGORSHORT)="S" ),
      Transactions[[#This Row],[PL]],
      IF(INDEX(TransTypes[],Transactions[[#This Row],[TTR]],TT_COL_LONGORSHORT)="S",0,Transactions[[#This Row],[CalCashImpact]])
)</f>
        <v>349496.67300000001</v>
      </c>
      <c r="N305" s="81">
        <f>IF(VLOOKUP(Transactions[[#This Row],[Symbol]],Symbols[],COLUMN(Symbols[Currency])-COLUMN(Symbols[])+1,FALSE)=
       VLOOKUP(Transactions[[#This Row],[Account]],Accounts[],COLUMN(Accounts[Currency])-COLUMN(Accounts[])+1,FALSE),
     Transactions[[#This Row],[OrigCashImpact]],
     0
)</f>
        <v>0</v>
      </c>
      <c r="O30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-31474.214263246769</v>
      </c>
      <c r="P30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30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v>
      </c>
      <c r="R305" s="41">
        <f>ROW()</f>
        <v>305</v>
      </c>
      <c r="S3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-336271.356875</v>
      </c>
      <c r="T3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470779.89962500002</v>
      </c>
      <c r="U30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24000</v>
      </c>
      <c r="V305" s="86">
        <f>IF(INDEX(TransTypes[],Transactions[[#This Row],[TTR]],TT_COL_GLFlag)=1,Transactions[[#This Row],[CalCashImpact]]+Transactions[[#This Row],[CostImpact]],0)</f>
        <v>13225.316125000012</v>
      </c>
      <c r="W305" s="87">
        <f>Transactions[[#This Row],[Amount]]*INDEX(TransTypes[],Transactions[[#This Row],[TTR]],TT_COL_AmntSign)</f>
        <v>349496.67300000001</v>
      </c>
      <c r="X305" s="87">
        <f>IF(INDEX(TransTypes[],Transactions[[#This Row],[TTR]],TT_COL_LONGORSHORT)="S",
      IF( OR(INDEX(TransTypes[],Transactions[[#This Row],[TTR]],TT_COL_GLFlag)=1, INDEX(TransTypes[], Transactions[[#This Row],[TTR]], TT_COL_ShareTransferFlag)=1),
            Transactions[[#This Row],[CostImpact]]*-1,
            Transactions[[#This Row],[CalCashImpact]]
      ),
     0
)</f>
        <v>0</v>
      </c>
      <c r="Y305" s="88" t="str">
        <f>VLOOKUP(Transactions[[#This Row],[Symbol]],Symbols[], COLUMN(Symbols[Currency])-COLUMN(Symbols[])+1,FALSE)</f>
        <v>HKD</v>
      </c>
    </row>
    <row r="306" spans="1:25">
      <c r="A306" s="75" t="s">
        <v>65</v>
      </c>
      <c r="B306" s="76">
        <v>43115</v>
      </c>
      <c r="C306" s="75" t="s">
        <v>113</v>
      </c>
      <c r="D306" s="75"/>
      <c r="E306" s="75" t="s">
        <v>263</v>
      </c>
      <c r="F306" s="77">
        <v>2000</v>
      </c>
      <c r="G306" s="78">
        <v>89.1</v>
      </c>
      <c r="H306" s="77">
        <v>512.18280000000004</v>
      </c>
      <c r="I306" s="77"/>
      <c r="J306" s="79">
        <v>178712.18280000001</v>
      </c>
      <c r="K306" s="6"/>
      <c r="L306" s="20">
        <f>IF(ISNA(MATCH(Transactions[[#This Row],[TransType]],TransTypes[TransType],0)),1,MATCH(Transactions[[#This Row],[TransType]],TransTypes[TransType],0))</f>
        <v>2</v>
      </c>
      <c r="M306" s="80">
        <f>IF( AND( INDEX(TransTypes[],Transactions[[#This Row],[TTR]],TT_COL_GLFlag)=1, INDEX(TransTypes[],Transactions[[#This Row],[TTR]],TT_COL_LONGORSHORT)="S" ),
      Transactions[[#This Row],[PL]],
      IF(INDEX(TransTypes[],Transactions[[#This Row],[TTR]],TT_COL_LONGORSHORT)="S",0,Transactions[[#This Row],[CalCashImpact]])
)</f>
        <v>-178712.18280000001</v>
      </c>
      <c r="N306" s="81">
        <f>IF(VLOOKUP(Transactions[[#This Row],[Symbol]],Symbols[],COLUMN(Symbols[Currency])-COLUMN(Symbols[])+1,FALSE)=
       VLOOKUP(Transactions[[#This Row],[Account]],Accounts[],COLUMN(Accounts[Currency])-COLUMN(Accounts[])+1,FALSE),
     Transactions[[#This Row],[OrigCashImpact]],
     0
)</f>
        <v>0</v>
      </c>
      <c r="O30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-31474.214263246769</v>
      </c>
      <c r="P30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30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306" s="41">
        <f>ROW()</f>
        <v>306</v>
      </c>
      <c r="S3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178712.18280000001</v>
      </c>
      <c r="T3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812371.7827000001</v>
      </c>
      <c r="U30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306" s="86">
        <f>IF(INDEX(TransTypes[],Transactions[[#This Row],[TTR]],TT_COL_GLFlag)=1,Transactions[[#This Row],[CalCashImpact]]+Transactions[[#This Row],[CostImpact]],0)</f>
        <v>0</v>
      </c>
      <c r="W306" s="87">
        <f>Transactions[[#This Row],[Amount]]*INDEX(TransTypes[],Transactions[[#This Row],[TTR]],TT_COL_AmntSign)</f>
        <v>-178712.18280000001</v>
      </c>
      <c r="X306" s="87">
        <f>IF(INDEX(TransTypes[],Transactions[[#This Row],[TTR]],TT_COL_LONGORSHORT)="S",
      IF( OR(INDEX(TransTypes[],Transactions[[#This Row],[TTR]],TT_COL_GLFlag)=1, INDEX(TransTypes[], Transactions[[#This Row],[TTR]], TT_COL_ShareTransferFlag)=1),
            Transactions[[#This Row],[CostImpact]]*-1,
            Transactions[[#This Row],[CalCashImpact]]
      ),
     0
)</f>
        <v>0</v>
      </c>
      <c r="Y306" s="88" t="str">
        <f>VLOOKUP(Transactions[[#This Row],[Symbol]],Symbols[], COLUMN(Symbols[Currency])-COLUMN(Symbols[])+1,FALSE)</f>
        <v>HKD</v>
      </c>
    </row>
    <row r="307" spans="1:25">
      <c r="A307" s="75" t="s">
        <v>65</v>
      </c>
      <c r="B307" s="76">
        <v>43116</v>
      </c>
      <c r="C307" s="75" t="s">
        <v>113</v>
      </c>
      <c r="D307" s="75"/>
      <c r="E307" s="75" t="s">
        <v>403</v>
      </c>
      <c r="F307" s="77">
        <v>47000</v>
      </c>
      <c r="G307" s="78">
        <v>8.0399999999999991</v>
      </c>
      <c r="H307" s="77">
        <v>1084.7095200000001</v>
      </c>
      <c r="I307" s="77"/>
      <c r="J307" s="79">
        <v>378964.70951999997</v>
      </c>
      <c r="K307" s="6"/>
      <c r="L307" s="20">
        <f>IF(ISNA(MATCH(Transactions[[#This Row],[TransType]],TransTypes[TransType],0)),1,MATCH(Transactions[[#This Row],[TransType]],TransTypes[TransType],0))</f>
        <v>2</v>
      </c>
      <c r="M307" s="80">
        <f>IF( AND( INDEX(TransTypes[],Transactions[[#This Row],[TTR]],TT_COL_GLFlag)=1, INDEX(TransTypes[],Transactions[[#This Row],[TTR]],TT_COL_LONGORSHORT)="S" ),
      Transactions[[#This Row],[PL]],
      IF(INDEX(TransTypes[],Transactions[[#This Row],[TTR]],TT_COL_LONGORSHORT)="S",0,Transactions[[#This Row],[CalCashImpact]])
)</f>
        <v>-378964.70951999997</v>
      </c>
      <c r="N307" s="81">
        <f>IF(VLOOKUP(Transactions[[#This Row],[Symbol]],Symbols[],COLUMN(Symbols[Currency])-COLUMN(Symbols[])+1,FALSE)=
       VLOOKUP(Transactions[[#This Row],[Account]],Accounts[],COLUMN(Accounts[Currency])-COLUMN(Accounts[])+1,FALSE),
     Transactions[[#This Row],[OrigCashImpact]],
     0
)</f>
        <v>0</v>
      </c>
      <c r="O30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-31474.214263246769</v>
      </c>
      <c r="P30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47000</v>
      </c>
      <c r="Q30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47000</v>
      </c>
      <c r="R307" s="41">
        <f>ROW()</f>
        <v>307</v>
      </c>
      <c r="S3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378964.70951999997</v>
      </c>
      <c r="T3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378964.70951999997</v>
      </c>
      <c r="U30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47000</v>
      </c>
      <c r="V307" s="86">
        <f>IF(INDEX(TransTypes[],Transactions[[#This Row],[TTR]],TT_COL_GLFlag)=1,Transactions[[#This Row],[CalCashImpact]]+Transactions[[#This Row],[CostImpact]],0)</f>
        <v>0</v>
      </c>
      <c r="W307" s="87">
        <f>Transactions[[#This Row],[Amount]]*INDEX(TransTypes[],Transactions[[#This Row],[TTR]],TT_COL_AmntSign)</f>
        <v>-378964.70951999997</v>
      </c>
      <c r="X307" s="87">
        <f>IF(INDEX(TransTypes[],Transactions[[#This Row],[TTR]],TT_COL_LONGORSHORT)="S",
      IF( OR(INDEX(TransTypes[],Transactions[[#This Row],[TTR]],TT_COL_GLFlag)=1, INDEX(TransTypes[], Transactions[[#This Row],[TTR]], TT_COL_ShareTransferFlag)=1),
            Transactions[[#This Row],[CostImpact]]*-1,
            Transactions[[#This Row],[CalCashImpact]]
      ),
     0
)</f>
        <v>0</v>
      </c>
      <c r="Y307" s="88" t="str">
        <f>VLOOKUP(Transactions[[#This Row],[Symbol]],Symbols[], COLUMN(Symbols[Currency])-COLUMN(Symbols[])+1,FALSE)</f>
        <v>HKD</v>
      </c>
    </row>
    <row r="308" spans="1:25">
      <c r="A308" s="75" t="s">
        <v>65</v>
      </c>
      <c r="B308" s="76">
        <v>43116</v>
      </c>
      <c r="C308" s="75" t="s">
        <v>158</v>
      </c>
      <c r="D308" s="75"/>
      <c r="E308" s="75" t="s">
        <v>418</v>
      </c>
      <c r="F308" s="77">
        <v>3</v>
      </c>
      <c r="G308" s="78">
        <v>6742</v>
      </c>
      <c r="H308" s="77">
        <v>6.15</v>
      </c>
      <c r="I308" s="77"/>
      <c r="J308" s="79">
        <v>404513.85</v>
      </c>
      <c r="K308" s="6"/>
      <c r="L308" s="20">
        <f>IF(ISNA(MATCH(Transactions[[#This Row],[TransType]],TransTypes[TransType],0)),1,MATCH(Transactions[[#This Row],[TransType]],TransTypes[TransType],0))</f>
        <v>19</v>
      </c>
      <c r="M308" s="80">
        <f>IF( AND( INDEX(TransTypes[],Transactions[[#This Row],[TTR]],TT_COL_GLFlag)=1, INDEX(TransTypes[],Transactions[[#This Row],[TTR]],TT_COL_LONGORSHORT)="S" ),
      Transactions[[#This Row],[PL]],
      IF(INDEX(TransTypes[],Transactions[[#This Row],[TTR]],TT_COL_LONGORSHORT)="S",0,Transactions[[#This Row],[CalCashImpact]])
)</f>
        <v>0</v>
      </c>
      <c r="N308" s="81">
        <f>IF(VLOOKUP(Transactions[[#This Row],[Symbol]],Symbols[],COLUMN(Symbols[Currency])-COLUMN(Symbols[])+1,FALSE)=
       VLOOKUP(Transactions[[#This Row],[Account]],Accounts[],COLUMN(Accounts[Currency])-COLUMN(Accounts[])+1,FALSE),
     Transactions[[#This Row],[OrigCashImpact]],
     0
)</f>
        <v>0</v>
      </c>
      <c r="O30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-31474.214263246769</v>
      </c>
      <c r="P30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30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v>
      </c>
      <c r="R308" s="41">
        <f>ROW()</f>
        <v>308</v>
      </c>
      <c r="S3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-404513.85</v>
      </c>
      <c r="T3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-404513.85</v>
      </c>
      <c r="U30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308" s="86">
        <f>IF(INDEX(TransTypes[],Transactions[[#This Row],[TTR]],TT_COL_GLFlag)=1,Transactions[[#This Row],[CalCashImpact]]+Transactions[[#This Row],[CostImpact]],0)</f>
        <v>0</v>
      </c>
      <c r="W308" s="87">
        <f>Transactions[[#This Row],[Amount]]*INDEX(TransTypes[],Transactions[[#This Row],[TTR]],TT_COL_AmntSign)</f>
        <v>404513.85</v>
      </c>
      <c r="X308" s="87">
        <f>IF(INDEX(TransTypes[],Transactions[[#This Row],[TTR]],TT_COL_LONGORSHORT)="S",
      IF( OR(INDEX(TransTypes[],Transactions[[#This Row],[TTR]],TT_COL_GLFlag)=1, INDEX(TransTypes[], Transactions[[#This Row],[TTR]], TT_COL_ShareTransferFlag)=1),
            Transactions[[#This Row],[CostImpact]]*-1,
            Transactions[[#This Row],[CalCashImpact]]
      ),
     0
)</f>
        <v>404513.85</v>
      </c>
      <c r="Y308" s="88" t="str">
        <f>VLOOKUP(Transactions[[#This Row],[Symbol]],Symbols[], COLUMN(Symbols[Currency])-COLUMN(Symbols[])+1,FALSE)</f>
        <v>USD</v>
      </c>
    </row>
    <row r="309" spans="1:25">
      <c r="A309" s="75" t="s">
        <v>65</v>
      </c>
      <c r="B309" s="76">
        <v>43117</v>
      </c>
      <c r="C309" s="75" t="s">
        <v>113</v>
      </c>
      <c r="D309" s="75"/>
      <c r="E309" s="75" t="s">
        <v>322</v>
      </c>
      <c r="F309" s="77">
        <v>1000</v>
      </c>
      <c r="G309" s="78">
        <v>140.90700000000001</v>
      </c>
      <c r="H309" s="77">
        <v>5</v>
      </c>
      <c r="I309" s="77"/>
      <c r="J309" s="79">
        <v>140912</v>
      </c>
      <c r="K309" s="6"/>
      <c r="L309" s="20">
        <f>IF(ISNA(MATCH(Transactions[[#This Row],[TransType]],TransTypes[TransType],0)),1,MATCH(Transactions[[#This Row],[TransType]],TransTypes[TransType],0))</f>
        <v>2</v>
      </c>
      <c r="M309" s="80">
        <f>IF( AND( INDEX(TransTypes[],Transactions[[#This Row],[TTR]],TT_COL_GLFlag)=1, INDEX(TransTypes[],Transactions[[#This Row],[TTR]],TT_COL_LONGORSHORT)="S" ),
      Transactions[[#This Row],[PL]],
      IF(INDEX(TransTypes[],Transactions[[#This Row],[TTR]],TT_COL_LONGORSHORT)="S",0,Transactions[[#This Row],[CalCashImpact]])
)</f>
        <v>-140912</v>
      </c>
      <c r="N309" s="81">
        <f>IF(VLOOKUP(Transactions[[#This Row],[Symbol]],Symbols[],COLUMN(Symbols[Currency])-COLUMN(Symbols[])+1,FALSE)=
       VLOOKUP(Transactions[[#This Row],[Account]],Accounts[],COLUMN(Accounts[Currency])-COLUMN(Accounts[])+1,FALSE),
     Transactions[[#This Row],[OrigCashImpact]],
     0
)</f>
        <v>-140912</v>
      </c>
      <c r="O30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-172386.21426324677</v>
      </c>
      <c r="P30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30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309" s="41">
        <f>ROW()</f>
        <v>309</v>
      </c>
      <c r="S3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140912</v>
      </c>
      <c r="T3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140912</v>
      </c>
      <c r="U30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309" s="86">
        <f>IF(INDEX(TransTypes[],Transactions[[#This Row],[TTR]],TT_COL_GLFlag)=1,Transactions[[#This Row],[CalCashImpact]]+Transactions[[#This Row],[CostImpact]],0)</f>
        <v>0</v>
      </c>
      <c r="W309" s="87">
        <f>Transactions[[#This Row],[Amount]]*INDEX(TransTypes[],Transactions[[#This Row],[TTR]],TT_COL_AmntSign)</f>
        <v>-140912</v>
      </c>
      <c r="X309" s="87">
        <f>IF(INDEX(TransTypes[],Transactions[[#This Row],[TTR]],TT_COL_LONGORSHORT)="S",
      IF( OR(INDEX(TransTypes[],Transactions[[#This Row],[TTR]],TT_COL_GLFlag)=1, INDEX(TransTypes[], Transactions[[#This Row],[TTR]], TT_COL_ShareTransferFlag)=1),
            Transactions[[#This Row],[CostImpact]]*-1,
            Transactions[[#This Row],[CalCashImpact]]
      ),
     0
)</f>
        <v>0</v>
      </c>
      <c r="Y309" s="88" t="str">
        <f>VLOOKUP(Transactions[[#This Row],[Symbol]],Symbols[], COLUMN(Symbols[Currency])-COLUMN(Symbols[])+1,FALSE)</f>
        <v>USD</v>
      </c>
    </row>
    <row r="310" spans="1:25">
      <c r="A310" s="75" t="s">
        <v>65</v>
      </c>
      <c r="B310" s="76">
        <v>43117</v>
      </c>
      <c r="C310" s="75" t="s">
        <v>158</v>
      </c>
      <c r="D310" s="75"/>
      <c r="E310" s="75" t="s">
        <v>410</v>
      </c>
      <c r="F310" s="77">
        <v>10</v>
      </c>
      <c r="G310" s="78">
        <v>2.37</v>
      </c>
      <c r="H310" s="77">
        <v>7.9897470000000004</v>
      </c>
      <c r="I310" s="77"/>
      <c r="J310" s="79">
        <v>2362.0102529999999</v>
      </c>
      <c r="K310" s="6"/>
      <c r="L310" s="20">
        <f>IF(ISNA(MATCH(Transactions[[#This Row],[TransType]],TransTypes[TransType],0)),1,MATCH(Transactions[[#This Row],[TransType]],TransTypes[TransType],0))</f>
        <v>19</v>
      </c>
      <c r="M310" s="80">
        <f>IF( AND( INDEX(TransTypes[],Transactions[[#This Row],[TTR]],TT_COL_GLFlag)=1, INDEX(TransTypes[],Transactions[[#This Row],[TTR]],TT_COL_LONGORSHORT)="S" ),
      Transactions[[#This Row],[PL]],
      IF(INDEX(TransTypes[],Transactions[[#This Row],[TTR]],TT_COL_LONGORSHORT)="S",0,Transactions[[#This Row],[CalCashImpact]])
)</f>
        <v>0</v>
      </c>
      <c r="N310" s="81">
        <f>IF(VLOOKUP(Transactions[[#This Row],[Symbol]],Symbols[],COLUMN(Symbols[Currency])-COLUMN(Symbols[])+1,FALSE)=
       VLOOKUP(Transactions[[#This Row],[Account]],Accounts[],COLUMN(Accounts[Currency])-COLUMN(Accounts[])+1,FALSE),
     Transactions[[#This Row],[OrigCashImpact]],
     0
)</f>
        <v>0</v>
      </c>
      <c r="O31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-172386.21426324677</v>
      </c>
      <c r="P31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v>
      </c>
      <c r="Q31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v>
      </c>
      <c r="R310" s="41">
        <f>ROW()</f>
        <v>310</v>
      </c>
      <c r="S3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-2362.0102529999999</v>
      </c>
      <c r="T3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-2362.0102529999999</v>
      </c>
      <c r="U31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v>
      </c>
      <c r="V310" s="86">
        <f>IF(INDEX(TransTypes[],Transactions[[#This Row],[TTR]],TT_COL_GLFlag)=1,Transactions[[#This Row],[CalCashImpact]]+Transactions[[#This Row],[CostImpact]],0)</f>
        <v>0</v>
      </c>
      <c r="W310" s="87">
        <f>Transactions[[#This Row],[Amount]]*INDEX(TransTypes[],Transactions[[#This Row],[TTR]],TT_COL_AmntSign)</f>
        <v>2362.0102529999999</v>
      </c>
      <c r="X310" s="87">
        <f>IF(INDEX(TransTypes[],Transactions[[#This Row],[TTR]],TT_COL_LONGORSHORT)="S",
      IF( OR(INDEX(TransTypes[],Transactions[[#This Row],[TTR]],TT_COL_GLFlag)=1, INDEX(TransTypes[], Transactions[[#This Row],[TTR]], TT_COL_ShareTransferFlag)=1),
            Transactions[[#This Row],[CostImpact]]*-1,
            Transactions[[#This Row],[CalCashImpact]]
      ),
     0
)</f>
        <v>2362.0102529999999</v>
      </c>
      <c r="Y310" s="88" t="str">
        <f>VLOOKUP(Transactions[[#This Row],[Symbol]],Symbols[], COLUMN(Symbols[Currency])-COLUMN(Symbols[])+1,FALSE)</f>
        <v>USD</v>
      </c>
    </row>
    <row r="311" spans="1:25">
      <c r="A311" s="75" t="s">
        <v>65</v>
      </c>
      <c r="B311" s="76">
        <v>43117</v>
      </c>
      <c r="C311" s="75" t="s">
        <v>160</v>
      </c>
      <c r="D311" s="75"/>
      <c r="E311" s="75" t="s">
        <v>418</v>
      </c>
      <c r="F311" s="77">
        <v>3</v>
      </c>
      <c r="G311" s="78">
        <v>6789.5</v>
      </c>
      <c r="H311" s="77">
        <v>6.15</v>
      </c>
      <c r="I311" s="77"/>
      <c r="J311" s="79">
        <v>407376.15</v>
      </c>
      <c r="K311" s="6"/>
      <c r="L311" s="20">
        <f>IF(ISNA(MATCH(Transactions[[#This Row],[TransType]],TransTypes[TransType],0)),1,MATCH(Transactions[[#This Row],[TransType]],TransTypes[TransType],0))</f>
        <v>20</v>
      </c>
      <c r="M311" s="80">
        <f>IF( AND( INDEX(TransTypes[],Transactions[[#This Row],[TTR]],TT_COL_GLFlag)=1, INDEX(TransTypes[],Transactions[[#This Row],[TTR]],TT_COL_LONGORSHORT)="S" ),
      Transactions[[#This Row],[PL]],
      IF(INDEX(TransTypes[],Transactions[[#This Row],[TTR]],TT_COL_LONGORSHORT)="S",0,Transactions[[#This Row],[CalCashImpact]])
)</f>
        <v>-2862.3000000000466</v>
      </c>
      <c r="N311" s="81">
        <f>IF(VLOOKUP(Transactions[[#This Row],[Symbol]],Symbols[],COLUMN(Symbols[Currency])-COLUMN(Symbols[])+1,FALSE)=
       VLOOKUP(Transactions[[#This Row],[Account]],Accounts[],COLUMN(Accounts[Currency])-COLUMN(Accounts[])+1,FALSE),
     Transactions[[#This Row],[OrigCashImpact]],
     0
)</f>
        <v>-2862.3000000000466</v>
      </c>
      <c r="O31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-175248.51426324682</v>
      </c>
      <c r="P31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31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11" s="41">
        <f>ROW()</f>
        <v>311</v>
      </c>
      <c r="S3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404513.85</v>
      </c>
      <c r="T3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1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311" s="86">
        <f>IF(INDEX(TransTypes[],Transactions[[#This Row],[TTR]],TT_COL_GLFlag)=1,Transactions[[#This Row],[CalCashImpact]]+Transactions[[#This Row],[CostImpact]],0)</f>
        <v>-2862.3000000000466</v>
      </c>
      <c r="W311" s="87">
        <f>Transactions[[#This Row],[Amount]]*INDEX(TransTypes[],Transactions[[#This Row],[TTR]],TT_COL_AmntSign)</f>
        <v>-407376.15</v>
      </c>
      <c r="X311" s="87">
        <f>IF(INDEX(TransTypes[],Transactions[[#This Row],[TTR]],TT_COL_LONGORSHORT)="S",
      IF( OR(INDEX(TransTypes[],Transactions[[#This Row],[TTR]],TT_COL_GLFlag)=1, INDEX(TransTypes[], Transactions[[#This Row],[TTR]], TT_COL_ShareTransferFlag)=1),
            Transactions[[#This Row],[CostImpact]]*-1,
            Transactions[[#This Row],[CalCashImpact]]
      ),
     0
)</f>
        <v>-404513.85</v>
      </c>
      <c r="Y311" s="88" t="str">
        <f>VLOOKUP(Transactions[[#This Row],[Symbol]],Symbols[], COLUMN(Symbols[Currency])-COLUMN(Symbols[])+1,FALSE)</f>
        <v>USD</v>
      </c>
    </row>
    <row r="312" spans="1:25">
      <c r="A312" s="75" t="s">
        <v>65</v>
      </c>
      <c r="B312" s="76">
        <v>43119</v>
      </c>
      <c r="C312" s="75" t="s">
        <v>115</v>
      </c>
      <c r="D312" s="75"/>
      <c r="E312" s="75" t="s">
        <v>300</v>
      </c>
      <c r="F312" s="77">
        <v>1000</v>
      </c>
      <c r="G312" s="78">
        <v>24.029</v>
      </c>
      <c r="H312" s="77">
        <v>4.6740699000000001</v>
      </c>
      <c r="I312" s="77"/>
      <c r="J312" s="79">
        <v>24024.3259301</v>
      </c>
      <c r="K312" s="6"/>
      <c r="L312" s="20">
        <f>IF(ISNA(MATCH(Transactions[[#This Row],[TransType]],TransTypes[TransType],0)),1,MATCH(Transactions[[#This Row],[TransType]],TransTypes[TransType],0))</f>
        <v>3</v>
      </c>
      <c r="M312" s="80">
        <f>IF( AND( INDEX(TransTypes[],Transactions[[#This Row],[TTR]],TT_COL_GLFlag)=1, INDEX(TransTypes[],Transactions[[#This Row],[TTR]],TT_COL_LONGORSHORT)="S" ),
      Transactions[[#This Row],[PL]],
      IF(INDEX(TransTypes[],Transactions[[#This Row],[TTR]],TT_COL_LONGORSHORT)="S",0,Transactions[[#This Row],[CalCashImpact]])
)</f>
        <v>24024.3259301</v>
      </c>
      <c r="N312" s="81">
        <f>IF(VLOOKUP(Transactions[[#This Row],[Symbol]],Symbols[],COLUMN(Symbols[Currency])-COLUMN(Symbols[])+1,FALSE)=
       VLOOKUP(Transactions[[#This Row],[Account]],Accounts[],COLUMN(Accounts[Currency])-COLUMN(Accounts[])+1,FALSE),
     Transactions[[#This Row],[OrigCashImpact]],
     0
)</f>
        <v>24024.3259301</v>
      </c>
      <c r="O31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-151224.18833314683</v>
      </c>
      <c r="P31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31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12" s="41">
        <f>ROW()</f>
        <v>312</v>
      </c>
      <c r="S3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-28483.439999999999</v>
      </c>
      <c r="T3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1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312" s="86">
        <f>IF(INDEX(TransTypes[],Transactions[[#This Row],[TTR]],TT_COL_GLFlag)=1,Transactions[[#This Row],[CalCashImpact]]+Transactions[[#This Row],[CostImpact]],0)</f>
        <v>-4459.1140698999989</v>
      </c>
      <c r="W312" s="87">
        <f>Transactions[[#This Row],[Amount]]*INDEX(TransTypes[],Transactions[[#This Row],[TTR]],TT_COL_AmntSign)</f>
        <v>24024.3259301</v>
      </c>
      <c r="X312" s="87">
        <f>IF(INDEX(TransTypes[],Transactions[[#This Row],[TTR]],TT_COL_LONGORSHORT)="S",
      IF( OR(INDEX(TransTypes[],Transactions[[#This Row],[TTR]],TT_COL_GLFlag)=1, INDEX(TransTypes[], Transactions[[#This Row],[TTR]], TT_COL_ShareTransferFlag)=1),
            Transactions[[#This Row],[CostImpact]]*-1,
            Transactions[[#This Row],[CalCashImpact]]
      ),
     0
)</f>
        <v>0</v>
      </c>
      <c r="Y312" s="88" t="str">
        <f>VLOOKUP(Transactions[[#This Row],[Symbol]],Symbols[], COLUMN(Symbols[Currency])-COLUMN(Symbols[])+1,FALSE)</f>
        <v>USD</v>
      </c>
    </row>
    <row r="313" spans="1:25">
      <c r="A313" s="75" t="s">
        <v>65</v>
      </c>
      <c r="B313" s="76">
        <v>43126</v>
      </c>
      <c r="C313" s="75" t="s">
        <v>115</v>
      </c>
      <c r="D313" s="75"/>
      <c r="E313" s="75" t="s">
        <v>322</v>
      </c>
      <c r="F313" s="77">
        <v>1000</v>
      </c>
      <c r="G313" s="78">
        <v>137.31</v>
      </c>
      <c r="H313" s="77">
        <v>8.2908609999999996</v>
      </c>
      <c r="I313" s="77"/>
      <c r="J313" s="79">
        <v>137301.70913900001</v>
      </c>
      <c r="K313" s="6"/>
      <c r="L313" s="20">
        <f>IF(ISNA(MATCH(Transactions[[#This Row],[TransType]],TransTypes[TransType],0)),1,MATCH(Transactions[[#This Row],[TransType]],TransTypes[TransType],0))</f>
        <v>3</v>
      </c>
      <c r="M313" s="80">
        <f>IF( AND( INDEX(TransTypes[],Transactions[[#This Row],[TTR]],TT_COL_GLFlag)=1, INDEX(TransTypes[],Transactions[[#This Row],[TTR]],TT_COL_LONGORSHORT)="S" ),
      Transactions[[#This Row],[PL]],
      IF(INDEX(TransTypes[],Transactions[[#This Row],[TTR]],TT_COL_LONGORSHORT)="S",0,Transactions[[#This Row],[CalCashImpact]])
)</f>
        <v>137301.70913900001</v>
      </c>
      <c r="N313" s="81">
        <f>IF(VLOOKUP(Transactions[[#This Row],[Symbol]],Symbols[],COLUMN(Symbols[Currency])-COLUMN(Symbols[])+1,FALSE)=
       VLOOKUP(Transactions[[#This Row],[Account]],Accounts[],COLUMN(Accounts[Currency])-COLUMN(Accounts[])+1,FALSE),
     Transactions[[#This Row],[OrigCashImpact]],
     0
)</f>
        <v>137301.70913900001</v>
      </c>
      <c r="O31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-13922.479194146814</v>
      </c>
      <c r="P31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31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13" s="41">
        <f>ROW()</f>
        <v>313</v>
      </c>
      <c r="S3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-140912</v>
      </c>
      <c r="T3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1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313" s="86">
        <f>IF(INDEX(TransTypes[],Transactions[[#This Row],[TTR]],TT_COL_GLFlag)=1,Transactions[[#This Row],[CalCashImpact]]+Transactions[[#This Row],[CostImpact]],0)</f>
        <v>-3610.2908609999868</v>
      </c>
      <c r="W313" s="87">
        <f>Transactions[[#This Row],[Amount]]*INDEX(TransTypes[],Transactions[[#This Row],[TTR]],TT_COL_AmntSign)</f>
        <v>137301.70913900001</v>
      </c>
      <c r="X313" s="87">
        <f>IF(INDEX(TransTypes[],Transactions[[#This Row],[TTR]],TT_COL_LONGORSHORT)="S",
      IF( OR(INDEX(TransTypes[],Transactions[[#This Row],[TTR]],TT_COL_GLFlag)=1, INDEX(TransTypes[], Transactions[[#This Row],[TTR]], TT_COL_ShareTransferFlag)=1),
            Transactions[[#This Row],[CostImpact]]*-1,
            Transactions[[#This Row],[CalCashImpact]]
      ),
     0
)</f>
        <v>0</v>
      </c>
      <c r="Y313" s="88" t="str">
        <f>VLOOKUP(Transactions[[#This Row],[Symbol]],Symbols[], COLUMN(Symbols[Currency])-COLUMN(Symbols[])+1,FALSE)</f>
        <v>USD</v>
      </c>
    </row>
    <row r="314" spans="1:25">
      <c r="A314" s="75" t="s">
        <v>65</v>
      </c>
      <c r="B314" s="76">
        <v>43126</v>
      </c>
      <c r="C314" s="75" t="s">
        <v>115</v>
      </c>
      <c r="D314" s="75" t="s">
        <v>378</v>
      </c>
      <c r="E314" s="75" t="s">
        <v>414</v>
      </c>
      <c r="F314" s="77">
        <v>17</v>
      </c>
      <c r="G314" s="78">
        <v>0</v>
      </c>
      <c r="H314" s="77">
        <v>0</v>
      </c>
      <c r="I314" s="77"/>
      <c r="J314" s="79">
        <v>0</v>
      </c>
      <c r="K314" s="6"/>
      <c r="L314" s="20">
        <f>IF(ISNA(MATCH(Transactions[[#This Row],[TransType]],TransTypes[TransType],0)),1,MATCH(Transactions[[#This Row],[TransType]],TransTypes[TransType],0))</f>
        <v>3</v>
      </c>
      <c r="M314" s="80">
        <f>IF( AND( INDEX(TransTypes[],Transactions[[#This Row],[TTR]],TT_COL_GLFlag)=1, INDEX(TransTypes[],Transactions[[#This Row],[TTR]],TT_COL_LONGORSHORT)="S" ),
      Transactions[[#This Row],[PL]],
      IF(INDEX(TransTypes[],Transactions[[#This Row],[TTR]],TT_COL_LONGORSHORT)="S",0,Transactions[[#This Row],[CalCashImpact]])
)</f>
        <v>0</v>
      </c>
      <c r="N314" s="81">
        <f>IF(VLOOKUP(Transactions[[#This Row],[Symbol]],Symbols[],COLUMN(Symbols[Currency])-COLUMN(Symbols[])+1,FALSE)=
       VLOOKUP(Transactions[[#This Row],[Account]],Accounts[],COLUMN(Accounts[Currency])-COLUMN(Accounts[])+1,FALSE),
     Transactions[[#This Row],[OrigCashImpact]],
     0
)</f>
        <v>0</v>
      </c>
      <c r="O31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-13922.479194146814</v>
      </c>
      <c r="P31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-17</v>
      </c>
      <c r="Q31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14" s="41">
        <f>ROW()</f>
        <v>314</v>
      </c>
      <c r="S3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-1339.4555</v>
      </c>
      <c r="T3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1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v>
      </c>
      <c r="V314" s="86">
        <f>IF(INDEX(TransTypes[],Transactions[[#This Row],[TTR]],TT_COL_GLFlag)=1,Transactions[[#This Row],[CalCashImpact]]+Transactions[[#This Row],[CostImpact]],0)</f>
        <v>-1339.4555</v>
      </c>
      <c r="W314" s="87">
        <f>Transactions[[#This Row],[Amount]]*INDEX(TransTypes[],Transactions[[#This Row],[TTR]],TT_COL_AmntSign)</f>
        <v>0</v>
      </c>
      <c r="X314" s="87">
        <f>IF(INDEX(TransTypes[],Transactions[[#This Row],[TTR]],TT_COL_LONGORSHORT)="S",
      IF( OR(INDEX(TransTypes[],Transactions[[#This Row],[TTR]],TT_COL_GLFlag)=1, INDEX(TransTypes[], Transactions[[#This Row],[TTR]], TT_COL_ShareTransferFlag)=1),
            Transactions[[#This Row],[CostImpact]]*-1,
            Transactions[[#This Row],[CalCashImpact]]
      ),
     0
)</f>
        <v>0</v>
      </c>
      <c r="Y314" s="88" t="str">
        <f>VLOOKUP(Transactions[[#This Row],[Symbol]],Symbols[], COLUMN(Symbols[Currency])-COLUMN(Symbols[])+1,FALSE)</f>
        <v>USD</v>
      </c>
    </row>
    <row r="315" spans="1:25">
      <c r="A315" s="75" t="s">
        <v>65</v>
      </c>
      <c r="B315" s="76">
        <v>43130</v>
      </c>
      <c r="C315" s="75" t="s">
        <v>113</v>
      </c>
      <c r="D315" s="75"/>
      <c r="E315" s="75" t="s">
        <v>7</v>
      </c>
      <c r="F315" s="77">
        <v>20</v>
      </c>
      <c r="G315" s="78">
        <v>1183.8399999999999</v>
      </c>
      <c r="H315" s="77">
        <v>1</v>
      </c>
      <c r="I315" s="77"/>
      <c r="J315" s="79">
        <v>23677.8</v>
      </c>
      <c r="K315" s="6"/>
      <c r="L315" s="20">
        <f>IF(ISNA(MATCH(Transactions[[#This Row],[TransType]],TransTypes[TransType],0)),1,MATCH(Transactions[[#This Row],[TransType]],TransTypes[TransType],0))</f>
        <v>2</v>
      </c>
      <c r="M315" s="80">
        <f>IF( AND( INDEX(TransTypes[],Transactions[[#This Row],[TTR]],TT_COL_GLFlag)=1, INDEX(TransTypes[],Transactions[[#This Row],[TTR]],TT_COL_LONGORSHORT)="S" ),
      Transactions[[#This Row],[PL]],
      IF(INDEX(TransTypes[],Transactions[[#This Row],[TTR]],TT_COL_LONGORSHORT)="S",0,Transactions[[#This Row],[CalCashImpact]])
)</f>
        <v>-23677.8</v>
      </c>
      <c r="N315" s="81">
        <f>IF(VLOOKUP(Transactions[[#This Row],[Symbol]],Symbols[],COLUMN(Symbols[Currency])-COLUMN(Symbols[])+1,FALSE)=
       VLOOKUP(Transactions[[#This Row],[Account]],Accounts[],COLUMN(Accounts[Currency])-COLUMN(Accounts[])+1,FALSE),
     Transactions[[#This Row],[OrigCashImpact]],
     0
)</f>
        <v>-23677.8</v>
      </c>
      <c r="O31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-37600.279194146817</v>
      </c>
      <c r="P31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v>
      </c>
      <c r="Q31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v>
      </c>
      <c r="R315" s="41">
        <f>ROW()</f>
        <v>315</v>
      </c>
      <c r="S3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23677.8</v>
      </c>
      <c r="T3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128646.00400000002</v>
      </c>
      <c r="U31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v>
      </c>
      <c r="V315" s="86">
        <f>IF(INDEX(TransTypes[],Transactions[[#This Row],[TTR]],TT_COL_GLFlag)=1,Transactions[[#This Row],[CalCashImpact]]+Transactions[[#This Row],[CostImpact]],0)</f>
        <v>0</v>
      </c>
      <c r="W315" s="87">
        <f>Transactions[[#This Row],[Amount]]*INDEX(TransTypes[],Transactions[[#This Row],[TTR]],TT_COL_AmntSign)</f>
        <v>-23677.8</v>
      </c>
      <c r="X315" s="87">
        <f>IF(INDEX(TransTypes[],Transactions[[#This Row],[TTR]],TT_COL_LONGORSHORT)="S",
      IF( OR(INDEX(TransTypes[],Transactions[[#This Row],[TTR]],TT_COL_GLFlag)=1, INDEX(TransTypes[], Transactions[[#This Row],[TTR]], TT_COL_ShareTransferFlag)=1),
            Transactions[[#This Row],[CostImpact]]*-1,
            Transactions[[#This Row],[CalCashImpact]]
      ),
     0
)</f>
        <v>0</v>
      </c>
      <c r="Y315" s="88" t="str">
        <f>VLOOKUP(Transactions[[#This Row],[Symbol]],Symbols[], COLUMN(Symbols[Currency])-COLUMN(Symbols[])+1,FALSE)</f>
        <v>USD</v>
      </c>
    </row>
    <row r="316" spans="1:25">
      <c r="A316" s="75" t="s">
        <v>65</v>
      </c>
      <c r="B316" s="76">
        <v>43130</v>
      </c>
      <c r="C316" s="75" t="s">
        <v>115</v>
      </c>
      <c r="D316" s="75"/>
      <c r="E316" s="75" t="s">
        <v>311</v>
      </c>
      <c r="F316" s="77">
        <v>500</v>
      </c>
      <c r="G316" s="78">
        <v>31.090299999999999</v>
      </c>
      <c r="H316" s="77">
        <v>2.4185929650000002</v>
      </c>
      <c r="I316" s="77"/>
      <c r="J316" s="79">
        <v>15542.731407035</v>
      </c>
      <c r="K316" s="6"/>
      <c r="L316" s="20">
        <f>IF(ISNA(MATCH(Transactions[[#This Row],[TransType]],TransTypes[TransType],0)),1,MATCH(Transactions[[#This Row],[TransType]],TransTypes[TransType],0))</f>
        <v>3</v>
      </c>
      <c r="M316" s="80">
        <f>IF( AND( INDEX(TransTypes[],Transactions[[#This Row],[TTR]],TT_COL_GLFlag)=1, INDEX(TransTypes[],Transactions[[#This Row],[TTR]],TT_COL_LONGORSHORT)="S" ),
      Transactions[[#This Row],[PL]],
      IF(INDEX(TransTypes[],Transactions[[#This Row],[TTR]],TT_COL_LONGORSHORT)="S",0,Transactions[[#This Row],[CalCashImpact]])
)</f>
        <v>15542.731407035</v>
      </c>
      <c r="N316" s="81">
        <f>IF(VLOOKUP(Transactions[[#This Row],[Symbol]],Symbols[],COLUMN(Symbols[Currency])-COLUMN(Symbols[])+1,FALSE)=
       VLOOKUP(Transactions[[#This Row],[Account]],Accounts[],COLUMN(Accounts[Currency])-COLUMN(Accounts[])+1,FALSE),
     Transactions[[#This Row],[OrigCashImpact]],
     0
)</f>
        <v>15542.731407035</v>
      </c>
      <c r="O31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-22057.547787111813</v>
      </c>
      <c r="P31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31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6500</v>
      </c>
      <c r="R316" s="41">
        <f>ROW()</f>
        <v>316</v>
      </c>
      <c r="S3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-12728.089099999992</v>
      </c>
      <c r="T3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165465.15829999989</v>
      </c>
      <c r="U31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316" s="86">
        <f>IF(INDEX(TransTypes[],Transactions[[#This Row],[TTR]],TT_COL_GLFlag)=1,Transactions[[#This Row],[CalCashImpact]]+Transactions[[#This Row],[CostImpact]],0)</f>
        <v>2814.6423070350083</v>
      </c>
      <c r="W316" s="87">
        <f>Transactions[[#This Row],[Amount]]*INDEX(TransTypes[],Transactions[[#This Row],[TTR]],TT_COL_AmntSign)</f>
        <v>15542.731407035</v>
      </c>
      <c r="X316" s="87">
        <f>IF(INDEX(TransTypes[],Transactions[[#This Row],[TTR]],TT_COL_LONGORSHORT)="S",
      IF( OR(INDEX(TransTypes[],Transactions[[#This Row],[TTR]],TT_COL_GLFlag)=1, INDEX(TransTypes[], Transactions[[#This Row],[TTR]], TT_COL_ShareTransferFlag)=1),
            Transactions[[#This Row],[CostImpact]]*-1,
            Transactions[[#This Row],[CalCashImpact]]
      ),
     0
)</f>
        <v>0</v>
      </c>
      <c r="Y316" s="88" t="str">
        <f>VLOOKUP(Transactions[[#This Row],[Symbol]],Symbols[], COLUMN(Symbols[Currency])-COLUMN(Symbols[])+1,FALSE)</f>
        <v>USD</v>
      </c>
    </row>
    <row r="317" spans="1:25">
      <c r="A317" s="75" t="s">
        <v>65</v>
      </c>
      <c r="B317" s="76">
        <v>43130</v>
      </c>
      <c r="C317" s="75" t="s">
        <v>115</v>
      </c>
      <c r="D317" s="75"/>
      <c r="E317" s="75" t="s">
        <v>316</v>
      </c>
      <c r="F317" s="77">
        <v>100</v>
      </c>
      <c r="G317" s="78">
        <v>345.85</v>
      </c>
      <c r="H317" s="77">
        <v>1.8108135000000001</v>
      </c>
      <c r="I317" s="77"/>
      <c r="J317" s="79">
        <v>34583.1891865</v>
      </c>
      <c r="K317" s="6"/>
      <c r="L317" s="20">
        <f>IF(ISNA(MATCH(Transactions[[#This Row],[TransType]],TransTypes[TransType],0)),1,MATCH(Transactions[[#This Row],[TransType]],TransTypes[TransType],0))</f>
        <v>3</v>
      </c>
      <c r="M317" s="80">
        <f>IF( AND( INDEX(TransTypes[],Transactions[[#This Row],[TTR]],TT_COL_GLFlag)=1, INDEX(TransTypes[],Transactions[[#This Row],[TTR]],TT_COL_LONGORSHORT)="S" ),
      Transactions[[#This Row],[PL]],
      IF(INDEX(TransTypes[],Transactions[[#This Row],[TTR]],TT_COL_LONGORSHORT)="S",0,Transactions[[#This Row],[CalCashImpact]])
)</f>
        <v>34583.1891865</v>
      </c>
      <c r="N317" s="81">
        <f>IF(VLOOKUP(Transactions[[#This Row],[Symbol]],Symbols[],COLUMN(Symbols[Currency])-COLUMN(Symbols[])+1,FALSE)=
       VLOOKUP(Transactions[[#This Row],[Account]],Accounts[],COLUMN(Accounts[Currency])-COLUMN(Accounts[])+1,FALSE),
     Transactions[[#This Row],[OrigCashImpact]],
     0
)</f>
        <v>34583.1891865</v>
      </c>
      <c r="O31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12525.641399388187</v>
      </c>
      <c r="P31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31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317" s="41">
        <f>ROW()</f>
        <v>317</v>
      </c>
      <c r="S3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-31106.844036697243</v>
      </c>
      <c r="T3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62213.688073394493</v>
      </c>
      <c r="U31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317" s="86">
        <f>IF(INDEX(TransTypes[],Transactions[[#This Row],[TTR]],TT_COL_GLFlag)=1,Transactions[[#This Row],[CalCashImpact]]+Transactions[[#This Row],[CostImpact]],0)</f>
        <v>3476.3451498027571</v>
      </c>
      <c r="W317" s="87">
        <f>Transactions[[#This Row],[Amount]]*INDEX(TransTypes[],Transactions[[#This Row],[TTR]],TT_COL_AmntSign)</f>
        <v>34583.1891865</v>
      </c>
      <c r="X317" s="87">
        <f>IF(INDEX(TransTypes[],Transactions[[#This Row],[TTR]],TT_COL_LONGORSHORT)="S",
      IF( OR(INDEX(TransTypes[],Transactions[[#This Row],[TTR]],TT_COL_GLFlag)=1, INDEX(TransTypes[], Transactions[[#This Row],[TTR]], TT_COL_ShareTransferFlag)=1),
            Transactions[[#This Row],[CostImpact]]*-1,
            Transactions[[#This Row],[CalCashImpact]]
      ),
     0
)</f>
        <v>0</v>
      </c>
      <c r="Y317" s="88" t="str">
        <f>VLOOKUP(Transactions[[#This Row],[Symbol]],Symbols[], COLUMN(Symbols[Currency])-COLUMN(Symbols[])+1,FALSE)</f>
        <v>USD</v>
      </c>
    </row>
    <row r="318" spans="1:25">
      <c r="A318" s="75" t="s">
        <v>65</v>
      </c>
      <c r="B318" s="76">
        <v>43130</v>
      </c>
      <c r="C318" s="75" t="s">
        <v>158</v>
      </c>
      <c r="D318" s="75"/>
      <c r="E318" s="75" t="s">
        <v>418</v>
      </c>
      <c r="F318" s="77">
        <v>2</v>
      </c>
      <c r="G318" s="78">
        <v>6927.75</v>
      </c>
      <c r="H318" s="77">
        <v>4.0999999999999996</v>
      </c>
      <c r="I318" s="77"/>
      <c r="J318" s="79">
        <v>277105.90000000002</v>
      </c>
      <c r="K318" s="6"/>
      <c r="L318" s="20">
        <f>IF(ISNA(MATCH(Transactions[[#This Row],[TransType]],TransTypes[TransType],0)),1,MATCH(Transactions[[#This Row],[TransType]],TransTypes[TransType],0))</f>
        <v>19</v>
      </c>
      <c r="M318" s="80">
        <f>IF( AND( INDEX(TransTypes[],Transactions[[#This Row],[TTR]],TT_COL_GLFlag)=1, INDEX(TransTypes[],Transactions[[#This Row],[TTR]],TT_COL_LONGORSHORT)="S" ),
      Transactions[[#This Row],[PL]],
      IF(INDEX(TransTypes[],Transactions[[#This Row],[TTR]],TT_COL_LONGORSHORT)="S",0,Transactions[[#This Row],[CalCashImpact]])
)</f>
        <v>0</v>
      </c>
      <c r="N318" s="81">
        <f>IF(VLOOKUP(Transactions[[#This Row],[Symbol]],Symbols[],COLUMN(Symbols[Currency])-COLUMN(Symbols[])+1,FALSE)=
       VLOOKUP(Transactions[[#This Row],[Account]],Accounts[],COLUMN(Accounts[Currency])-COLUMN(Accounts[])+1,FALSE),
     Transactions[[#This Row],[OrigCashImpact]],
     0
)</f>
        <v>0</v>
      </c>
      <c r="O31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12525.641399388187</v>
      </c>
      <c r="P31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1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v>
      </c>
      <c r="R318" s="41">
        <f>ROW()</f>
        <v>318</v>
      </c>
      <c r="S3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-277105.90000000002</v>
      </c>
      <c r="T3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-277105.90000000002</v>
      </c>
      <c r="U31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318" s="86">
        <f>IF(INDEX(TransTypes[],Transactions[[#This Row],[TTR]],TT_COL_GLFlag)=1,Transactions[[#This Row],[CalCashImpact]]+Transactions[[#This Row],[CostImpact]],0)</f>
        <v>0</v>
      </c>
      <c r="W318" s="87">
        <f>Transactions[[#This Row],[Amount]]*INDEX(TransTypes[],Transactions[[#This Row],[TTR]],TT_COL_AmntSign)</f>
        <v>277105.90000000002</v>
      </c>
      <c r="X318" s="87">
        <f>IF(INDEX(TransTypes[],Transactions[[#This Row],[TTR]],TT_COL_LONGORSHORT)="S",
      IF( OR(INDEX(TransTypes[],Transactions[[#This Row],[TTR]],TT_COL_GLFlag)=1, INDEX(TransTypes[], Transactions[[#This Row],[TTR]], TT_COL_ShareTransferFlag)=1),
            Transactions[[#This Row],[CostImpact]]*-1,
            Transactions[[#This Row],[CalCashImpact]]
      ),
     0
)</f>
        <v>277105.90000000002</v>
      </c>
      <c r="Y318" s="88" t="str">
        <f>VLOOKUP(Transactions[[#This Row],[Symbol]],Symbols[], COLUMN(Symbols[Currency])-COLUMN(Symbols[])+1,FALSE)</f>
        <v>USD</v>
      </c>
    </row>
    <row r="319" spans="1:25">
      <c r="A319" s="75" t="s">
        <v>65</v>
      </c>
      <c r="B319" s="76">
        <v>43130</v>
      </c>
      <c r="C319" s="75" t="s">
        <v>158</v>
      </c>
      <c r="D319" s="75"/>
      <c r="E319" s="75" t="s">
        <v>418</v>
      </c>
      <c r="F319" s="77">
        <v>2</v>
      </c>
      <c r="G319" s="78">
        <v>6920.25</v>
      </c>
      <c r="H319" s="77">
        <v>4.0999999999999996</v>
      </c>
      <c r="I319" s="77"/>
      <c r="J319" s="79">
        <v>276805.90000000002</v>
      </c>
      <c r="K319" s="6"/>
      <c r="L319" s="20">
        <f>IF(ISNA(MATCH(Transactions[[#This Row],[TransType]],TransTypes[TransType],0)),1,MATCH(Transactions[[#This Row],[TransType]],TransTypes[TransType],0))</f>
        <v>19</v>
      </c>
      <c r="M319" s="80">
        <f>IF( AND( INDEX(TransTypes[],Transactions[[#This Row],[TTR]],TT_COL_GLFlag)=1, INDEX(TransTypes[],Transactions[[#This Row],[TTR]],TT_COL_LONGORSHORT)="S" ),
      Transactions[[#This Row],[PL]],
      IF(INDEX(TransTypes[],Transactions[[#This Row],[TTR]],TT_COL_LONGORSHORT)="S",0,Transactions[[#This Row],[CalCashImpact]])
)</f>
        <v>0</v>
      </c>
      <c r="N319" s="81">
        <f>IF(VLOOKUP(Transactions[[#This Row],[Symbol]],Symbols[],COLUMN(Symbols[Currency])-COLUMN(Symbols[])+1,FALSE)=
       VLOOKUP(Transactions[[#This Row],[Account]],Accounts[],COLUMN(Accounts[Currency])-COLUMN(Accounts[])+1,FALSE),
     Transactions[[#This Row],[OrigCashImpact]],
     0
)</f>
        <v>0</v>
      </c>
      <c r="O31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12525.641399388187</v>
      </c>
      <c r="P31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1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v>
      </c>
      <c r="R319" s="41">
        <f>ROW()</f>
        <v>319</v>
      </c>
      <c r="S3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-276805.90000000002</v>
      </c>
      <c r="T3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-553911.80000000005</v>
      </c>
      <c r="U31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319" s="86">
        <f>IF(INDEX(TransTypes[],Transactions[[#This Row],[TTR]],TT_COL_GLFlag)=1,Transactions[[#This Row],[CalCashImpact]]+Transactions[[#This Row],[CostImpact]],0)</f>
        <v>0</v>
      </c>
      <c r="W319" s="87">
        <f>Transactions[[#This Row],[Amount]]*INDEX(TransTypes[],Transactions[[#This Row],[TTR]],TT_COL_AmntSign)</f>
        <v>276805.90000000002</v>
      </c>
      <c r="X319" s="87">
        <f>IF(INDEX(TransTypes[],Transactions[[#This Row],[TTR]],TT_COL_LONGORSHORT)="S",
      IF( OR(INDEX(TransTypes[],Transactions[[#This Row],[TTR]],TT_COL_GLFlag)=1, INDEX(TransTypes[], Transactions[[#This Row],[TTR]], TT_COL_ShareTransferFlag)=1),
            Transactions[[#This Row],[CostImpact]]*-1,
            Transactions[[#This Row],[CalCashImpact]]
      ),
     0
)</f>
        <v>276805.90000000002</v>
      </c>
      <c r="Y319" s="88" t="str">
        <f>VLOOKUP(Transactions[[#This Row],[Symbol]],Symbols[], COLUMN(Symbols[Currency])-COLUMN(Symbols[])+1,FALSE)</f>
        <v>USD</v>
      </c>
    </row>
    <row r="320" spans="1:25">
      <c r="A320" s="75" t="s">
        <v>65</v>
      </c>
      <c r="B320" s="76">
        <v>43130</v>
      </c>
      <c r="C320" s="75" t="s">
        <v>160</v>
      </c>
      <c r="D320" s="75"/>
      <c r="E320" s="75" t="s">
        <v>418</v>
      </c>
      <c r="F320" s="77">
        <v>2</v>
      </c>
      <c r="G320" s="78">
        <v>6945.5</v>
      </c>
      <c r="H320" s="77">
        <v>4.0999999999999996</v>
      </c>
      <c r="I320" s="77"/>
      <c r="J320" s="79">
        <v>277824.09999999998</v>
      </c>
      <c r="K320" s="6"/>
      <c r="L320" s="20">
        <f>IF(ISNA(MATCH(Transactions[[#This Row],[TransType]],TransTypes[TransType],0)),1,MATCH(Transactions[[#This Row],[TransType]],TransTypes[TransType],0))</f>
        <v>20</v>
      </c>
      <c r="M320" s="80">
        <f>IF( AND( INDEX(TransTypes[],Transactions[[#This Row],[TTR]],TT_COL_GLFlag)=1, INDEX(TransTypes[],Transactions[[#This Row],[TTR]],TT_COL_LONGORSHORT)="S" ),
      Transactions[[#This Row],[PL]],
      IF(INDEX(TransTypes[],Transactions[[#This Row],[TTR]],TT_COL_LONGORSHORT)="S",0,Transactions[[#This Row],[CalCashImpact]])
)</f>
        <v>-868.19999999995343</v>
      </c>
      <c r="N320" s="81">
        <f>IF(VLOOKUP(Transactions[[#This Row],[Symbol]],Symbols[],COLUMN(Symbols[Currency])-COLUMN(Symbols[])+1,FALSE)=
       VLOOKUP(Transactions[[#This Row],[Account]],Accounts[],COLUMN(Accounts[Currency])-COLUMN(Accounts[])+1,FALSE),
     Transactions[[#This Row],[OrigCashImpact]],
     0
)</f>
        <v>-868.19999999995343</v>
      </c>
      <c r="O32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11657.441399388234</v>
      </c>
      <c r="P32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2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v>
      </c>
      <c r="R320" s="41">
        <f>ROW()</f>
        <v>320</v>
      </c>
      <c r="S3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276955.90000000002</v>
      </c>
      <c r="T3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-276955.90000000002</v>
      </c>
      <c r="U32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320" s="86">
        <f>IF(INDEX(TransTypes[],Transactions[[#This Row],[TTR]],TT_COL_GLFlag)=1,Transactions[[#This Row],[CalCashImpact]]+Transactions[[#This Row],[CostImpact]],0)</f>
        <v>-868.19999999995343</v>
      </c>
      <c r="W320" s="87">
        <f>Transactions[[#This Row],[Amount]]*INDEX(TransTypes[],Transactions[[#This Row],[TTR]],TT_COL_AmntSign)</f>
        <v>-277824.09999999998</v>
      </c>
      <c r="X320" s="87">
        <f>IF(INDEX(TransTypes[],Transactions[[#This Row],[TTR]],TT_COL_LONGORSHORT)="S",
      IF( OR(INDEX(TransTypes[],Transactions[[#This Row],[TTR]],TT_COL_GLFlag)=1, INDEX(TransTypes[], Transactions[[#This Row],[TTR]], TT_COL_ShareTransferFlag)=1),
            Transactions[[#This Row],[CostImpact]]*-1,
            Transactions[[#This Row],[CalCashImpact]]
      ),
     0
)</f>
        <v>-276955.90000000002</v>
      </c>
      <c r="Y320" s="88" t="str">
        <f>VLOOKUP(Transactions[[#This Row],[Symbol]],Symbols[], COLUMN(Symbols[Currency])-COLUMN(Symbols[])+1,FALSE)</f>
        <v>USD</v>
      </c>
    </row>
    <row r="321" spans="1:25">
      <c r="A321" s="75" t="s">
        <v>65</v>
      </c>
      <c r="B321" s="76">
        <v>43131</v>
      </c>
      <c r="C321" s="75" t="s">
        <v>113</v>
      </c>
      <c r="D321" s="75"/>
      <c r="E321" s="75" t="s">
        <v>322</v>
      </c>
      <c r="F321" s="77">
        <v>1500</v>
      </c>
      <c r="G321" s="78">
        <v>126.043508667</v>
      </c>
      <c r="H321" s="77">
        <v>7.0039999999999996</v>
      </c>
      <c r="I321" s="77"/>
      <c r="J321" s="79">
        <v>189072.26699999999</v>
      </c>
      <c r="K321" s="6"/>
      <c r="L321" s="20">
        <f>IF(ISNA(MATCH(Transactions[[#This Row],[TransType]],TransTypes[TransType],0)),1,MATCH(Transactions[[#This Row],[TransType]],TransTypes[TransType],0))</f>
        <v>2</v>
      </c>
      <c r="M321" s="80">
        <f>IF( AND( INDEX(TransTypes[],Transactions[[#This Row],[TTR]],TT_COL_GLFlag)=1, INDEX(TransTypes[],Transactions[[#This Row],[TTR]],TT_COL_LONGORSHORT)="S" ),
      Transactions[[#This Row],[PL]],
      IF(INDEX(TransTypes[],Transactions[[#This Row],[TTR]],TT_COL_LONGORSHORT)="S",0,Transactions[[#This Row],[CalCashImpact]])
)</f>
        <v>-189072.26699999999</v>
      </c>
      <c r="N321" s="81">
        <f>IF(VLOOKUP(Transactions[[#This Row],[Symbol]],Symbols[],COLUMN(Symbols[Currency])-COLUMN(Symbols[])+1,FALSE)=
       VLOOKUP(Transactions[[#This Row],[Account]],Accounts[],COLUMN(Accounts[Currency])-COLUMN(Accounts[])+1,FALSE),
     Transactions[[#This Row],[OrigCashImpact]],
     0
)</f>
        <v>-189072.26699999999</v>
      </c>
      <c r="O32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-177414.82560061177</v>
      </c>
      <c r="P32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v>
      </c>
      <c r="Q32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321" s="41">
        <f>ROW()</f>
        <v>321</v>
      </c>
      <c r="S3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189072.26699999999</v>
      </c>
      <c r="T3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189072.26699999999</v>
      </c>
      <c r="U32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321" s="86">
        <f>IF(INDEX(TransTypes[],Transactions[[#This Row],[TTR]],TT_COL_GLFlag)=1,Transactions[[#This Row],[CalCashImpact]]+Transactions[[#This Row],[CostImpact]],0)</f>
        <v>0</v>
      </c>
      <c r="W321" s="87">
        <f>Transactions[[#This Row],[Amount]]*INDEX(TransTypes[],Transactions[[#This Row],[TTR]],TT_COL_AmntSign)</f>
        <v>-189072.26699999999</v>
      </c>
      <c r="X321" s="87">
        <f>IF(INDEX(TransTypes[],Transactions[[#This Row],[TTR]],TT_COL_LONGORSHORT)="S",
      IF( OR(INDEX(TransTypes[],Transactions[[#This Row],[TTR]],TT_COL_GLFlag)=1, INDEX(TransTypes[], Transactions[[#This Row],[TTR]], TT_COL_ShareTransferFlag)=1),
            Transactions[[#This Row],[CostImpact]]*-1,
            Transactions[[#This Row],[CalCashImpact]]
      ),
     0
)</f>
        <v>0</v>
      </c>
      <c r="Y321" s="88" t="str">
        <f>VLOOKUP(Transactions[[#This Row],[Symbol]],Symbols[], COLUMN(Symbols[Currency])-COLUMN(Symbols[])+1,FALSE)</f>
        <v>USD</v>
      </c>
    </row>
    <row r="322" spans="1:25">
      <c r="A322" s="75" t="s">
        <v>65</v>
      </c>
      <c r="B322" s="76">
        <v>43132</v>
      </c>
      <c r="C322" s="75" t="s">
        <v>115</v>
      </c>
      <c r="D322" s="75"/>
      <c r="E322" s="75" t="s">
        <v>258</v>
      </c>
      <c r="F322" s="77">
        <v>14000</v>
      </c>
      <c r="G322" s="78">
        <v>36.1</v>
      </c>
      <c r="H322" s="77">
        <v>1445.6116</v>
      </c>
      <c r="I322" s="77"/>
      <c r="J322" s="79">
        <v>503954.3884</v>
      </c>
      <c r="K322" s="6"/>
      <c r="L322" s="20">
        <f>IF(ISNA(MATCH(Transactions[[#This Row],[TransType]],TransTypes[TransType],0)),1,MATCH(Transactions[[#This Row],[TransType]],TransTypes[TransType],0))</f>
        <v>3</v>
      </c>
      <c r="M322" s="80">
        <f>IF( AND( INDEX(TransTypes[],Transactions[[#This Row],[TTR]],TT_COL_GLFlag)=1, INDEX(TransTypes[],Transactions[[#This Row],[TTR]],TT_COL_LONGORSHORT)="S" ),
      Transactions[[#This Row],[PL]],
      IF(INDEX(TransTypes[],Transactions[[#This Row],[TTR]],TT_COL_LONGORSHORT)="S",0,Transactions[[#This Row],[CalCashImpact]])
)</f>
        <v>503954.3884</v>
      </c>
      <c r="N322" s="81">
        <f>IF(VLOOKUP(Transactions[[#This Row],[Symbol]],Symbols[],COLUMN(Symbols[Currency])-COLUMN(Symbols[])+1,FALSE)=
       VLOOKUP(Transactions[[#This Row],[Account]],Accounts[],COLUMN(Accounts[Currency])-COLUMN(Accounts[])+1,FALSE),
     Transactions[[#This Row],[OrigCashImpact]],
     0
)</f>
        <v>0</v>
      </c>
      <c r="O32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-177414.82560061177</v>
      </c>
      <c r="P32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-14000</v>
      </c>
      <c r="Q32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22" s="41">
        <f>ROW()</f>
        <v>322</v>
      </c>
      <c r="S3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-470779.89962500002</v>
      </c>
      <c r="T3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2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322" s="86">
        <f>IF(INDEX(TransTypes[],Transactions[[#This Row],[TTR]],TT_COL_GLFlag)=1,Transactions[[#This Row],[CalCashImpact]]+Transactions[[#This Row],[CostImpact]],0)</f>
        <v>33174.488774999976</v>
      </c>
      <c r="W322" s="87">
        <f>Transactions[[#This Row],[Amount]]*INDEX(TransTypes[],Transactions[[#This Row],[TTR]],TT_COL_AmntSign)</f>
        <v>503954.3884</v>
      </c>
      <c r="X322" s="87">
        <f>IF(INDEX(TransTypes[],Transactions[[#This Row],[TTR]],TT_COL_LONGORSHORT)="S",
      IF( OR(INDEX(TransTypes[],Transactions[[#This Row],[TTR]],TT_COL_GLFlag)=1, INDEX(TransTypes[], Transactions[[#This Row],[TTR]], TT_COL_ShareTransferFlag)=1),
            Transactions[[#This Row],[CostImpact]]*-1,
            Transactions[[#This Row],[CalCashImpact]]
      ),
     0
)</f>
        <v>0</v>
      </c>
      <c r="Y322" s="88" t="str">
        <f>VLOOKUP(Transactions[[#This Row],[Symbol]],Symbols[], COLUMN(Symbols[Currency])-COLUMN(Symbols[])+1,FALSE)</f>
        <v>HKD</v>
      </c>
    </row>
    <row r="323" spans="1:25">
      <c r="A323" s="75" t="s">
        <v>65</v>
      </c>
      <c r="B323" s="76">
        <v>43132</v>
      </c>
      <c r="C323" s="75" t="s">
        <v>113</v>
      </c>
      <c r="D323" s="75"/>
      <c r="E323" s="75" t="s">
        <v>287</v>
      </c>
      <c r="F323" s="77">
        <v>200</v>
      </c>
      <c r="G323" s="78">
        <v>195.035</v>
      </c>
      <c r="H323" s="77">
        <v>1</v>
      </c>
      <c r="I323" s="77"/>
      <c r="J323" s="79">
        <v>39008</v>
      </c>
      <c r="K323" s="6"/>
      <c r="L323" s="20">
        <f>IF(ISNA(MATCH(Transactions[[#This Row],[TransType]],TransTypes[TransType],0)),1,MATCH(Transactions[[#This Row],[TransType]],TransTypes[TransType],0))</f>
        <v>2</v>
      </c>
      <c r="M323" s="80">
        <f>IF( AND( INDEX(TransTypes[],Transactions[[#This Row],[TTR]],TT_COL_GLFlag)=1, INDEX(TransTypes[],Transactions[[#This Row],[TTR]],TT_COL_LONGORSHORT)="S" ),
      Transactions[[#This Row],[PL]],
      IF(INDEX(TransTypes[],Transactions[[#This Row],[TTR]],TT_COL_LONGORSHORT)="S",0,Transactions[[#This Row],[CalCashImpact]])
)</f>
        <v>-39008</v>
      </c>
      <c r="N323" s="81">
        <f>IF(VLOOKUP(Transactions[[#This Row],[Symbol]],Symbols[],COLUMN(Symbols[Currency])-COLUMN(Symbols[])+1,FALSE)=
       VLOOKUP(Transactions[[#This Row],[Account]],Accounts[],COLUMN(Accounts[Currency])-COLUMN(Accounts[])+1,FALSE),
     Transactions[[#This Row],[OrigCashImpact]],
     0
)</f>
        <v>-39008</v>
      </c>
      <c r="O32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-216422.82560061177</v>
      </c>
      <c r="P32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32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1302</v>
      </c>
      <c r="R323" s="41">
        <f>ROW()</f>
        <v>323</v>
      </c>
      <c r="S3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39008</v>
      </c>
      <c r="T3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235808.87</v>
      </c>
      <c r="U32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1302</v>
      </c>
      <c r="V323" s="86">
        <f>IF(INDEX(TransTypes[],Transactions[[#This Row],[TTR]],TT_COL_GLFlag)=1,Transactions[[#This Row],[CalCashImpact]]+Transactions[[#This Row],[CostImpact]],0)</f>
        <v>0</v>
      </c>
      <c r="W323" s="87">
        <f>Transactions[[#This Row],[Amount]]*INDEX(TransTypes[],Transactions[[#This Row],[TTR]],TT_COL_AmntSign)</f>
        <v>-39008</v>
      </c>
      <c r="X323" s="87">
        <f>IF(INDEX(TransTypes[],Transactions[[#This Row],[TTR]],TT_COL_LONGORSHORT)="S",
      IF( OR(INDEX(TransTypes[],Transactions[[#This Row],[TTR]],TT_COL_GLFlag)=1, INDEX(TransTypes[], Transactions[[#This Row],[TTR]], TT_COL_ShareTransferFlag)=1),
            Transactions[[#This Row],[CostImpact]]*-1,
            Transactions[[#This Row],[CalCashImpact]]
      ),
     0
)</f>
        <v>0</v>
      </c>
      <c r="Y323" s="88" t="str">
        <f>VLOOKUP(Transactions[[#This Row],[Symbol]],Symbols[], COLUMN(Symbols[Currency])-COLUMN(Symbols[])+1,FALSE)</f>
        <v>USD</v>
      </c>
    </row>
    <row r="324" spans="1:25">
      <c r="A324" s="75" t="s">
        <v>65</v>
      </c>
      <c r="B324" s="76">
        <v>43132</v>
      </c>
      <c r="C324" s="75" t="s">
        <v>158</v>
      </c>
      <c r="D324" s="75"/>
      <c r="E324" s="75" t="s">
        <v>407</v>
      </c>
      <c r="F324" s="77">
        <v>1</v>
      </c>
      <c r="G324" s="78">
        <v>5.65</v>
      </c>
      <c r="H324" s="77">
        <v>0.76285150000000002</v>
      </c>
      <c r="I324" s="77"/>
      <c r="J324" s="79">
        <v>564.23714849999999</v>
      </c>
      <c r="K324" s="6"/>
      <c r="L324" s="20">
        <f>IF(ISNA(MATCH(Transactions[[#This Row],[TransType]],TransTypes[TransType],0)),1,MATCH(Transactions[[#This Row],[TransType]],TransTypes[TransType],0))</f>
        <v>19</v>
      </c>
      <c r="M324" s="80">
        <f>IF( AND( INDEX(TransTypes[],Transactions[[#This Row],[TTR]],TT_COL_GLFlag)=1, INDEX(TransTypes[],Transactions[[#This Row],[TTR]],TT_COL_LONGORSHORT)="S" ),
      Transactions[[#This Row],[PL]],
      IF(INDEX(TransTypes[],Transactions[[#This Row],[TTR]],TT_COL_LONGORSHORT)="S",0,Transactions[[#This Row],[CalCashImpact]])
)</f>
        <v>0</v>
      </c>
      <c r="N324" s="81">
        <f>IF(VLOOKUP(Transactions[[#This Row],[Symbol]],Symbols[],COLUMN(Symbols[Currency])-COLUMN(Symbols[])+1,FALSE)=
       VLOOKUP(Transactions[[#This Row],[Account]],Accounts[],COLUMN(Accounts[Currency])-COLUMN(Accounts[])+1,FALSE),
     Transactions[[#This Row],[OrigCashImpact]],
     0
)</f>
        <v>0</v>
      </c>
      <c r="O32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-216422.82560061177</v>
      </c>
      <c r="P32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2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324" s="41">
        <f>ROW()</f>
        <v>324</v>
      </c>
      <c r="S3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-564.23714849999999</v>
      </c>
      <c r="T3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-564.23714849999999</v>
      </c>
      <c r="U32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324" s="86">
        <f>IF(INDEX(TransTypes[],Transactions[[#This Row],[TTR]],TT_COL_GLFlag)=1,Transactions[[#This Row],[CalCashImpact]]+Transactions[[#This Row],[CostImpact]],0)</f>
        <v>0</v>
      </c>
      <c r="W324" s="87">
        <f>Transactions[[#This Row],[Amount]]*INDEX(TransTypes[],Transactions[[#This Row],[TTR]],TT_COL_AmntSign)</f>
        <v>564.23714849999999</v>
      </c>
      <c r="X324" s="87">
        <f>IF(INDEX(TransTypes[],Transactions[[#This Row],[TTR]],TT_COL_LONGORSHORT)="S",
      IF( OR(INDEX(TransTypes[],Transactions[[#This Row],[TTR]],TT_COL_GLFlag)=1, INDEX(TransTypes[], Transactions[[#This Row],[TTR]], TT_COL_ShareTransferFlag)=1),
            Transactions[[#This Row],[CostImpact]]*-1,
            Transactions[[#This Row],[CalCashImpact]]
      ),
     0
)</f>
        <v>564.23714849999999</v>
      </c>
      <c r="Y324" s="88" t="str">
        <f>VLOOKUP(Transactions[[#This Row],[Symbol]],Symbols[], COLUMN(Symbols[Currency])-COLUMN(Symbols[])+1,FALSE)</f>
        <v>USD</v>
      </c>
    </row>
    <row r="325" spans="1:25">
      <c r="A325" s="75" t="s">
        <v>65</v>
      </c>
      <c r="B325" s="76">
        <v>43132</v>
      </c>
      <c r="C325" s="75" t="s">
        <v>160</v>
      </c>
      <c r="D325" s="75"/>
      <c r="E325" s="75" t="s">
        <v>418</v>
      </c>
      <c r="F325" s="77">
        <v>2</v>
      </c>
      <c r="G325" s="78">
        <v>6967.5</v>
      </c>
      <c r="H325" s="77">
        <v>4.0999999999999996</v>
      </c>
      <c r="I325" s="77"/>
      <c r="J325" s="79">
        <v>278704.09999999998</v>
      </c>
      <c r="K325" s="6"/>
      <c r="L325" s="20">
        <f>IF(ISNA(MATCH(Transactions[[#This Row],[TransType]],TransTypes[TransType],0)),1,MATCH(Transactions[[#This Row],[TransType]],TransTypes[TransType],0))</f>
        <v>20</v>
      </c>
      <c r="M325" s="80">
        <f>IF( AND( INDEX(TransTypes[],Transactions[[#This Row],[TTR]],TT_COL_GLFlag)=1, INDEX(TransTypes[],Transactions[[#This Row],[TTR]],TT_COL_LONGORSHORT)="S" ),
      Transactions[[#This Row],[PL]],
      IF(INDEX(TransTypes[],Transactions[[#This Row],[TTR]],TT_COL_LONGORSHORT)="S",0,Transactions[[#This Row],[CalCashImpact]])
)</f>
        <v>-1748.1999999999534</v>
      </c>
      <c r="N325" s="81">
        <f>IF(VLOOKUP(Transactions[[#This Row],[Symbol]],Symbols[],COLUMN(Symbols[Currency])-COLUMN(Symbols[])+1,FALSE)=
       VLOOKUP(Transactions[[#This Row],[Account]],Accounts[],COLUMN(Accounts[Currency])-COLUMN(Accounts[])+1,FALSE),
     Transactions[[#This Row],[OrigCashImpact]],
     0
)</f>
        <v>-1748.1999999999534</v>
      </c>
      <c r="O32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-218171.02560061173</v>
      </c>
      <c r="P32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2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25" s="41">
        <f>ROW()</f>
        <v>325</v>
      </c>
      <c r="S3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276955.90000000002</v>
      </c>
      <c r="T3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2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325" s="86">
        <f>IF(INDEX(TransTypes[],Transactions[[#This Row],[TTR]],TT_COL_GLFlag)=1,Transactions[[#This Row],[CalCashImpact]]+Transactions[[#This Row],[CostImpact]],0)</f>
        <v>-1748.1999999999534</v>
      </c>
      <c r="W325" s="87">
        <f>Transactions[[#This Row],[Amount]]*INDEX(TransTypes[],Transactions[[#This Row],[TTR]],TT_COL_AmntSign)</f>
        <v>-278704.09999999998</v>
      </c>
      <c r="X325" s="87">
        <f>IF(INDEX(TransTypes[],Transactions[[#This Row],[TTR]],TT_COL_LONGORSHORT)="S",
      IF( OR(INDEX(TransTypes[],Transactions[[#This Row],[TTR]],TT_COL_GLFlag)=1, INDEX(TransTypes[], Transactions[[#This Row],[TTR]], TT_COL_ShareTransferFlag)=1),
            Transactions[[#This Row],[CostImpact]]*-1,
            Transactions[[#This Row],[CalCashImpact]]
      ),
     0
)</f>
        <v>-276955.90000000002</v>
      </c>
      <c r="Y325" s="88" t="str">
        <f>VLOOKUP(Transactions[[#This Row],[Symbol]],Symbols[], COLUMN(Symbols[Currency])-COLUMN(Symbols[])+1,FALSE)</f>
        <v>USD</v>
      </c>
    </row>
    <row r="326" spans="1:25">
      <c r="A326" s="75" t="s">
        <v>65</v>
      </c>
      <c r="B326" s="76">
        <v>43132</v>
      </c>
      <c r="C326" s="75" t="s">
        <v>156</v>
      </c>
      <c r="D326" s="75"/>
      <c r="E326" s="75" t="s">
        <v>211</v>
      </c>
      <c r="F326" s="77">
        <v>909</v>
      </c>
      <c r="G326" s="78">
        <v>6.2961299999999998</v>
      </c>
      <c r="H326" s="77"/>
      <c r="I326" s="77"/>
      <c r="J326" s="79">
        <v>5723.18217</v>
      </c>
      <c r="K326" s="6"/>
      <c r="L326" s="20">
        <f>IF(ISNA(MATCH(Transactions[[#This Row],[TransType]],TransTypes[TransType],0)),1,MATCH(Transactions[[#This Row],[TransType]],TransTypes[TransType],0))</f>
        <v>17</v>
      </c>
      <c r="M326" s="80">
        <f>IF( AND( INDEX(TransTypes[],Transactions[[#This Row],[TTR]],TT_COL_GLFlag)=1, INDEX(TransTypes[],Transactions[[#This Row],[TTR]],TT_COL_LONGORSHORT)="S" ),
      Transactions[[#This Row],[PL]],
      IF(INDEX(TransTypes[],Transactions[[#This Row],[TTR]],TT_COL_LONGORSHORT)="S",0,Transactions[[#This Row],[CalCashImpact]])
)</f>
        <v>-5723.18217</v>
      </c>
      <c r="N326" s="81">
        <f>IF(VLOOKUP(Transactions[[#This Row],[Symbol]],Symbols[],COLUMN(Symbols[Currency])-COLUMN(Symbols[])+1,FALSE)=
       VLOOKUP(Transactions[[#This Row],[Account]],Accounts[],COLUMN(Accounts[Currency])-COLUMN(Accounts[])+1,FALSE),
     Transactions[[#This Row],[OrigCashImpact]],
     0
)</f>
        <v>0</v>
      </c>
      <c r="O32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-218171.02560061173</v>
      </c>
      <c r="P32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2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26" s="41">
        <f>ROW()</f>
        <v>326</v>
      </c>
      <c r="S3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2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26" s="86">
        <f>IF(INDEX(TransTypes[],Transactions[[#This Row],[TTR]],TT_COL_GLFlag)=1,Transactions[[#This Row],[CalCashImpact]]+Transactions[[#This Row],[CostImpact]],0)</f>
        <v>0</v>
      </c>
      <c r="W326" s="87">
        <f>Transactions[[#This Row],[Amount]]*INDEX(TransTypes[],Transactions[[#This Row],[TTR]],TT_COL_AmntSign)</f>
        <v>-5723.18217</v>
      </c>
      <c r="X326" s="87">
        <f>IF(INDEX(TransTypes[],Transactions[[#This Row],[TTR]],TT_COL_LONGORSHORT)="S",
      IF( OR(INDEX(TransTypes[],Transactions[[#This Row],[TTR]],TT_COL_GLFlag)=1, INDEX(TransTypes[], Transactions[[#This Row],[TTR]], TT_COL_ShareTransferFlag)=1),
            Transactions[[#This Row],[CostImpact]]*-1,
            Transactions[[#This Row],[CalCashImpact]]
      ),
     0
)</f>
        <v>0</v>
      </c>
      <c r="Y326" s="88" t="str">
        <f>VLOOKUP(Transactions[[#This Row],[Symbol]],Symbols[], COLUMN(Symbols[Currency])-COLUMN(Symbols[])+1,FALSE)</f>
        <v>CNY</v>
      </c>
    </row>
    <row r="327" spans="1:25">
      <c r="A327" s="75" t="s">
        <v>65</v>
      </c>
      <c r="B327" s="76">
        <v>43132</v>
      </c>
      <c r="C327" s="75" t="s">
        <v>239</v>
      </c>
      <c r="D327" s="75"/>
      <c r="E327" s="75" t="s">
        <v>208</v>
      </c>
      <c r="F327" s="77">
        <v>909</v>
      </c>
      <c r="G327" s="78">
        <v>1</v>
      </c>
      <c r="H327" s="77">
        <v>2</v>
      </c>
      <c r="I327" s="77"/>
      <c r="J327" s="79">
        <v>911</v>
      </c>
      <c r="K327" s="6" t="s">
        <v>429</v>
      </c>
      <c r="L327" s="20">
        <f>IF(ISNA(MATCH(Transactions[[#This Row],[TransType]],TransTypes[TransType],0)),1,MATCH(Transactions[[#This Row],[TransType]],TransTypes[TransType],0))</f>
        <v>18</v>
      </c>
      <c r="M327" s="80">
        <f>IF( AND( INDEX(TransTypes[],Transactions[[#This Row],[TTR]],TT_COL_GLFlag)=1, INDEX(TransTypes[],Transactions[[#This Row],[TTR]],TT_COL_LONGORSHORT)="S" ),
      Transactions[[#This Row],[PL]],
      IF(INDEX(TransTypes[],Transactions[[#This Row],[TTR]],TT_COL_LONGORSHORT)="S",0,Transactions[[#This Row],[CalCashImpact]])
)</f>
        <v>911</v>
      </c>
      <c r="N327" s="81">
        <f>IF(VLOOKUP(Transactions[[#This Row],[Symbol]],Symbols[],COLUMN(Symbols[Currency])-COLUMN(Symbols[])+1,FALSE)=
       VLOOKUP(Transactions[[#This Row],[Account]],Accounts[],COLUMN(Accounts[Currency])-COLUMN(Accounts[])+1,FALSE),
     Transactions[[#This Row],[OrigCashImpact]],
     0
)</f>
        <v>911</v>
      </c>
      <c r="O32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-217260.02560061173</v>
      </c>
      <c r="P32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2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27" s="41">
        <f>ROW()</f>
        <v>327</v>
      </c>
      <c r="S3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2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27" s="86">
        <f>IF(INDEX(TransTypes[],Transactions[[#This Row],[TTR]],TT_COL_GLFlag)=1,Transactions[[#This Row],[CalCashImpact]]+Transactions[[#This Row],[CostImpact]],0)</f>
        <v>0</v>
      </c>
      <c r="W327" s="87">
        <f>Transactions[[#This Row],[Amount]]*INDEX(TransTypes[],Transactions[[#This Row],[TTR]],TT_COL_AmntSign)</f>
        <v>911</v>
      </c>
      <c r="X327" s="87">
        <f>IF(INDEX(TransTypes[],Transactions[[#This Row],[TTR]],TT_COL_LONGORSHORT)="S",
      IF( OR(INDEX(TransTypes[],Transactions[[#This Row],[TTR]],TT_COL_GLFlag)=1, INDEX(TransTypes[], Transactions[[#This Row],[TTR]], TT_COL_ShareTransferFlag)=1),
            Transactions[[#This Row],[CostImpact]]*-1,
            Transactions[[#This Row],[CalCashImpact]]
      ),
     0
)</f>
        <v>0</v>
      </c>
      <c r="Y327" s="88" t="str">
        <f>VLOOKUP(Transactions[[#This Row],[Symbol]],Symbols[], COLUMN(Symbols[Currency])-COLUMN(Symbols[])+1,FALSE)</f>
        <v>USD</v>
      </c>
    </row>
    <row r="328" spans="1:25">
      <c r="A328" s="75" t="s">
        <v>65</v>
      </c>
      <c r="B328" s="76">
        <v>43132</v>
      </c>
      <c r="C328" s="75" t="s">
        <v>156</v>
      </c>
      <c r="D328" s="75"/>
      <c r="E328" s="75" t="s">
        <v>210</v>
      </c>
      <c r="F328" s="77">
        <v>65400</v>
      </c>
      <c r="G328" s="78">
        <v>7.8215199999999996</v>
      </c>
      <c r="H328" s="77"/>
      <c r="I328" s="77"/>
      <c r="J328" s="79">
        <v>511527.408</v>
      </c>
      <c r="K328" s="6"/>
      <c r="L328" s="20">
        <f>IF(ISNA(MATCH(Transactions[[#This Row],[TransType]],TransTypes[TransType],0)),1,MATCH(Transactions[[#This Row],[TransType]],TransTypes[TransType],0))</f>
        <v>17</v>
      </c>
      <c r="M328" s="80">
        <f>IF( AND( INDEX(TransTypes[],Transactions[[#This Row],[TTR]],TT_COL_GLFlag)=1, INDEX(TransTypes[],Transactions[[#This Row],[TTR]],TT_COL_LONGORSHORT)="S" ),
      Transactions[[#This Row],[PL]],
      IF(INDEX(TransTypes[],Transactions[[#This Row],[TTR]],TT_COL_LONGORSHORT)="S",0,Transactions[[#This Row],[CalCashImpact]])
)</f>
        <v>-511527.408</v>
      </c>
      <c r="N328" s="81">
        <f>IF(VLOOKUP(Transactions[[#This Row],[Symbol]],Symbols[],COLUMN(Symbols[Currency])-COLUMN(Symbols[])+1,FALSE)=
       VLOOKUP(Transactions[[#This Row],[Account]],Accounts[],COLUMN(Accounts[Currency])-COLUMN(Accounts[])+1,FALSE),
     Transactions[[#This Row],[OrigCashImpact]],
     0
)</f>
        <v>0</v>
      </c>
      <c r="O32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-217260.02560061173</v>
      </c>
      <c r="P32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2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28" s="41">
        <f>ROW()</f>
        <v>328</v>
      </c>
      <c r="S3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2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28" s="86">
        <f>IF(INDEX(TransTypes[],Transactions[[#This Row],[TTR]],TT_COL_GLFlag)=1,Transactions[[#This Row],[CalCashImpact]]+Transactions[[#This Row],[CostImpact]],0)</f>
        <v>0</v>
      </c>
      <c r="W328" s="87">
        <f>Transactions[[#This Row],[Amount]]*INDEX(TransTypes[],Transactions[[#This Row],[TTR]],TT_COL_AmntSign)</f>
        <v>-511527.408</v>
      </c>
      <c r="X328" s="87">
        <f>IF(INDEX(TransTypes[],Transactions[[#This Row],[TTR]],TT_COL_LONGORSHORT)="S",
      IF( OR(INDEX(TransTypes[],Transactions[[#This Row],[TTR]],TT_COL_GLFlag)=1, INDEX(TransTypes[], Transactions[[#This Row],[TTR]], TT_COL_ShareTransferFlag)=1),
            Transactions[[#This Row],[CostImpact]]*-1,
            Transactions[[#This Row],[CalCashImpact]]
      ),
     0
)</f>
        <v>0</v>
      </c>
      <c r="Y328" s="88" t="str">
        <f>VLOOKUP(Transactions[[#This Row],[Symbol]],Symbols[], COLUMN(Symbols[Currency])-COLUMN(Symbols[])+1,FALSE)</f>
        <v>HKD</v>
      </c>
    </row>
    <row r="329" spans="1:25">
      <c r="A329" s="75" t="s">
        <v>65</v>
      </c>
      <c r="B329" s="76">
        <v>43132</v>
      </c>
      <c r="C329" s="75" t="s">
        <v>239</v>
      </c>
      <c r="D329" s="75"/>
      <c r="E329" s="75" t="s">
        <v>208</v>
      </c>
      <c r="F329" s="77">
        <v>65400</v>
      </c>
      <c r="G329" s="78">
        <v>1</v>
      </c>
      <c r="H329" s="77">
        <v>2</v>
      </c>
      <c r="I329" s="77"/>
      <c r="J329" s="79">
        <v>65402</v>
      </c>
      <c r="K329" s="6" t="s">
        <v>430</v>
      </c>
      <c r="L329" s="20">
        <f>IF(ISNA(MATCH(Transactions[[#This Row],[TransType]],TransTypes[TransType],0)),1,MATCH(Transactions[[#This Row],[TransType]],TransTypes[TransType],0))</f>
        <v>18</v>
      </c>
      <c r="M329" s="80">
        <f>IF( AND( INDEX(TransTypes[],Transactions[[#This Row],[TTR]],TT_COL_GLFlag)=1, INDEX(TransTypes[],Transactions[[#This Row],[TTR]],TT_COL_LONGORSHORT)="S" ),
      Transactions[[#This Row],[PL]],
      IF(INDEX(TransTypes[],Transactions[[#This Row],[TTR]],TT_COL_LONGORSHORT)="S",0,Transactions[[#This Row],[CalCashImpact]])
)</f>
        <v>65402</v>
      </c>
      <c r="N329" s="81">
        <f>IF(VLOOKUP(Transactions[[#This Row],[Symbol]],Symbols[],COLUMN(Symbols[Currency])-COLUMN(Symbols[])+1,FALSE)=
       VLOOKUP(Transactions[[#This Row],[Account]],Accounts[],COLUMN(Accounts[Currency])-COLUMN(Accounts[])+1,FALSE),
     Transactions[[#This Row],[OrigCashImpact]],
     0
)</f>
        <v>65402</v>
      </c>
      <c r="O32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-151858.02560061173</v>
      </c>
      <c r="P32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2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29" s="41">
        <f>ROW()</f>
        <v>329</v>
      </c>
      <c r="S3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2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29" s="86">
        <f>IF(INDEX(TransTypes[],Transactions[[#This Row],[TTR]],TT_COL_GLFlag)=1,Transactions[[#This Row],[CalCashImpact]]+Transactions[[#This Row],[CostImpact]],0)</f>
        <v>0</v>
      </c>
      <c r="W329" s="87">
        <f>Transactions[[#This Row],[Amount]]*INDEX(TransTypes[],Transactions[[#This Row],[TTR]],TT_COL_AmntSign)</f>
        <v>65402</v>
      </c>
      <c r="X329" s="87">
        <f>IF(INDEX(TransTypes[],Transactions[[#This Row],[TTR]],TT_COL_LONGORSHORT)="S",
      IF( OR(INDEX(TransTypes[],Transactions[[#This Row],[TTR]],TT_COL_GLFlag)=1, INDEX(TransTypes[], Transactions[[#This Row],[TTR]], TT_COL_ShareTransferFlag)=1),
            Transactions[[#This Row],[CostImpact]]*-1,
            Transactions[[#This Row],[CalCashImpact]]
      ),
     0
)</f>
        <v>0</v>
      </c>
      <c r="Y329" s="88" t="str">
        <f>VLOOKUP(Transactions[[#This Row],[Symbol]],Symbols[], COLUMN(Symbols[Currency])-COLUMN(Symbols[])+1,FALSE)</f>
        <v>USD</v>
      </c>
    </row>
    <row r="330" spans="1:25">
      <c r="A330" s="75" t="s">
        <v>65</v>
      </c>
      <c r="B330" s="76">
        <v>43132</v>
      </c>
      <c r="C330" s="75" t="s">
        <v>118</v>
      </c>
      <c r="D330" s="75"/>
      <c r="E330" s="75" t="s">
        <v>313</v>
      </c>
      <c r="F330" s="77">
        <v>3486</v>
      </c>
      <c r="G330" s="78"/>
      <c r="H330" s="77"/>
      <c r="I330" s="77"/>
      <c r="J330" s="79">
        <v>662.34</v>
      </c>
      <c r="K330" s="6" t="s">
        <v>344</v>
      </c>
      <c r="L330" s="20">
        <f>IF(ISNA(MATCH(Transactions[[#This Row],[TransType]],TransTypes[TransType],0)),1,MATCH(Transactions[[#This Row],[TransType]],TransTypes[TransType],0))</f>
        <v>4</v>
      </c>
      <c r="M330" s="80">
        <f>IF( AND( INDEX(TransTypes[],Transactions[[#This Row],[TTR]],TT_COL_GLFlag)=1, INDEX(TransTypes[],Transactions[[#This Row],[TTR]],TT_COL_LONGORSHORT)="S" ),
      Transactions[[#This Row],[PL]],
      IF(INDEX(TransTypes[],Transactions[[#This Row],[TTR]],TT_COL_LONGORSHORT)="S",0,Transactions[[#This Row],[CalCashImpact]])
)</f>
        <v>662.34</v>
      </c>
      <c r="N330" s="81">
        <f>IF(VLOOKUP(Transactions[[#This Row],[Symbol]],Symbols[],COLUMN(Symbols[Currency])-COLUMN(Symbols[])+1,FALSE)=
       VLOOKUP(Transactions[[#This Row],[Account]],Accounts[],COLUMN(Accounts[Currency])-COLUMN(Accounts[])+1,FALSE),
     Transactions[[#This Row],[OrigCashImpact]],
     0
)</f>
        <v>662.34</v>
      </c>
      <c r="O33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-151195.68560061173</v>
      </c>
      <c r="P33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3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330" s="41">
        <f>ROW()</f>
        <v>330</v>
      </c>
      <c r="S3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33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330" s="86">
        <f>IF(INDEX(TransTypes[],Transactions[[#This Row],[TTR]],TT_COL_GLFlag)=1,Transactions[[#This Row],[CalCashImpact]]+Transactions[[#This Row],[CostImpact]],0)</f>
        <v>0</v>
      </c>
      <c r="W330" s="87">
        <f>Transactions[[#This Row],[Amount]]*INDEX(TransTypes[],Transactions[[#This Row],[TTR]],TT_COL_AmntSign)</f>
        <v>662.34</v>
      </c>
      <c r="X330" s="87">
        <f>IF(INDEX(TransTypes[],Transactions[[#This Row],[TTR]],TT_COL_LONGORSHORT)="S",
      IF( OR(INDEX(TransTypes[],Transactions[[#This Row],[TTR]],TT_COL_GLFlag)=1, INDEX(TransTypes[], Transactions[[#This Row],[TTR]], TT_COL_ShareTransferFlag)=1),
            Transactions[[#This Row],[CostImpact]]*-1,
            Transactions[[#This Row],[CalCashImpact]]
      ),
     0
)</f>
        <v>0</v>
      </c>
      <c r="Y330" s="88" t="str">
        <f>VLOOKUP(Transactions[[#This Row],[Symbol]],Symbols[], COLUMN(Symbols[Currency])-COLUMN(Symbols[])+1,FALSE)</f>
        <v>USD</v>
      </c>
    </row>
    <row r="331" spans="1:25">
      <c r="A331" s="75" t="s">
        <v>65</v>
      </c>
      <c r="B331" s="76">
        <v>43132</v>
      </c>
      <c r="C331" s="75" t="s">
        <v>123</v>
      </c>
      <c r="D331" s="75"/>
      <c r="E331" s="75" t="s">
        <v>313</v>
      </c>
      <c r="F331" s="77"/>
      <c r="G331" s="78"/>
      <c r="H331" s="77"/>
      <c r="I331" s="77"/>
      <c r="J331" s="79">
        <v>99.35</v>
      </c>
      <c r="K331" s="6" t="s">
        <v>345</v>
      </c>
      <c r="L331" s="20">
        <f>IF(ISNA(MATCH(Transactions[[#This Row],[TransType]],TransTypes[TransType],0)),1,MATCH(Transactions[[#This Row],[TransType]],TransTypes[TransType],0))</f>
        <v>7</v>
      </c>
      <c r="M331" s="80">
        <f>IF( AND( INDEX(TransTypes[],Transactions[[#This Row],[TTR]],TT_COL_GLFlag)=1, INDEX(TransTypes[],Transactions[[#This Row],[TTR]],TT_COL_LONGORSHORT)="S" ),
      Transactions[[#This Row],[PL]],
      IF(INDEX(TransTypes[],Transactions[[#This Row],[TTR]],TT_COL_LONGORSHORT)="S",0,Transactions[[#This Row],[CalCashImpact]])
)</f>
        <v>-99.35</v>
      </c>
      <c r="N331" s="81">
        <f>IF(VLOOKUP(Transactions[[#This Row],[Symbol]],Symbols[],COLUMN(Symbols[Currency])-COLUMN(Symbols[])+1,FALSE)=
       VLOOKUP(Transactions[[#This Row],[Account]],Accounts[],COLUMN(Accounts[Currency])-COLUMN(Accounts[])+1,FALSE),
     Transactions[[#This Row],[OrigCashImpact]],
     0
)</f>
        <v>-99.35</v>
      </c>
      <c r="O33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-151295.03560061174</v>
      </c>
      <c r="P33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3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331" s="41">
        <f>ROW()</f>
        <v>331</v>
      </c>
      <c r="S3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33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331" s="86">
        <f>IF(INDEX(TransTypes[],Transactions[[#This Row],[TTR]],TT_COL_GLFlag)=1,Transactions[[#This Row],[CalCashImpact]]+Transactions[[#This Row],[CostImpact]],0)</f>
        <v>0</v>
      </c>
      <c r="W331" s="87">
        <f>Transactions[[#This Row],[Amount]]*INDEX(TransTypes[],Transactions[[#This Row],[TTR]],TT_COL_AmntSign)</f>
        <v>-99.35</v>
      </c>
      <c r="X331" s="87">
        <f>IF(INDEX(TransTypes[],Transactions[[#This Row],[TTR]],TT_COL_LONGORSHORT)="S",
      IF( OR(INDEX(TransTypes[],Transactions[[#This Row],[TTR]],TT_COL_GLFlag)=1, INDEX(TransTypes[], Transactions[[#This Row],[TTR]], TT_COL_ShareTransferFlag)=1),
            Transactions[[#This Row],[CostImpact]]*-1,
            Transactions[[#This Row],[CalCashImpact]]
      ),
     0
)</f>
        <v>0</v>
      </c>
      <c r="Y331" s="88" t="str">
        <f>VLOOKUP(Transactions[[#This Row],[Symbol]],Symbols[], COLUMN(Symbols[Currency])-COLUMN(Symbols[])+1,FALSE)</f>
        <v>USD</v>
      </c>
    </row>
    <row r="332" spans="1:25">
      <c r="A332" s="75" t="s">
        <v>65</v>
      </c>
      <c r="B332" s="76">
        <v>43133</v>
      </c>
      <c r="C332" s="75" t="s">
        <v>113</v>
      </c>
      <c r="D332" s="75"/>
      <c r="E332" s="75" t="s">
        <v>278</v>
      </c>
      <c r="F332" s="77">
        <v>20</v>
      </c>
      <c r="G332" s="78">
        <v>1466.78</v>
      </c>
      <c r="H332" s="77">
        <v>1</v>
      </c>
      <c r="I332" s="77"/>
      <c r="J332" s="79">
        <v>29336.6</v>
      </c>
      <c r="K332" s="6"/>
      <c r="L332" s="20">
        <f>IF(ISNA(MATCH(Transactions[[#This Row],[TransType]],TransTypes[TransType],0)),1,MATCH(Transactions[[#This Row],[TransType]],TransTypes[TransType],0))</f>
        <v>2</v>
      </c>
      <c r="M332" s="80">
        <f>IF( AND( INDEX(TransTypes[],Transactions[[#This Row],[TTR]],TT_COL_GLFlag)=1, INDEX(TransTypes[],Transactions[[#This Row],[TTR]],TT_COL_LONGORSHORT)="S" ),
      Transactions[[#This Row],[PL]],
      IF(INDEX(TransTypes[],Transactions[[#This Row],[TTR]],TT_COL_LONGORSHORT)="S",0,Transactions[[#This Row],[CalCashImpact]])
)</f>
        <v>-29336.6</v>
      </c>
      <c r="N332" s="81">
        <f>IF(VLOOKUP(Transactions[[#This Row],[Symbol]],Symbols[],COLUMN(Symbols[Currency])-COLUMN(Symbols[])+1,FALSE)=
       VLOOKUP(Transactions[[#This Row],[Account]],Accounts[],COLUMN(Accounts[Currency])-COLUMN(Accounts[])+1,FALSE),
     Transactions[[#This Row],[OrigCashImpact]],
     0
)</f>
        <v>-29336.6</v>
      </c>
      <c r="O33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-180631.63560061174</v>
      </c>
      <c r="P33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v>
      </c>
      <c r="Q33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v>
      </c>
      <c r="R332" s="41">
        <f>ROW()</f>
        <v>332</v>
      </c>
      <c r="S3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29336.6</v>
      </c>
      <c r="T3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152339.29999999999</v>
      </c>
      <c r="U33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v>
      </c>
      <c r="V332" s="86">
        <f>IF(INDEX(TransTypes[],Transactions[[#This Row],[TTR]],TT_COL_GLFlag)=1,Transactions[[#This Row],[CalCashImpact]]+Transactions[[#This Row],[CostImpact]],0)</f>
        <v>0</v>
      </c>
      <c r="W332" s="87">
        <f>Transactions[[#This Row],[Amount]]*INDEX(TransTypes[],Transactions[[#This Row],[TTR]],TT_COL_AmntSign)</f>
        <v>-29336.6</v>
      </c>
      <c r="X332" s="87">
        <f>IF(INDEX(TransTypes[],Transactions[[#This Row],[TTR]],TT_COL_LONGORSHORT)="S",
      IF( OR(INDEX(TransTypes[],Transactions[[#This Row],[TTR]],TT_COL_GLFlag)=1, INDEX(TransTypes[], Transactions[[#This Row],[TTR]], TT_COL_ShareTransferFlag)=1),
            Transactions[[#This Row],[CostImpact]]*-1,
            Transactions[[#This Row],[CalCashImpact]]
      ),
     0
)</f>
        <v>0</v>
      </c>
      <c r="Y332" s="88" t="str">
        <f>VLOOKUP(Transactions[[#This Row],[Symbol]],Symbols[], COLUMN(Symbols[Currency])-COLUMN(Symbols[])+1,FALSE)</f>
        <v>USD</v>
      </c>
    </row>
    <row r="333" spans="1:25">
      <c r="A333" s="75" t="s">
        <v>65</v>
      </c>
      <c r="B333" s="76">
        <v>43133</v>
      </c>
      <c r="C333" s="75" t="s">
        <v>113</v>
      </c>
      <c r="D333" s="75"/>
      <c r="E333" s="75" t="s">
        <v>7</v>
      </c>
      <c r="F333" s="77">
        <v>20</v>
      </c>
      <c r="G333" s="78">
        <v>1123.99</v>
      </c>
      <c r="H333" s="77">
        <v>1</v>
      </c>
      <c r="I333" s="77"/>
      <c r="J333" s="79">
        <v>22480.799999999999</v>
      </c>
      <c r="K333" s="6"/>
      <c r="L333" s="20">
        <f>IF(ISNA(MATCH(Transactions[[#This Row],[TransType]],TransTypes[TransType],0)),1,MATCH(Transactions[[#This Row],[TransType]],TransTypes[TransType],0))</f>
        <v>2</v>
      </c>
      <c r="M333" s="80">
        <f>IF( AND( INDEX(TransTypes[],Transactions[[#This Row],[TTR]],TT_COL_GLFlag)=1, INDEX(TransTypes[],Transactions[[#This Row],[TTR]],TT_COL_LONGORSHORT)="S" ),
      Transactions[[#This Row],[PL]],
      IF(INDEX(TransTypes[],Transactions[[#This Row],[TTR]],TT_COL_LONGORSHORT)="S",0,Transactions[[#This Row],[CalCashImpact]])
)</f>
        <v>-22480.799999999999</v>
      </c>
      <c r="N333" s="81">
        <f>IF(VLOOKUP(Transactions[[#This Row],[Symbol]],Symbols[],COLUMN(Symbols[Currency])-COLUMN(Symbols[])+1,FALSE)=
       VLOOKUP(Transactions[[#This Row],[Account]],Accounts[],COLUMN(Accounts[Currency])-COLUMN(Accounts[])+1,FALSE),
     Transactions[[#This Row],[OrigCashImpact]],
     0
)</f>
        <v>-22480.799999999999</v>
      </c>
      <c r="O33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-203112.43560061173</v>
      </c>
      <c r="P33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v>
      </c>
      <c r="Q33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v>
      </c>
      <c r="R333" s="41">
        <f>ROW()</f>
        <v>333</v>
      </c>
      <c r="S3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22480.799999999999</v>
      </c>
      <c r="T3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151126.804</v>
      </c>
      <c r="U33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v>
      </c>
      <c r="V333" s="86">
        <f>IF(INDEX(TransTypes[],Transactions[[#This Row],[TTR]],TT_COL_GLFlag)=1,Transactions[[#This Row],[CalCashImpact]]+Transactions[[#This Row],[CostImpact]],0)</f>
        <v>0</v>
      </c>
      <c r="W333" s="87">
        <f>Transactions[[#This Row],[Amount]]*INDEX(TransTypes[],Transactions[[#This Row],[TTR]],TT_COL_AmntSign)</f>
        <v>-22480.799999999999</v>
      </c>
      <c r="X333" s="87">
        <f>IF(INDEX(TransTypes[],Transactions[[#This Row],[TTR]],TT_COL_LONGORSHORT)="S",
      IF( OR(INDEX(TransTypes[],Transactions[[#This Row],[TTR]],TT_COL_GLFlag)=1, INDEX(TransTypes[], Transactions[[#This Row],[TTR]], TT_COL_ShareTransferFlag)=1),
            Transactions[[#This Row],[CostImpact]]*-1,
            Transactions[[#This Row],[CalCashImpact]]
      ),
     0
)</f>
        <v>0</v>
      </c>
      <c r="Y333" s="88" t="str">
        <f>VLOOKUP(Transactions[[#This Row],[Symbol]],Symbols[], COLUMN(Symbols[Currency])-COLUMN(Symbols[])+1,FALSE)</f>
        <v>USD</v>
      </c>
    </row>
    <row r="334" spans="1:25">
      <c r="A334" s="75" t="s">
        <v>65</v>
      </c>
      <c r="B334" s="76">
        <v>43133</v>
      </c>
      <c r="C334" s="75" t="s">
        <v>115</v>
      </c>
      <c r="D334" s="75"/>
      <c r="E334" s="75" t="s">
        <v>311</v>
      </c>
      <c r="F334" s="77">
        <v>2500</v>
      </c>
      <c r="G334" s="78">
        <v>29.981556000000001</v>
      </c>
      <c r="H334" s="77">
        <v>13.628934858999999</v>
      </c>
      <c r="I334" s="77"/>
      <c r="J334" s="79">
        <v>74940.261065140905</v>
      </c>
      <c r="K334" s="6"/>
      <c r="L334" s="20">
        <f>IF(ISNA(MATCH(Transactions[[#This Row],[TransType]],TransTypes[TransType],0)),1,MATCH(Transactions[[#This Row],[TransType]],TransTypes[TransType],0))</f>
        <v>3</v>
      </c>
      <c r="M334" s="80">
        <f>IF( AND( INDEX(TransTypes[],Transactions[[#This Row],[TTR]],TT_COL_GLFlag)=1, INDEX(TransTypes[],Transactions[[#This Row],[TTR]],TT_COL_LONGORSHORT)="S" ),
      Transactions[[#This Row],[PL]],
      IF(INDEX(TransTypes[],Transactions[[#This Row],[TTR]],TT_COL_LONGORSHORT)="S",0,Transactions[[#This Row],[CalCashImpact]])
)</f>
        <v>74940.261065140905</v>
      </c>
      <c r="N334" s="81">
        <f>IF(VLOOKUP(Transactions[[#This Row],[Symbol]],Symbols[],COLUMN(Symbols[Currency])-COLUMN(Symbols[])+1,FALSE)=
       VLOOKUP(Transactions[[#This Row],[Account]],Accounts[],COLUMN(Accounts[Currency])-COLUMN(Accounts[])+1,FALSE),
     Transactions[[#This Row],[OrigCashImpact]],
     0
)</f>
        <v>74940.261065140905</v>
      </c>
      <c r="O33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-128172.17453547083</v>
      </c>
      <c r="P33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v>
      </c>
      <c r="Q33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334" s="41">
        <f>ROW()</f>
        <v>334</v>
      </c>
      <c r="S3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-63640.445499999958</v>
      </c>
      <c r="T3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101824.71279999994</v>
      </c>
      <c r="U33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6500</v>
      </c>
      <c r="V334" s="86">
        <f>IF(INDEX(TransTypes[],Transactions[[#This Row],[TTR]],TT_COL_GLFlag)=1,Transactions[[#This Row],[CalCashImpact]]+Transactions[[#This Row],[CostImpact]],0)</f>
        <v>11299.815565140947</v>
      </c>
      <c r="W334" s="87">
        <f>Transactions[[#This Row],[Amount]]*INDEX(TransTypes[],Transactions[[#This Row],[TTR]],TT_COL_AmntSign)</f>
        <v>74940.261065140905</v>
      </c>
      <c r="X334" s="87">
        <f>IF(INDEX(TransTypes[],Transactions[[#This Row],[TTR]],TT_COL_LONGORSHORT)="S",
      IF( OR(INDEX(TransTypes[],Transactions[[#This Row],[TTR]],TT_COL_GLFlag)=1, INDEX(TransTypes[], Transactions[[#This Row],[TTR]], TT_COL_ShareTransferFlag)=1),
            Transactions[[#This Row],[CostImpact]]*-1,
            Transactions[[#This Row],[CalCashImpact]]
      ),
     0
)</f>
        <v>0</v>
      </c>
      <c r="Y334" s="88" t="str">
        <f>VLOOKUP(Transactions[[#This Row],[Symbol]],Symbols[], COLUMN(Symbols[Currency])-COLUMN(Symbols[])+1,FALSE)</f>
        <v>USD</v>
      </c>
    </row>
    <row r="335" spans="1:25">
      <c r="A335" s="75" t="s">
        <v>65</v>
      </c>
      <c r="B335" s="76">
        <v>43133</v>
      </c>
      <c r="C335" s="75" t="s">
        <v>115</v>
      </c>
      <c r="D335" s="75"/>
      <c r="E335" s="75" t="s">
        <v>322</v>
      </c>
      <c r="F335" s="77">
        <v>1500</v>
      </c>
      <c r="G335" s="78">
        <v>116.39</v>
      </c>
      <c r="H335" s="77">
        <v>11.711413500000001</v>
      </c>
      <c r="I335" s="77"/>
      <c r="J335" s="79">
        <v>174573.28858650001</v>
      </c>
      <c r="K335" s="6"/>
      <c r="L335" s="20">
        <f>IF(ISNA(MATCH(Transactions[[#This Row],[TransType]],TransTypes[TransType],0)),1,MATCH(Transactions[[#This Row],[TransType]],TransTypes[TransType],0))</f>
        <v>3</v>
      </c>
      <c r="M335" s="80">
        <f>IF( AND( INDEX(TransTypes[],Transactions[[#This Row],[TTR]],TT_COL_GLFlag)=1, INDEX(TransTypes[],Transactions[[#This Row],[TTR]],TT_COL_LONGORSHORT)="S" ),
      Transactions[[#This Row],[PL]],
      IF(INDEX(TransTypes[],Transactions[[#This Row],[TTR]],TT_COL_LONGORSHORT)="S",0,Transactions[[#This Row],[CalCashImpact]])
)</f>
        <v>174573.28858650001</v>
      </c>
      <c r="N335" s="81">
        <f>IF(VLOOKUP(Transactions[[#This Row],[Symbol]],Symbols[],COLUMN(Symbols[Currency])-COLUMN(Symbols[])+1,FALSE)=
       VLOOKUP(Transactions[[#This Row],[Account]],Accounts[],COLUMN(Accounts[Currency])-COLUMN(Accounts[])+1,FALSE),
     Transactions[[#This Row],[OrigCashImpact]],
     0
)</f>
        <v>174573.28858650001</v>
      </c>
      <c r="O33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46401.114051029173</v>
      </c>
      <c r="P33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v>
      </c>
      <c r="Q33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35" s="41">
        <f>ROW()</f>
        <v>335</v>
      </c>
      <c r="S3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-189072.26699999999</v>
      </c>
      <c r="T3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3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335" s="86">
        <f>IF(INDEX(TransTypes[],Transactions[[#This Row],[TTR]],TT_COL_GLFlag)=1,Transactions[[#This Row],[CalCashImpact]]+Transactions[[#This Row],[CostImpact]],0)</f>
        <v>-14498.978413499979</v>
      </c>
      <c r="W335" s="87">
        <f>Transactions[[#This Row],[Amount]]*INDEX(TransTypes[],Transactions[[#This Row],[TTR]],TT_COL_AmntSign)</f>
        <v>174573.28858650001</v>
      </c>
      <c r="X335" s="87">
        <f>IF(INDEX(TransTypes[],Transactions[[#This Row],[TTR]],TT_COL_LONGORSHORT)="S",
      IF( OR(INDEX(TransTypes[],Transactions[[#This Row],[TTR]],TT_COL_GLFlag)=1, INDEX(TransTypes[], Transactions[[#This Row],[TTR]], TT_COL_ShareTransferFlag)=1),
            Transactions[[#This Row],[CostImpact]]*-1,
            Transactions[[#This Row],[CalCashImpact]]
      ),
     0
)</f>
        <v>0</v>
      </c>
      <c r="Y335" s="88" t="str">
        <f>VLOOKUP(Transactions[[#This Row],[Symbol]],Symbols[], COLUMN(Symbols[Currency])-COLUMN(Symbols[])+1,FALSE)</f>
        <v>USD</v>
      </c>
    </row>
    <row r="336" spans="1:25">
      <c r="A336" s="75" t="s">
        <v>65</v>
      </c>
      <c r="B336" s="76">
        <v>43135</v>
      </c>
      <c r="C336" s="75" t="s">
        <v>158</v>
      </c>
      <c r="D336" s="75"/>
      <c r="E336" s="75" t="s">
        <v>416</v>
      </c>
      <c r="F336" s="77">
        <v>2</v>
      </c>
      <c r="G336" s="78">
        <v>31942</v>
      </c>
      <c r="H336" s="77">
        <v>60</v>
      </c>
      <c r="I336" s="77"/>
      <c r="J336" s="79">
        <v>3194140</v>
      </c>
      <c r="K336" s="6"/>
      <c r="L336" s="20">
        <f>IF(ISNA(MATCH(Transactions[[#This Row],[TransType]],TransTypes[TransType],0)),1,MATCH(Transactions[[#This Row],[TransType]],TransTypes[TransType],0))</f>
        <v>19</v>
      </c>
      <c r="M336" s="80">
        <f>IF( AND( INDEX(TransTypes[],Transactions[[#This Row],[TTR]],TT_COL_GLFlag)=1, INDEX(TransTypes[],Transactions[[#This Row],[TTR]],TT_COL_LONGORSHORT)="S" ),
      Transactions[[#This Row],[PL]],
      IF(INDEX(TransTypes[],Transactions[[#This Row],[TTR]],TT_COL_LONGORSHORT)="S",0,Transactions[[#This Row],[CalCashImpact]])
)</f>
        <v>0</v>
      </c>
      <c r="N336" s="81">
        <f>IF(VLOOKUP(Transactions[[#This Row],[Symbol]],Symbols[],COLUMN(Symbols[Currency])-COLUMN(Symbols[])+1,FALSE)=
       VLOOKUP(Transactions[[#This Row],[Account]],Accounts[],COLUMN(Accounts[Currency])-COLUMN(Accounts[])+1,FALSE),
     Transactions[[#This Row],[OrigCashImpact]],
     0
)</f>
        <v>0</v>
      </c>
      <c r="O33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46401.114051029188</v>
      </c>
      <c r="P33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3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v>
      </c>
      <c r="R336" s="41">
        <f>ROW()</f>
        <v>336</v>
      </c>
      <c r="S3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-3194140</v>
      </c>
      <c r="T3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-3194140</v>
      </c>
      <c r="U33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336" s="86">
        <f>IF(INDEX(TransTypes[],Transactions[[#This Row],[TTR]],TT_COL_GLFlag)=1,Transactions[[#This Row],[CalCashImpact]]+Transactions[[#This Row],[CostImpact]],0)</f>
        <v>0</v>
      </c>
      <c r="W336" s="87">
        <f>Transactions[[#This Row],[Amount]]*INDEX(TransTypes[],Transactions[[#This Row],[TTR]],TT_COL_AmntSign)</f>
        <v>3194140</v>
      </c>
      <c r="X336" s="87">
        <f>IF(INDEX(TransTypes[],Transactions[[#This Row],[TTR]],TT_COL_LONGORSHORT)="S",
      IF( OR(INDEX(TransTypes[],Transactions[[#This Row],[TTR]],TT_COL_GLFlag)=1, INDEX(TransTypes[], Transactions[[#This Row],[TTR]], TT_COL_ShareTransferFlag)=1),
            Transactions[[#This Row],[CostImpact]]*-1,
            Transactions[[#This Row],[CalCashImpact]]
      ),
     0
)</f>
        <v>3194140</v>
      </c>
      <c r="Y336" s="88" t="str">
        <f>VLOOKUP(Transactions[[#This Row],[Symbol]],Symbols[], COLUMN(Symbols[Currency])-COLUMN(Symbols[])+1,FALSE)</f>
        <v>HKD</v>
      </c>
    </row>
    <row r="337" spans="1:25">
      <c r="A337" s="75" t="s">
        <v>65</v>
      </c>
      <c r="B337" s="76">
        <v>43135</v>
      </c>
      <c r="C337" s="75" t="s">
        <v>158</v>
      </c>
      <c r="D337" s="75"/>
      <c r="E337" s="75" t="s">
        <v>418</v>
      </c>
      <c r="F337" s="77">
        <v>2</v>
      </c>
      <c r="G337" s="78">
        <v>6737.5</v>
      </c>
      <c r="H337" s="77">
        <v>4.0999999999999996</v>
      </c>
      <c r="I337" s="77"/>
      <c r="J337" s="79">
        <v>269495.90000000002</v>
      </c>
      <c r="K337" s="6"/>
      <c r="L337" s="20">
        <f>IF(ISNA(MATCH(Transactions[[#This Row],[TransType]],TransTypes[TransType],0)),1,MATCH(Transactions[[#This Row],[TransType]],TransTypes[TransType],0))</f>
        <v>19</v>
      </c>
      <c r="M337" s="80">
        <f>IF( AND( INDEX(TransTypes[],Transactions[[#This Row],[TTR]],TT_COL_GLFlag)=1, INDEX(TransTypes[],Transactions[[#This Row],[TTR]],TT_COL_LONGORSHORT)="S" ),
      Transactions[[#This Row],[PL]],
      IF(INDEX(TransTypes[],Transactions[[#This Row],[TTR]],TT_COL_LONGORSHORT)="S",0,Transactions[[#This Row],[CalCashImpact]])
)</f>
        <v>0</v>
      </c>
      <c r="N337" s="81">
        <f>IF(VLOOKUP(Transactions[[#This Row],[Symbol]],Symbols[],COLUMN(Symbols[Currency])-COLUMN(Symbols[])+1,FALSE)=
       VLOOKUP(Transactions[[#This Row],[Account]],Accounts[],COLUMN(Accounts[Currency])-COLUMN(Accounts[])+1,FALSE),
     Transactions[[#This Row],[OrigCashImpact]],
     0
)</f>
        <v>0</v>
      </c>
      <c r="O33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46401.114051029188</v>
      </c>
      <c r="P33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3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v>
      </c>
      <c r="R337" s="41">
        <f>ROW()</f>
        <v>337</v>
      </c>
      <c r="S3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-269495.90000000002</v>
      </c>
      <c r="T3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-269495.90000000002</v>
      </c>
      <c r="U33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337" s="86">
        <f>IF(INDEX(TransTypes[],Transactions[[#This Row],[TTR]],TT_COL_GLFlag)=1,Transactions[[#This Row],[CalCashImpact]]+Transactions[[#This Row],[CostImpact]],0)</f>
        <v>0</v>
      </c>
      <c r="W337" s="87">
        <f>Transactions[[#This Row],[Amount]]*INDEX(TransTypes[],Transactions[[#This Row],[TTR]],TT_COL_AmntSign)</f>
        <v>269495.90000000002</v>
      </c>
      <c r="X337" s="87">
        <f>IF(INDEX(TransTypes[],Transactions[[#This Row],[TTR]],TT_COL_LONGORSHORT)="S",
      IF( OR(INDEX(TransTypes[],Transactions[[#This Row],[TTR]],TT_COL_GLFlag)=1, INDEX(TransTypes[], Transactions[[#This Row],[TTR]], TT_COL_ShareTransferFlag)=1),
            Transactions[[#This Row],[CostImpact]]*-1,
            Transactions[[#This Row],[CalCashImpact]]
      ),
     0
)</f>
        <v>269495.90000000002</v>
      </c>
      <c r="Y337" s="88" t="str">
        <f>VLOOKUP(Transactions[[#This Row],[Symbol]],Symbols[], COLUMN(Symbols[Currency])-COLUMN(Symbols[])+1,FALSE)</f>
        <v>USD</v>
      </c>
    </row>
    <row r="338" spans="1:25">
      <c r="A338" s="75" t="s">
        <v>65</v>
      </c>
      <c r="B338" s="76">
        <v>43136</v>
      </c>
      <c r="C338" s="75" t="s">
        <v>115</v>
      </c>
      <c r="D338" s="75"/>
      <c r="E338" s="75" t="s">
        <v>270</v>
      </c>
      <c r="F338" s="77">
        <v>20000</v>
      </c>
      <c r="G338" s="78">
        <v>18.2</v>
      </c>
      <c r="H338" s="77">
        <v>1038.856</v>
      </c>
      <c r="I338" s="77"/>
      <c r="J338" s="79">
        <v>362961.14399999997</v>
      </c>
      <c r="K338" s="6"/>
      <c r="L338" s="20">
        <f>IF(ISNA(MATCH(Transactions[[#This Row],[TransType]],TransTypes[TransType],0)),1,MATCH(Transactions[[#This Row],[TransType]],TransTypes[TransType],0))</f>
        <v>3</v>
      </c>
      <c r="M338" s="80">
        <f>IF( AND( INDEX(TransTypes[],Transactions[[#This Row],[TTR]],TT_COL_GLFlag)=1, INDEX(TransTypes[],Transactions[[#This Row],[TTR]],TT_COL_LONGORSHORT)="S" ),
      Transactions[[#This Row],[PL]],
      IF(INDEX(TransTypes[],Transactions[[#This Row],[TTR]],TT_COL_LONGORSHORT)="S",0,Transactions[[#This Row],[CalCashImpact]])
)</f>
        <v>362961.14399999997</v>
      </c>
      <c r="N338" s="81">
        <f>IF(VLOOKUP(Transactions[[#This Row],[Symbol]],Symbols[],COLUMN(Symbols[Currency])-COLUMN(Symbols[])+1,FALSE)=
       VLOOKUP(Transactions[[#This Row],[Account]],Accounts[],COLUMN(Accounts[Currency])-COLUMN(Accounts[])+1,FALSE),
     Transactions[[#This Row],[OrigCashImpact]],
     0
)</f>
        <v>0</v>
      </c>
      <c r="O33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46401.114051029188</v>
      </c>
      <c r="P33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33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338" s="41">
        <f>ROW()</f>
        <v>338</v>
      </c>
      <c r="S3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-349125.22287547169</v>
      </c>
      <c r="T3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349125.22287547169</v>
      </c>
      <c r="U33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40000</v>
      </c>
      <c r="V338" s="86">
        <f>IF(INDEX(TransTypes[],Transactions[[#This Row],[TTR]],TT_COL_GLFlag)=1,Transactions[[#This Row],[CalCashImpact]]+Transactions[[#This Row],[CostImpact]],0)</f>
        <v>13835.921124528279</v>
      </c>
      <c r="W338" s="87">
        <f>Transactions[[#This Row],[Amount]]*INDEX(TransTypes[],Transactions[[#This Row],[TTR]],TT_COL_AmntSign)</f>
        <v>362961.14399999997</v>
      </c>
      <c r="X338" s="87">
        <f>IF(INDEX(TransTypes[],Transactions[[#This Row],[TTR]],TT_COL_LONGORSHORT)="S",
      IF( OR(INDEX(TransTypes[],Transactions[[#This Row],[TTR]],TT_COL_GLFlag)=1, INDEX(TransTypes[], Transactions[[#This Row],[TTR]], TT_COL_ShareTransferFlag)=1),
            Transactions[[#This Row],[CostImpact]]*-1,
            Transactions[[#This Row],[CalCashImpact]]
      ),
     0
)</f>
        <v>0</v>
      </c>
      <c r="Y338" s="88" t="str">
        <f>VLOOKUP(Transactions[[#This Row],[Symbol]],Symbols[], COLUMN(Symbols[Currency])-COLUMN(Symbols[])+1,FALSE)</f>
        <v>HKD</v>
      </c>
    </row>
    <row r="339" spans="1:25">
      <c r="A339" s="75" t="s">
        <v>65</v>
      </c>
      <c r="B339" s="76">
        <v>43136</v>
      </c>
      <c r="C339" s="75" t="s">
        <v>115</v>
      </c>
      <c r="D339" s="75"/>
      <c r="E339" s="75" t="s">
        <v>270</v>
      </c>
      <c r="F339" s="77">
        <v>20000</v>
      </c>
      <c r="G339" s="78">
        <v>17.100000000000001</v>
      </c>
      <c r="H339" s="77">
        <v>986.06799999999998</v>
      </c>
      <c r="I339" s="77"/>
      <c r="J339" s="79">
        <v>341013.93199999997</v>
      </c>
      <c r="K339" s="6"/>
      <c r="L339" s="20">
        <f>IF(ISNA(MATCH(Transactions[[#This Row],[TransType]],TransTypes[TransType],0)),1,MATCH(Transactions[[#This Row],[TransType]],TransTypes[TransType],0))</f>
        <v>3</v>
      </c>
      <c r="M339" s="80">
        <f>IF( AND( INDEX(TransTypes[],Transactions[[#This Row],[TTR]],TT_COL_GLFlag)=1, INDEX(TransTypes[],Transactions[[#This Row],[TTR]],TT_COL_LONGORSHORT)="S" ),
      Transactions[[#This Row],[PL]],
      IF(INDEX(TransTypes[],Transactions[[#This Row],[TTR]],TT_COL_LONGORSHORT)="S",0,Transactions[[#This Row],[CalCashImpact]])
)</f>
        <v>341013.93199999997</v>
      </c>
      <c r="N339" s="81">
        <f>IF(VLOOKUP(Transactions[[#This Row],[Symbol]],Symbols[],COLUMN(Symbols[Currency])-COLUMN(Symbols[])+1,FALSE)=
       VLOOKUP(Transactions[[#This Row],[Account]],Accounts[],COLUMN(Accounts[Currency])-COLUMN(Accounts[])+1,FALSE),
     Transactions[[#This Row],[OrigCashImpact]],
     0
)</f>
        <v>0</v>
      </c>
      <c r="O33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46401.114051029188</v>
      </c>
      <c r="P33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33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39" s="41">
        <f>ROW()</f>
        <v>339</v>
      </c>
      <c r="S3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-349125.22287547169</v>
      </c>
      <c r="T3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3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339" s="86">
        <f>IF(INDEX(TransTypes[],Transactions[[#This Row],[TTR]],TT_COL_GLFlag)=1,Transactions[[#This Row],[CalCashImpact]]+Transactions[[#This Row],[CostImpact]],0)</f>
        <v>-8111.2908754717209</v>
      </c>
      <c r="W339" s="87">
        <f>Transactions[[#This Row],[Amount]]*INDEX(TransTypes[],Transactions[[#This Row],[TTR]],TT_COL_AmntSign)</f>
        <v>341013.93199999997</v>
      </c>
      <c r="X339" s="87">
        <f>IF(INDEX(TransTypes[],Transactions[[#This Row],[TTR]],TT_COL_LONGORSHORT)="S",
      IF( OR(INDEX(TransTypes[],Transactions[[#This Row],[TTR]],TT_COL_GLFlag)=1, INDEX(TransTypes[], Transactions[[#This Row],[TTR]], TT_COL_ShareTransferFlag)=1),
            Transactions[[#This Row],[CostImpact]]*-1,
            Transactions[[#This Row],[CalCashImpact]]
      ),
     0
)</f>
        <v>0</v>
      </c>
      <c r="Y339" s="88" t="str">
        <f>VLOOKUP(Transactions[[#This Row],[Symbol]],Symbols[], COLUMN(Symbols[Currency])-COLUMN(Symbols[])+1,FALSE)</f>
        <v>HKD</v>
      </c>
    </row>
    <row r="340" spans="1:25">
      <c r="A340" s="75" t="s">
        <v>65</v>
      </c>
      <c r="B340" s="76">
        <v>43136</v>
      </c>
      <c r="C340" s="75" t="s">
        <v>113</v>
      </c>
      <c r="D340" s="75"/>
      <c r="E340" s="75" t="s">
        <v>403</v>
      </c>
      <c r="F340" s="77">
        <v>37000</v>
      </c>
      <c r="G340" s="78">
        <v>8.98</v>
      </c>
      <c r="H340" s="77">
        <v>949.75003999999899</v>
      </c>
      <c r="I340" s="77"/>
      <c r="J340" s="79">
        <v>333209.75004000001</v>
      </c>
      <c r="K340" s="6"/>
      <c r="L340" s="20">
        <f>IF(ISNA(MATCH(Transactions[[#This Row],[TransType]],TransTypes[TransType],0)),1,MATCH(Transactions[[#This Row],[TransType]],TransTypes[TransType],0))</f>
        <v>2</v>
      </c>
      <c r="M340" s="80">
        <f>IF( AND( INDEX(TransTypes[],Transactions[[#This Row],[TTR]],TT_COL_GLFlag)=1, INDEX(TransTypes[],Transactions[[#This Row],[TTR]],TT_COL_LONGORSHORT)="S" ),
      Transactions[[#This Row],[PL]],
      IF(INDEX(TransTypes[],Transactions[[#This Row],[TTR]],TT_COL_LONGORSHORT)="S",0,Transactions[[#This Row],[CalCashImpact]])
)</f>
        <v>-333209.75004000001</v>
      </c>
      <c r="N340" s="81">
        <f>IF(VLOOKUP(Transactions[[#This Row],[Symbol]],Symbols[],COLUMN(Symbols[Currency])-COLUMN(Symbols[])+1,FALSE)=
       VLOOKUP(Transactions[[#This Row],[Account]],Accounts[],COLUMN(Accounts[Currency])-COLUMN(Accounts[])+1,FALSE),
     Transactions[[#This Row],[OrigCashImpact]],
     0
)</f>
        <v>0</v>
      </c>
      <c r="O34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46401.114051029188</v>
      </c>
      <c r="P34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37000</v>
      </c>
      <c r="Q34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84000</v>
      </c>
      <c r="R340" s="41">
        <f>ROW()</f>
        <v>340</v>
      </c>
      <c r="S3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333209.75004000001</v>
      </c>
      <c r="T3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712174.45955999999</v>
      </c>
      <c r="U34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84000</v>
      </c>
      <c r="V340" s="86">
        <f>IF(INDEX(TransTypes[],Transactions[[#This Row],[TTR]],TT_COL_GLFlag)=1,Transactions[[#This Row],[CalCashImpact]]+Transactions[[#This Row],[CostImpact]],0)</f>
        <v>0</v>
      </c>
      <c r="W340" s="87">
        <f>Transactions[[#This Row],[Amount]]*INDEX(TransTypes[],Transactions[[#This Row],[TTR]],TT_COL_AmntSign)</f>
        <v>-333209.75004000001</v>
      </c>
      <c r="X340" s="87">
        <f>IF(INDEX(TransTypes[],Transactions[[#This Row],[TTR]],TT_COL_LONGORSHORT)="S",
      IF( OR(INDEX(TransTypes[],Transactions[[#This Row],[TTR]],TT_COL_GLFlag)=1, INDEX(TransTypes[], Transactions[[#This Row],[TTR]], TT_COL_ShareTransferFlag)=1),
            Transactions[[#This Row],[CostImpact]]*-1,
            Transactions[[#This Row],[CalCashImpact]]
      ),
     0
)</f>
        <v>0</v>
      </c>
      <c r="Y340" s="88" t="str">
        <f>VLOOKUP(Transactions[[#This Row],[Symbol]],Symbols[], COLUMN(Symbols[Currency])-COLUMN(Symbols[])+1,FALSE)</f>
        <v>HKD</v>
      </c>
    </row>
    <row r="341" spans="1:25">
      <c r="A341" s="75" t="s">
        <v>65</v>
      </c>
      <c r="B341" s="76">
        <v>43136</v>
      </c>
      <c r="C341" s="75" t="s">
        <v>115</v>
      </c>
      <c r="D341" s="75"/>
      <c r="E341" s="75" t="s">
        <v>311</v>
      </c>
      <c r="F341" s="77">
        <v>500</v>
      </c>
      <c r="G341" s="78">
        <v>28.660019999999999</v>
      </c>
      <c r="H341" s="77">
        <v>2.4905232310000001</v>
      </c>
      <c r="I341" s="77"/>
      <c r="J341" s="79">
        <v>14327.519476769001</v>
      </c>
      <c r="K341" s="6"/>
      <c r="L341" s="20">
        <f>IF(ISNA(MATCH(Transactions[[#This Row],[TransType]],TransTypes[TransType],0)),1,MATCH(Transactions[[#This Row],[TransType]],TransTypes[TransType],0))</f>
        <v>3</v>
      </c>
      <c r="M341" s="80">
        <f>IF( AND( INDEX(TransTypes[],Transactions[[#This Row],[TTR]],TT_COL_GLFlag)=1, INDEX(TransTypes[],Transactions[[#This Row],[TTR]],TT_COL_LONGORSHORT)="S" ),
      Transactions[[#This Row],[PL]],
      IF(INDEX(TransTypes[],Transactions[[#This Row],[TTR]],TT_COL_LONGORSHORT)="S",0,Transactions[[#This Row],[CalCashImpact]])
)</f>
        <v>14327.519476769001</v>
      </c>
      <c r="N341" s="81">
        <f>IF(VLOOKUP(Transactions[[#This Row],[Symbol]],Symbols[],COLUMN(Symbols[Currency])-COLUMN(Symbols[])+1,FALSE)=
       VLOOKUP(Transactions[[#This Row],[Account]],Accounts[],COLUMN(Accounts[Currency])-COLUMN(Accounts[])+1,FALSE),
     Transactions[[#This Row],[OrigCashImpact]],
     0
)</f>
        <v>14327.519476769001</v>
      </c>
      <c r="O34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60728.633527798185</v>
      </c>
      <c r="P34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34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341" s="41">
        <f>ROW()</f>
        <v>341</v>
      </c>
      <c r="S3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-12728.089099999992</v>
      </c>
      <c r="T3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89096.623699999938</v>
      </c>
      <c r="U34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341" s="86">
        <f>IF(INDEX(TransTypes[],Transactions[[#This Row],[TTR]],TT_COL_GLFlag)=1,Transactions[[#This Row],[CalCashImpact]]+Transactions[[#This Row],[CostImpact]],0)</f>
        <v>1599.4303767690089</v>
      </c>
      <c r="W341" s="87">
        <f>Transactions[[#This Row],[Amount]]*INDEX(TransTypes[],Transactions[[#This Row],[TTR]],TT_COL_AmntSign)</f>
        <v>14327.519476769001</v>
      </c>
      <c r="X341" s="87">
        <f>IF(INDEX(TransTypes[],Transactions[[#This Row],[TTR]],TT_COL_LONGORSHORT)="S",
      IF( OR(INDEX(TransTypes[],Transactions[[#This Row],[TTR]],TT_COL_GLFlag)=1, INDEX(TransTypes[], Transactions[[#This Row],[TTR]], TT_COL_ShareTransferFlag)=1),
            Transactions[[#This Row],[CostImpact]]*-1,
            Transactions[[#This Row],[CalCashImpact]]
      ),
     0
)</f>
        <v>0</v>
      </c>
      <c r="Y341" s="88" t="str">
        <f>VLOOKUP(Transactions[[#This Row],[Symbol]],Symbols[], COLUMN(Symbols[Currency])-COLUMN(Symbols[])+1,FALSE)</f>
        <v>USD</v>
      </c>
    </row>
    <row r="342" spans="1:25">
      <c r="A342" s="75" t="s">
        <v>65</v>
      </c>
      <c r="B342" s="76">
        <v>43136</v>
      </c>
      <c r="C342" s="75" t="s">
        <v>113</v>
      </c>
      <c r="D342" s="75"/>
      <c r="E342" s="75" t="s">
        <v>20</v>
      </c>
      <c r="F342" s="77">
        <v>200</v>
      </c>
      <c r="G342" s="78">
        <v>119.63</v>
      </c>
      <c r="H342" s="77">
        <v>1</v>
      </c>
      <c r="I342" s="77"/>
      <c r="J342" s="79">
        <v>23927</v>
      </c>
      <c r="K342" s="6"/>
      <c r="L342" s="20">
        <f>IF(ISNA(MATCH(Transactions[[#This Row],[TransType]],TransTypes[TransType],0)),1,MATCH(Transactions[[#This Row],[TransType]],TransTypes[TransType],0))</f>
        <v>2</v>
      </c>
      <c r="M342" s="80">
        <f>IF( AND( INDEX(TransTypes[],Transactions[[#This Row],[TTR]],TT_COL_GLFlag)=1, INDEX(TransTypes[],Transactions[[#This Row],[TTR]],TT_COL_LONGORSHORT)="S" ),
      Transactions[[#This Row],[PL]],
      IF(INDEX(TransTypes[],Transactions[[#This Row],[TTR]],TT_COL_LONGORSHORT)="S",0,Transactions[[#This Row],[CalCashImpact]])
)</f>
        <v>-23927</v>
      </c>
      <c r="N342" s="81">
        <f>IF(VLOOKUP(Transactions[[#This Row],[Symbol]],Symbols[],COLUMN(Symbols[Currency])-COLUMN(Symbols[])+1,FALSE)=
       VLOOKUP(Transactions[[#This Row],[Account]],Accounts[],COLUMN(Accounts[Currency])-COLUMN(Accounts[])+1,FALSE),
     Transactions[[#This Row],[OrigCashImpact]],
     0
)</f>
        <v>-23927</v>
      </c>
      <c r="O34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36801.633527798185</v>
      </c>
      <c r="P34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34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1948</v>
      </c>
      <c r="R342" s="41">
        <f>ROW()</f>
        <v>342</v>
      </c>
      <c r="S3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23927</v>
      </c>
      <c r="T3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242780.12352745948</v>
      </c>
      <c r="U34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1948</v>
      </c>
      <c r="V342" s="86">
        <f>IF(INDEX(TransTypes[],Transactions[[#This Row],[TTR]],TT_COL_GLFlag)=1,Transactions[[#This Row],[CalCashImpact]]+Transactions[[#This Row],[CostImpact]],0)</f>
        <v>0</v>
      </c>
      <c r="W342" s="87">
        <f>Transactions[[#This Row],[Amount]]*INDEX(TransTypes[],Transactions[[#This Row],[TTR]],TT_COL_AmntSign)</f>
        <v>-23927</v>
      </c>
      <c r="X342" s="87">
        <f>IF(INDEX(TransTypes[],Transactions[[#This Row],[TTR]],TT_COL_LONGORSHORT)="S",
      IF( OR(INDEX(TransTypes[],Transactions[[#This Row],[TTR]],TT_COL_GLFlag)=1, INDEX(TransTypes[], Transactions[[#This Row],[TTR]], TT_COL_ShareTransferFlag)=1),
            Transactions[[#This Row],[CostImpact]]*-1,
            Transactions[[#This Row],[CalCashImpact]]
      ),
     0
)</f>
        <v>0</v>
      </c>
      <c r="Y342" s="88" t="str">
        <f>VLOOKUP(Transactions[[#This Row],[Symbol]],Symbols[], COLUMN(Symbols[Currency])-COLUMN(Symbols[])+1,FALSE)</f>
        <v>USD</v>
      </c>
    </row>
    <row r="343" spans="1:25">
      <c r="A343" s="75" t="s">
        <v>65</v>
      </c>
      <c r="B343" s="76">
        <v>43136</v>
      </c>
      <c r="C343" s="75" t="s">
        <v>160</v>
      </c>
      <c r="D343" s="75"/>
      <c r="E343" s="75" t="s">
        <v>407</v>
      </c>
      <c r="F343" s="77">
        <v>1</v>
      </c>
      <c r="G343" s="78">
        <v>2.27</v>
      </c>
      <c r="H343" s="77">
        <v>0.74780000000000002</v>
      </c>
      <c r="I343" s="77"/>
      <c r="J343" s="79">
        <v>227.74780000000001</v>
      </c>
      <c r="K343" s="6"/>
      <c r="L343" s="20">
        <f>IF(ISNA(MATCH(Transactions[[#This Row],[TransType]],TransTypes[TransType],0)),1,MATCH(Transactions[[#This Row],[TransType]],TransTypes[TransType],0))</f>
        <v>20</v>
      </c>
      <c r="M343" s="80">
        <f>IF( AND( INDEX(TransTypes[],Transactions[[#This Row],[TTR]],TT_COL_GLFlag)=1, INDEX(TransTypes[],Transactions[[#This Row],[TTR]],TT_COL_LONGORSHORT)="S" ),
      Transactions[[#This Row],[PL]],
      IF(INDEX(TransTypes[],Transactions[[#This Row],[TTR]],TT_COL_LONGORSHORT)="S",0,Transactions[[#This Row],[CalCashImpact]])
)</f>
        <v>336.48934850000001</v>
      </c>
      <c r="N343" s="81">
        <f>IF(VLOOKUP(Transactions[[#This Row],[Symbol]],Symbols[],COLUMN(Symbols[Currency])-COLUMN(Symbols[])+1,FALSE)=
       VLOOKUP(Transactions[[#This Row],[Account]],Accounts[],COLUMN(Accounts[Currency])-COLUMN(Accounts[])+1,FALSE),
     Transactions[[#This Row],[OrigCashImpact]],
     0
)</f>
        <v>336.48934850000001</v>
      </c>
      <c r="O34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37138.122876298192</v>
      </c>
      <c r="P34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4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43" s="41">
        <f>ROW()</f>
        <v>343</v>
      </c>
      <c r="S3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564.23714849999999</v>
      </c>
      <c r="T3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4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343" s="86">
        <f>IF(INDEX(TransTypes[],Transactions[[#This Row],[TTR]],TT_COL_GLFlag)=1,Transactions[[#This Row],[CalCashImpact]]+Transactions[[#This Row],[CostImpact]],0)</f>
        <v>336.48934850000001</v>
      </c>
      <c r="W343" s="87">
        <f>Transactions[[#This Row],[Amount]]*INDEX(TransTypes[],Transactions[[#This Row],[TTR]],TT_COL_AmntSign)</f>
        <v>-227.74780000000001</v>
      </c>
      <c r="X343" s="87">
        <f>IF(INDEX(TransTypes[],Transactions[[#This Row],[TTR]],TT_COL_LONGORSHORT)="S",
      IF( OR(INDEX(TransTypes[],Transactions[[#This Row],[TTR]],TT_COL_GLFlag)=1, INDEX(TransTypes[], Transactions[[#This Row],[TTR]], TT_COL_ShareTransferFlag)=1),
            Transactions[[#This Row],[CostImpact]]*-1,
            Transactions[[#This Row],[CalCashImpact]]
      ),
     0
)</f>
        <v>-564.23714849999999</v>
      </c>
      <c r="Y343" s="88" t="str">
        <f>VLOOKUP(Transactions[[#This Row],[Symbol]],Symbols[], COLUMN(Symbols[Currency])-COLUMN(Symbols[])+1,FALSE)</f>
        <v>USD</v>
      </c>
    </row>
    <row r="344" spans="1:25">
      <c r="A344" s="75" t="s">
        <v>65</v>
      </c>
      <c r="B344" s="76">
        <v>43136</v>
      </c>
      <c r="C344" s="75" t="s">
        <v>113</v>
      </c>
      <c r="D344" s="75"/>
      <c r="E344" s="75" t="s">
        <v>408</v>
      </c>
      <c r="F344" s="77">
        <v>1</v>
      </c>
      <c r="G344" s="78">
        <v>45.4</v>
      </c>
      <c r="H344" s="77">
        <v>0.78779999999999994</v>
      </c>
      <c r="I344" s="77"/>
      <c r="J344" s="79">
        <v>4540.7878000000001</v>
      </c>
      <c r="K344" s="6"/>
      <c r="L344" s="20">
        <f>IF(ISNA(MATCH(Transactions[[#This Row],[TransType]],TransTypes[TransType],0)),1,MATCH(Transactions[[#This Row],[TransType]],TransTypes[TransType],0))</f>
        <v>2</v>
      </c>
      <c r="M344" s="80">
        <f>IF( AND( INDEX(TransTypes[],Transactions[[#This Row],[TTR]],TT_COL_GLFlag)=1, INDEX(TransTypes[],Transactions[[#This Row],[TTR]],TT_COL_LONGORSHORT)="S" ),
      Transactions[[#This Row],[PL]],
      IF(INDEX(TransTypes[],Transactions[[#This Row],[TTR]],TT_COL_LONGORSHORT)="S",0,Transactions[[#This Row],[CalCashImpact]])
)</f>
        <v>-4540.7878000000001</v>
      </c>
      <c r="N344" s="81">
        <f>IF(VLOOKUP(Transactions[[#This Row],[Symbol]],Symbols[],COLUMN(Symbols[Currency])-COLUMN(Symbols[])+1,FALSE)=
       VLOOKUP(Transactions[[#This Row],[Account]],Accounts[],COLUMN(Accounts[Currency])-COLUMN(Accounts[])+1,FALSE),
     Transactions[[#This Row],[OrigCashImpact]],
     0
)</f>
        <v>-4540.7878000000001</v>
      </c>
      <c r="O34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32597.335076298186</v>
      </c>
      <c r="P34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4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344" s="41">
        <f>ROW()</f>
        <v>344</v>
      </c>
      <c r="S3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4540.7878000000001</v>
      </c>
      <c r="T3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4540.7878000000001</v>
      </c>
      <c r="U34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344" s="86">
        <f>IF(INDEX(TransTypes[],Transactions[[#This Row],[TTR]],TT_COL_GLFlag)=1,Transactions[[#This Row],[CalCashImpact]]+Transactions[[#This Row],[CostImpact]],0)</f>
        <v>0</v>
      </c>
      <c r="W344" s="87">
        <f>Transactions[[#This Row],[Amount]]*INDEX(TransTypes[],Transactions[[#This Row],[TTR]],TT_COL_AmntSign)</f>
        <v>-4540.7878000000001</v>
      </c>
      <c r="X344" s="87">
        <f>IF(INDEX(TransTypes[],Transactions[[#This Row],[TTR]],TT_COL_LONGORSHORT)="S",
      IF( OR(INDEX(TransTypes[],Transactions[[#This Row],[TTR]],TT_COL_GLFlag)=1, INDEX(TransTypes[], Transactions[[#This Row],[TTR]], TT_COL_ShareTransferFlag)=1),
            Transactions[[#This Row],[CostImpact]]*-1,
            Transactions[[#This Row],[CalCashImpact]]
      ),
     0
)</f>
        <v>0</v>
      </c>
      <c r="Y344" s="88" t="str">
        <f>VLOOKUP(Transactions[[#This Row],[Symbol]],Symbols[], COLUMN(Symbols[Currency])-COLUMN(Symbols[])+1,FALSE)</f>
        <v>USD</v>
      </c>
    </row>
    <row r="345" spans="1:25">
      <c r="A345" s="75" t="s">
        <v>65</v>
      </c>
      <c r="B345" s="76">
        <v>43136</v>
      </c>
      <c r="C345" s="75" t="s">
        <v>115</v>
      </c>
      <c r="D345" s="75"/>
      <c r="E345" s="75" t="s">
        <v>408</v>
      </c>
      <c r="F345" s="77">
        <v>1</v>
      </c>
      <c r="G345" s="78">
        <v>43.8</v>
      </c>
      <c r="H345" s="77">
        <v>0.89097800000000005</v>
      </c>
      <c r="I345" s="77"/>
      <c r="J345" s="79">
        <v>4379.1090219999996</v>
      </c>
      <c r="K345" s="6"/>
      <c r="L345" s="20">
        <f>IF(ISNA(MATCH(Transactions[[#This Row],[TransType]],TransTypes[TransType],0)),1,MATCH(Transactions[[#This Row],[TransType]],TransTypes[TransType],0))</f>
        <v>3</v>
      </c>
      <c r="M345" s="80">
        <f>IF( AND( INDEX(TransTypes[],Transactions[[#This Row],[TTR]],TT_COL_GLFlag)=1, INDEX(TransTypes[],Transactions[[#This Row],[TTR]],TT_COL_LONGORSHORT)="S" ),
      Transactions[[#This Row],[PL]],
      IF(INDEX(TransTypes[],Transactions[[#This Row],[TTR]],TT_COL_LONGORSHORT)="S",0,Transactions[[#This Row],[CalCashImpact]])
)</f>
        <v>4379.1090219999996</v>
      </c>
      <c r="N345" s="81">
        <f>IF(VLOOKUP(Transactions[[#This Row],[Symbol]],Symbols[],COLUMN(Symbols[Currency])-COLUMN(Symbols[])+1,FALSE)=
       VLOOKUP(Transactions[[#This Row],[Account]],Accounts[],COLUMN(Accounts[Currency])-COLUMN(Accounts[])+1,FALSE),
     Transactions[[#This Row],[OrigCashImpact]],
     0
)</f>
        <v>4379.1090219999996</v>
      </c>
      <c r="O34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36976.444098298191</v>
      </c>
      <c r="P34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4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45" s="41">
        <f>ROW()</f>
        <v>345</v>
      </c>
      <c r="S3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-4540.7878000000001</v>
      </c>
      <c r="T3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4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345" s="86">
        <f>IF(INDEX(TransTypes[],Transactions[[#This Row],[TTR]],TT_COL_GLFlag)=1,Transactions[[#This Row],[CalCashImpact]]+Transactions[[#This Row],[CostImpact]],0)</f>
        <v>-161.67877800000042</v>
      </c>
      <c r="W345" s="87">
        <f>Transactions[[#This Row],[Amount]]*INDEX(TransTypes[],Transactions[[#This Row],[TTR]],TT_COL_AmntSign)</f>
        <v>4379.1090219999996</v>
      </c>
      <c r="X345" s="87">
        <f>IF(INDEX(TransTypes[],Transactions[[#This Row],[TTR]],TT_COL_LONGORSHORT)="S",
      IF( OR(INDEX(TransTypes[],Transactions[[#This Row],[TTR]],TT_COL_GLFlag)=1, INDEX(TransTypes[], Transactions[[#This Row],[TTR]], TT_COL_ShareTransferFlag)=1),
            Transactions[[#This Row],[CostImpact]]*-1,
            Transactions[[#This Row],[CalCashImpact]]
      ),
     0
)</f>
        <v>0</v>
      </c>
      <c r="Y345" s="88" t="str">
        <f>VLOOKUP(Transactions[[#This Row],[Symbol]],Symbols[], COLUMN(Symbols[Currency])-COLUMN(Symbols[])+1,FALSE)</f>
        <v>USD</v>
      </c>
    </row>
    <row r="346" spans="1:25">
      <c r="A346" s="75" t="s">
        <v>65</v>
      </c>
      <c r="B346" s="76">
        <v>43136</v>
      </c>
      <c r="C346" s="75" t="s">
        <v>113</v>
      </c>
      <c r="D346" s="75"/>
      <c r="E346" s="75" t="s">
        <v>409</v>
      </c>
      <c r="F346" s="77">
        <v>1</v>
      </c>
      <c r="G346" s="78">
        <v>45.8</v>
      </c>
      <c r="H346" s="77">
        <v>1.5878000000000001</v>
      </c>
      <c r="I346" s="77"/>
      <c r="J346" s="79">
        <v>4581.5878000000002</v>
      </c>
      <c r="K346" s="6"/>
      <c r="L346" s="20">
        <f>IF(ISNA(MATCH(Transactions[[#This Row],[TransType]],TransTypes[TransType],0)),1,MATCH(Transactions[[#This Row],[TransType]],TransTypes[TransType],0))</f>
        <v>2</v>
      </c>
      <c r="M346" s="80">
        <f>IF( AND( INDEX(TransTypes[],Transactions[[#This Row],[TTR]],TT_COL_GLFlag)=1, INDEX(TransTypes[],Transactions[[#This Row],[TTR]],TT_COL_LONGORSHORT)="S" ),
      Transactions[[#This Row],[PL]],
      IF(INDEX(TransTypes[],Transactions[[#This Row],[TTR]],TT_COL_LONGORSHORT)="S",0,Transactions[[#This Row],[CalCashImpact]])
)</f>
        <v>-4581.5878000000002</v>
      </c>
      <c r="N346" s="81">
        <f>IF(VLOOKUP(Transactions[[#This Row],[Symbol]],Symbols[],COLUMN(Symbols[Currency])-COLUMN(Symbols[])+1,FALSE)=
       VLOOKUP(Transactions[[#This Row],[Account]],Accounts[],COLUMN(Accounts[Currency])-COLUMN(Accounts[])+1,FALSE),
     Transactions[[#This Row],[OrigCashImpact]],
     0
)</f>
        <v>-4581.5878000000002</v>
      </c>
      <c r="O34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32394.856298298186</v>
      </c>
      <c r="P34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4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346" s="41">
        <f>ROW()</f>
        <v>346</v>
      </c>
      <c r="S3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4581.5878000000002</v>
      </c>
      <c r="T3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4581.5878000000002</v>
      </c>
      <c r="U34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346" s="86">
        <f>IF(INDEX(TransTypes[],Transactions[[#This Row],[TTR]],TT_COL_GLFlag)=1,Transactions[[#This Row],[CalCashImpact]]+Transactions[[#This Row],[CostImpact]],0)</f>
        <v>0</v>
      </c>
      <c r="W346" s="87">
        <f>Transactions[[#This Row],[Amount]]*INDEX(TransTypes[],Transactions[[#This Row],[TTR]],TT_COL_AmntSign)</f>
        <v>-4581.5878000000002</v>
      </c>
      <c r="X346" s="87">
        <f>IF(INDEX(TransTypes[],Transactions[[#This Row],[TTR]],TT_COL_LONGORSHORT)="S",
      IF( OR(INDEX(TransTypes[],Transactions[[#This Row],[TTR]],TT_COL_GLFlag)=1, INDEX(TransTypes[], Transactions[[#This Row],[TTR]], TT_COL_ShareTransferFlag)=1),
            Transactions[[#This Row],[CostImpact]]*-1,
            Transactions[[#This Row],[CalCashImpact]]
      ),
     0
)</f>
        <v>0</v>
      </c>
      <c r="Y346" s="88" t="str">
        <f>VLOOKUP(Transactions[[#This Row],[Symbol]],Symbols[], COLUMN(Symbols[Currency])-COLUMN(Symbols[])+1,FALSE)</f>
        <v>USD</v>
      </c>
    </row>
    <row r="347" spans="1:25">
      <c r="A347" s="75" t="s">
        <v>65</v>
      </c>
      <c r="B347" s="76">
        <v>43136</v>
      </c>
      <c r="C347" s="75" t="s">
        <v>160</v>
      </c>
      <c r="D347" s="75"/>
      <c r="E347" s="75" t="s">
        <v>416</v>
      </c>
      <c r="F347" s="77">
        <v>1</v>
      </c>
      <c r="G347" s="78">
        <v>32053</v>
      </c>
      <c r="H347" s="77">
        <v>30</v>
      </c>
      <c r="I347" s="77"/>
      <c r="J347" s="79">
        <v>1602680</v>
      </c>
      <c r="K347" s="6"/>
      <c r="L347" s="20">
        <f>IF(ISNA(MATCH(Transactions[[#This Row],[TransType]],TransTypes[TransType],0)),1,MATCH(Transactions[[#This Row],[TransType]],TransTypes[TransType],0))</f>
        <v>20</v>
      </c>
      <c r="M347" s="80">
        <f>IF( AND( INDEX(TransTypes[],Transactions[[#This Row],[TTR]],TT_COL_GLFlag)=1, INDEX(TransTypes[],Transactions[[#This Row],[TTR]],TT_COL_LONGORSHORT)="S" ),
      Transactions[[#This Row],[PL]],
      IF(INDEX(TransTypes[],Transactions[[#This Row],[TTR]],TT_COL_LONGORSHORT)="S",0,Transactions[[#This Row],[CalCashImpact]])
)</f>
        <v>-5610</v>
      </c>
      <c r="N347" s="81">
        <f>IF(VLOOKUP(Transactions[[#This Row],[Symbol]],Symbols[],COLUMN(Symbols[Currency])-COLUMN(Symbols[])+1,FALSE)=
       VLOOKUP(Transactions[[#This Row],[Account]],Accounts[],COLUMN(Accounts[Currency])-COLUMN(Accounts[])+1,FALSE),
     Transactions[[#This Row],[OrigCashImpact]],
     0
)</f>
        <v>0</v>
      </c>
      <c r="O34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32394.856298298186</v>
      </c>
      <c r="P34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4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347" s="41">
        <f>ROW()</f>
        <v>347</v>
      </c>
      <c r="S3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1597070</v>
      </c>
      <c r="T3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-1597070</v>
      </c>
      <c r="U34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347" s="86">
        <f>IF(INDEX(TransTypes[],Transactions[[#This Row],[TTR]],TT_COL_GLFlag)=1,Transactions[[#This Row],[CalCashImpact]]+Transactions[[#This Row],[CostImpact]],0)</f>
        <v>-5610</v>
      </c>
      <c r="W347" s="87">
        <f>Transactions[[#This Row],[Amount]]*INDEX(TransTypes[],Transactions[[#This Row],[TTR]],TT_COL_AmntSign)</f>
        <v>-1602680</v>
      </c>
      <c r="X347" s="87">
        <f>IF(INDEX(TransTypes[],Transactions[[#This Row],[TTR]],TT_COL_LONGORSHORT)="S",
      IF( OR(INDEX(TransTypes[],Transactions[[#This Row],[TTR]],TT_COL_GLFlag)=1, INDEX(TransTypes[], Transactions[[#This Row],[TTR]], TT_COL_ShareTransferFlag)=1),
            Transactions[[#This Row],[CostImpact]]*-1,
            Transactions[[#This Row],[CalCashImpact]]
      ),
     0
)</f>
        <v>-1597070</v>
      </c>
      <c r="Y347" s="88" t="str">
        <f>VLOOKUP(Transactions[[#This Row],[Symbol]],Symbols[], COLUMN(Symbols[Currency])-COLUMN(Symbols[])+1,FALSE)</f>
        <v>HKD</v>
      </c>
    </row>
    <row r="348" spans="1:25">
      <c r="A348" s="75" t="s">
        <v>65</v>
      </c>
      <c r="B348" s="76">
        <v>43136</v>
      </c>
      <c r="C348" s="75" t="s">
        <v>158</v>
      </c>
      <c r="D348" s="75"/>
      <c r="E348" s="75" t="s">
        <v>418</v>
      </c>
      <c r="F348" s="77">
        <v>1</v>
      </c>
      <c r="G348" s="78">
        <v>6722.75</v>
      </c>
      <c r="H348" s="77">
        <v>2.0499999999999998</v>
      </c>
      <c r="I348" s="77"/>
      <c r="J348" s="79">
        <v>134452.95000000001</v>
      </c>
      <c r="K348" s="6"/>
      <c r="L348" s="20">
        <f>IF(ISNA(MATCH(Transactions[[#This Row],[TransType]],TransTypes[TransType],0)),1,MATCH(Transactions[[#This Row],[TransType]],TransTypes[TransType],0))</f>
        <v>19</v>
      </c>
      <c r="M348" s="80">
        <f>IF( AND( INDEX(TransTypes[],Transactions[[#This Row],[TTR]],TT_COL_GLFlag)=1, INDEX(TransTypes[],Transactions[[#This Row],[TTR]],TT_COL_LONGORSHORT)="S" ),
      Transactions[[#This Row],[PL]],
      IF(INDEX(TransTypes[],Transactions[[#This Row],[TTR]],TT_COL_LONGORSHORT)="S",0,Transactions[[#This Row],[CalCashImpact]])
)</f>
        <v>0</v>
      </c>
      <c r="N348" s="81">
        <f>IF(VLOOKUP(Transactions[[#This Row],[Symbol]],Symbols[],COLUMN(Symbols[Currency])-COLUMN(Symbols[])+1,FALSE)=
       VLOOKUP(Transactions[[#This Row],[Account]],Accounts[],COLUMN(Accounts[Currency])-COLUMN(Accounts[])+1,FALSE),
     Transactions[[#This Row],[OrigCashImpact]],
     0
)</f>
        <v>0</v>
      </c>
      <c r="O34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32394.856298298186</v>
      </c>
      <c r="P34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4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v>
      </c>
      <c r="R348" s="41">
        <f>ROW()</f>
        <v>348</v>
      </c>
      <c r="S3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-134452.95000000001</v>
      </c>
      <c r="T3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-403948.85000000003</v>
      </c>
      <c r="U34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348" s="86">
        <f>IF(INDEX(TransTypes[],Transactions[[#This Row],[TTR]],TT_COL_GLFlag)=1,Transactions[[#This Row],[CalCashImpact]]+Transactions[[#This Row],[CostImpact]],0)</f>
        <v>0</v>
      </c>
      <c r="W348" s="87">
        <f>Transactions[[#This Row],[Amount]]*INDEX(TransTypes[],Transactions[[#This Row],[TTR]],TT_COL_AmntSign)</f>
        <v>134452.95000000001</v>
      </c>
      <c r="X348" s="87">
        <f>IF(INDEX(TransTypes[],Transactions[[#This Row],[TTR]],TT_COL_LONGORSHORT)="S",
      IF( OR(INDEX(TransTypes[],Transactions[[#This Row],[TTR]],TT_COL_GLFlag)=1, INDEX(TransTypes[], Transactions[[#This Row],[TTR]], TT_COL_ShareTransferFlag)=1),
            Transactions[[#This Row],[CostImpact]]*-1,
            Transactions[[#This Row],[CalCashImpact]]
      ),
     0
)</f>
        <v>134452.95000000001</v>
      </c>
      <c r="Y348" s="88" t="str">
        <f>VLOOKUP(Transactions[[#This Row],[Symbol]],Symbols[], COLUMN(Symbols[Currency])-COLUMN(Symbols[])+1,FALSE)</f>
        <v>USD</v>
      </c>
    </row>
    <row r="349" spans="1:25">
      <c r="A349" s="75" t="s">
        <v>65</v>
      </c>
      <c r="B349" s="76">
        <v>43136</v>
      </c>
      <c r="C349" s="75" t="s">
        <v>158</v>
      </c>
      <c r="D349" s="75"/>
      <c r="E349" s="75" t="s">
        <v>418</v>
      </c>
      <c r="F349" s="77">
        <v>2</v>
      </c>
      <c r="G349" s="78">
        <v>6353.5</v>
      </c>
      <c r="H349" s="77">
        <v>4.0999999999999996</v>
      </c>
      <c r="I349" s="77"/>
      <c r="J349" s="79">
        <v>254135.9</v>
      </c>
      <c r="K349" s="6"/>
      <c r="L349" s="20">
        <f>IF(ISNA(MATCH(Transactions[[#This Row],[TransType]],TransTypes[TransType],0)),1,MATCH(Transactions[[#This Row],[TransType]],TransTypes[TransType],0))</f>
        <v>19</v>
      </c>
      <c r="M349" s="80">
        <f>IF( AND( INDEX(TransTypes[],Transactions[[#This Row],[TTR]],TT_COL_GLFlag)=1, INDEX(TransTypes[],Transactions[[#This Row],[TTR]],TT_COL_LONGORSHORT)="S" ),
      Transactions[[#This Row],[PL]],
      IF(INDEX(TransTypes[],Transactions[[#This Row],[TTR]],TT_COL_LONGORSHORT)="S",0,Transactions[[#This Row],[CalCashImpact]])
)</f>
        <v>0</v>
      </c>
      <c r="N349" s="81">
        <f>IF(VLOOKUP(Transactions[[#This Row],[Symbol]],Symbols[],COLUMN(Symbols[Currency])-COLUMN(Symbols[])+1,FALSE)=
       VLOOKUP(Transactions[[#This Row],[Account]],Accounts[],COLUMN(Accounts[Currency])-COLUMN(Accounts[])+1,FALSE),
     Transactions[[#This Row],[OrigCashImpact]],
     0
)</f>
        <v>0</v>
      </c>
      <c r="O34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32394.856298298186</v>
      </c>
      <c r="P34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4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v>
      </c>
      <c r="R349" s="41">
        <f>ROW()</f>
        <v>349</v>
      </c>
      <c r="S3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-254135.9</v>
      </c>
      <c r="T3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-658084.75</v>
      </c>
      <c r="U34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v>
      </c>
      <c r="V349" s="86">
        <f>IF(INDEX(TransTypes[],Transactions[[#This Row],[TTR]],TT_COL_GLFlag)=1,Transactions[[#This Row],[CalCashImpact]]+Transactions[[#This Row],[CostImpact]],0)</f>
        <v>0</v>
      </c>
      <c r="W349" s="87">
        <f>Transactions[[#This Row],[Amount]]*INDEX(TransTypes[],Transactions[[#This Row],[TTR]],TT_COL_AmntSign)</f>
        <v>254135.9</v>
      </c>
      <c r="X349" s="87">
        <f>IF(INDEX(TransTypes[],Transactions[[#This Row],[TTR]],TT_COL_LONGORSHORT)="S",
      IF( OR(INDEX(TransTypes[],Transactions[[#This Row],[TTR]],TT_COL_GLFlag)=1, INDEX(TransTypes[], Transactions[[#This Row],[TTR]], TT_COL_ShareTransferFlag)=1),
            Transactions[[#This Row],[CostImpact]]*-1,
            Transactions[[#This Row],[CalCashImpact]]
      ),
     0
)</f>
        <v>254135.9</v>
      </c>
      <c r="Y349" s="88" t="str">
        <f>VLOOKUP(Transactions[[#This Row],[Symbol]],Symbols[], COLUMN(Symbols[Currency])-COLUMN(Symbols[])+1,FALSE)</f>
        <v>USD</v>
      </c>
    </row>
    <row r="350" spans="1:25">
      <c r="A350" s="75" t="s">
        <v>65</v>
      </c>
      <c r="B350" s="76">
        <v>43136</v>
      </c>
      <c r="C350" s="75" t="s">
        <v>152</v>
      </c>
      <c r="D350" s="75"/>
      <c r="E350" s="75" t="s">
        <v>208</v>
      </c>
      <c r="F350" s="77">
        <v>2.4542999999999999</v>
      </c>
      <c r="G350" s="78">
        <v>0.15827157</v>
      </c>
      <c r="H350" s="77"/>
      <c r="I350" s="77"/>
      <c r="J350" s="79">
        <v>0.38843993199999999</v>
      </c>
      <c r="K350" s="6"/>
      <c r="L350" s="20">
        <f>IF(ISNA(MATCH(Transactions[[#This Row],[TransType]],TransTypes[TransType],0)),1,MATCH(Transactions[[#This Row],[TransType]],TransTypes[TransType],0))</f>
        <v>15</v>
      </c>
      <c r="M350" s="80">
        <f>IF( AND( INDEX(TransTypes[],Transactions[[#This Row],[TTR]],TT_COL_GLFlag)=1, INDEX(TransTypes[],Transactions[[#This Row],[TTR]],TT_COL_LONGORSHORT)="S" ),
      Transactions[[#This Row],[PL]],
      IF(INDEX(TransTypes[],Transactions[[#This Row],[TTR]],TT_COL_LONGORSHORT)="S",0,Transactions[[#This Row],[CalCashImpact]])
)</f>
        <v>0.38843993199999999</v>
      </c>
      <c r="N350" s="81">
        <f>IF(VLOOKUP(Transactions[[#This Row],[Symbol]],Symbols[],COLUMN(Symbols[Currency])-COLUMN(Symbols[])+1,FALSE)=
       VLOOKUP(Transactions[[#This Row],[Account]],Accounts[],COLUMN(Accounts[Currency])-COLUMN(Accounts[])+1,FALSE),
     Transactions[[#This Row],[OrigCashImpact]],
     0
)</f>
        <v>0.38843993199999999</v>
      </c>
      <c r="O35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32395.244738230183</v>
      </c>
      <c r="P35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5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50" s="41">
        <f>ROW()</f>
        <v>350</v>
      </c>
      <c r="S3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5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50" s="86">
        <f>IF(INDEX(TransTypes[],Transactions[[#This Row],[TTR]],TT_COL_GLFlag)=1,Transactions[[#This Row],[CalCashImpact]]+Transactions[[#This Row],[CostImpact]],0)</f>
        <v>0</v>
      </c>
      <c r="W350" s="87">
        <f>Transactions[[#This Row],[Amount]]*INDEX(TransTypes[],Transactions[[#This Row],[TTR]],TT_COL_AmntSign)</f>
        <v>0.38843993199999999</v>
      </c>
      <c r="X350" s="87">
        <f>IF(INDEX(TransTypes[],Transactions[[#This Row],[TTR]],TT_COL_LONGORSHORT)="S",
      IF( OR(INDEX(TransTypes[],Transactions[[#This Row],[TTR]],TT_COL_GLFlag)=1, INDEX(TransTypes[], Transactions[[#This Row],[TTR]], TT_COL_ShareTransferFlag)=1),
            Transactions[[#This Row],[CostImpact]]*-1,
            Transactions[[#This Row],[CalCashImpact]]
      ),
     0
)</f>
        <v>0</v>
      </c>
      <c r="Y350" s="88" t="str">
        <f>VLOOKUP(Transactions[[#This Row],[Symbol]],Symbols[], COLUMN(Symbols[Currency])-COLUMN(Symbols[])+1,FALSE)</f>
        <v>USD</v>
      </c>
    </row>
    <row r="351" spans="1:25">
      <c r="A351" s="75" t="s">
        <v>65</v>
      </c>
      <c r="B351" s="76">
        <v>43136</v>
      </c>
      <c r="C351" s="75" t="s">
        <v>238</v>
      </c>
      <c r="D351" s="75"/>
      <c r="E351" s="75" t="s">
        <v>211</v>
      </c>
      <c r="F351" s="77">
        <v>2.4542999999999999</v>
      </c>
      <c r="G351" s="78">
        <v>1</v>
      </c>
      <c r="H351" s="77">
        <v>0</v>
      </c>
      <c r="I351" s="77"/>
      <c r="J351" s="79">
        <v>2.4542999999999999</v>
      </c>
      <c r="K351" s="6" t="s">
        <v>431</v>
      </c>
      <c r="L351" s="20">
        <f>IF(ISNA(MATCH(Transactions[[#This Row],[TransType]],TransTypes[TransType],0)),1,MATCH(Transactions[[#This Row],[TransType]],TransTypes[TransType],0))</f>
        <v>16</v>
      </c>
      <c r="M351" s="80">
        <f>IF( AND( INDEX(TransTypes[],Transactions[[#This Row],[TTR]],TT_COL_GLFlag)=1, INDEX(TransTypes[],Transactions[[#This Row],[TTR]],TT_COL_LONGORSHORT)="S" ),
      Transactions[[#This Row],[PL]],
      IF(INDEX(TransTypes[],Transactions[[#This Row],[TTR]],TT_COL_LONGORSHORT)="S",0,Transactions[[#This Row],[CalCashImpact]])
)</f>
        <v>-2.4542999999999999</v>
      </c>
      <c r="N351" s="81">
        <f>IF(VLOOKUP(Transactions[[#This Row],[Symbol]],Symbols[],COLUMN(Symbols[Currency])-COLUMN(Symbols[])+1,FALSE)=
       VLOOKUP(Transactions[[#This Row],[Account]],Accounts[],COLUMN(Accounts[Currency])-COLUMN(Accounts[])+1,FALSE),
     Transactions[[#This Row],[OrigCashImpact]],
     0
)</f>
        <v>0</v>
      </c>
      <c r="O35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32395.244738230183</v>
      </c>
      <c r="P35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5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51" s="41">
        <f>ROW()</f>
        <v>351</v>
      </c>
      <c r="S3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5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51" s="86">
        <f>IF(INDEX(TransTypes[],Transactions[[#This Row],[TTR]],TT_COL_GLFlag)=1,Transactions[[#This Row],[CalCashImpact]]+Transactions[[#This Row],[CostImpact]],0)</f>
        <v>0</v>
      </c>
      <c r="W351" s="87">
        <f>Transactions[[#This Row],[Amount]]*INDEX(TransTypes[],Transactions[[#This Row],[TTR]],TT_COL_AmntSign)</f>
        <v>-2.4542999999999999</v>
      </c>
      <c r="X351" s="87">
        <f>IF(INDEX(TransTypes[],Transactions[[#This Row],[TTR]],TT_COL_LONGORSHORT)="S",
      IF( OR(INDEX(TransTypes[],Transactions[[#This Row],[TTR]],TT_COL_GLFlag)=1, INDEX(TransTypes[], Transactions[[#This Row],[TTR]], TT_COL_ShareTransferFlag)=1),
            Transactions[[#This Row],[CostImpact]]*-1,
            Transactions[[#This Row],[CalCashImpact]]
      ),
     0
)</f>
        <v>0</v>
      </c>
      <c r="Y351" s="88" t="str">
        <f>VLOOKUP(Transactions[[#This Row],[Symbol]],Symbols[], COLUMN(Symbols[Currency])-COLUMN(Symbols[])+1,FALSE)</f>
        <v>CNY</v>
      </c>
    </row>
    <row r="352" spans="1:25">
      <c r="A352" s="75" t="s">
        <v>65</v>
      </c>
      <c r="B352" s="76">
        <v>43136</v>
      </c>
      <c r="C352" s="75" t="s">
        <v>121</v>
      </c>
      <c r="D352" s="75"/>
      <c r="E352" s="75" t="s">
        <v>208</v>
      </c>
      <c r="F352" s="77"/>
      <c r="G352" s="78"/>
      <c r="H352" s="77"/>
      <c r="I352" s="77"/>
      <c r="J352" s="79">
        <v>4.5</v>
      </c>
      <c r="K352" s="6" t="s">
        <v>432</v>
      </c>
      <c r="L352" s="20">
        <f>IF(ISNA(MATCH(Transactions[[#This Row],[TransType]],TransTypes[TransType],0)),1,MATCH(Transactions[[#This Row],[TransType]],TransTypes[TransType],0))</f>
        <v>6</v>
      </c>
      <c r="M352" s="80">
        <f>IF( AND( INDEX(TransTypes[],Transactions[[#This Row],[TTR]],TT_COL_GLFlag)=1, INDEX(TransTypes[],Transactions[[#This Row],[TTR]],TT_COL_LONGORSHORT)="S" ),
      Transactions[[#This Row],[PL]],
      IF(INDEX(TransTypes[],Transactions[[#This Row],[TTR]],TT_COL_LONGORSHORT)="S",0,Transactions[[#This Row],[CalCashImpact]])
)</f>
        <v>-4.5</v>
      </c>
      <c r="N352" s="81">
        <f>IF(VLOOKUP(Transactions[[#This Row],[Symbol]],Symbols[],COLUMN(Symbols[Currency])-COLUMN(Symbols[])+1,FALSE)=
       VLOOKUP(Transactions[[#This Row],[Account]],Accounts[],COLUMN(Accounts[Currency])-COLUMN(Accounts[])+1,FALSE),
     Transactions[[#This Row],[OrigCashImpact]],
     0
)</f>
        <v>-4.5</v>
      </c>
      <c r="O35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32390.744738230183</v>
      </c>
      <c r="P35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5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52" s="41">
        <f>ROW()</f>
        <v>352</v>
      </c>
      <c r="S3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5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52" s="86">
        <f>IF(INDEX(TransTypes[],Transactions[[#This Row],[TTR]],TT_COL_GLFlag)=1,Transactions[[#This Row],[CalCashImpact]]+Transactions[[#This Row],[CostImpact]],0)</f>
        <v>0</v>
      </c>
      <c r="W352" s="87">
        <f>Transactions[[#This Row],[Amount]]*INDEX(TransTypes[],Transactions[[#This Row],[TTR]],TT_COL_AmntSign)</f>
        <v>-4.5</v>
      </c>
      <c r="X352" s="87">
        <f>IF(INDEX(TransTypes[],Transactions[[#This Row],[TTR]],TT_COL_LONGORSHORT)="S",
      IF( OR(INDEX(TransTypes[],Transactions[[#This Row],[TTR]],TT_COL_GLFlag)=1, INDEX(TransTypes[], Transactions[[#This Row],[TTR]], TT_COL_ShareTransferFlag)=1),
            Transactions[[#This Row],[CostImpact]]*-1,
            Transactions[[#This Row],[CalCashImpact]]
      ),
     0
)</f>
        <v>0</v>
      </c>
      <c r="Y352" s="88" t="str">
        <f>VLOOKUP(Transactions[[#This Row],[Symbol]],Symbols[], COLUMN(Symbols[Currency])-COLUMN(Symbols[])+1,FALSE)</f>
        <v>USD</v>
      </c>
    </row>
    <row r="353" spans="1:25">
      <c r="A353" s="75" t="s">
        <v>65</v>
      </c>
      <c r="B353" s="76">
        <v>43136</v>
      </c>
      <c r="C353" s="75" t="s">
        <v>121</v>
      </c>
      <c r="D353" s="75"/>
      <c r="E353" s="75" t="s">
        <v>208</v>
      </c>
      <c r="F353" s="77"/>
      <c r="G353" s="78"/>
      <c r="H353" s="77"/>
      <c r="I353" s="77"/>
      <c r="J353" s="79">
        <v>16.62</v>
      </c>
      <c r="K353" s="6" t="s">
        <v>433</v>
      </c>
      <c r="L353" s="20">
        <f>IF(ISNA(MATCH(Transactions[[#This Row],[TransType]],TransTypes[TransType],0)),1,MATCH(Transactions[[#This Row],[TransType]],TransTypes[TransType],0))</f>
        <v>6</v>
      </c>
      <c r="M353" s="80">
        <f>IF( AND( INDEX(TransTypes[],Transactions[[#This Row],[TTR]],TT_COL_GLFlag)=1, INDEX(TransTypes[],Transactions[[#This Row],[TTR]],TT_COL_LONGORSHORT)="S" ),
      Transactions[[#This Row],[PL]],
      IF(INDEX(TransTypes[],Transactions[[#This Row],[TTR]],TT_COL_LONGORSHORT)="S",0,Transactions[[#This Row],[CalCashImpact]])
)</f>
        <v>-16.62</v>
      </c>
      <c r="N353" s="81">
        <f>IF(VLOOKUP(Transactions[[#This Row],[Symbol]],Symbols[],COLUMN(Symbols[Currency])-COLUMN(Symbols[])+1,FALSE)=
       VLOOKUP(Transactions[[#This Row],[Account]],Accounts[],COLUMN(Accounts[Currency])-COLUMN(Accounts[])+1,FALSE),
     Transactions[[#This Row],[OrigCashImpact]],
     0
)</f>
        <v>-16.62</v>
      </c>
      <c r="O35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32374.124738230184</v>
      </c>
      <c r="P35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5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53" s="41">
        <f>ROW()</f>
        <v>353</v>
      </c>
      <c r="S3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5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53" s="86">
        <f>IF(INDEX(TransTypes[],Transactions[[#This Row],[TTR]],TT_COL_GLFlag)=1,Transactions[[#This Row],[CalCashImpact]]+Transactions[[#This Row],[CostImpact]],0)</f>
        <v>0</v>
      </c>
      <c r="W353" s="87">
        <f>Transactions[[#This Row],[Amount]]*INDEX(TransTypes[],Transactions[[#This Row],[TTR]],TT_COL_AmntSign)</f>
        <v>-16.62</v>
      </c>
      <c r="X353" s="87">
        <f>IF(INDEX(TransTypes[],Transactions[[#This Row],[TTR]],TT_COL_LONGORSHORT)="S",
      IF( OR(INDEX(TransTypes[],Transactions[[#This Row],[TTR]],TT_COL_GLFlag)=1, INDEX(TransTypes[], Transactions[[#This Row],[TTR]], TT_COL_ShareTransferFlag)=1),
            Transactions[[#This Row],[CostImpact]]*-1,
            Transactions[[#This Row],[CalCashImpact]]
      ),
     0
)</f>
        <v>0</v>
      </c>
      <c r="Y353" s="88" t="str">
        <f>VLOOKUP(Transactions[[#This Row],[Symbol]],Symbols[], COLUMN(Symbols[Currency])-COLUMN(Symbols[])+1,FALSE)</f>
        <v>USD</v>
      </c>
    </row>
    <row r="354" spans="1:25">
      <c r="A354" s="75" t="s">
        <v>65</v>
      </c>
      <c r="B354" s="76">
        <v>43136</v>
      </c>
      <c r="C354" s="75" t="s">
        <v>121</v>
      </c>
      <c r="D354" s="75"/>
      <c r="E354" s="75" t="s">
        <v>208</v>
      </c>
      <c r="F354" s="77"/>
      <c r="G354" s="78"/>
      <c r="H354" s="77"/>
      <c r="I354" s="77"/>
      <c r="J354" s="79">
        <v>3.2</v>
      </c>
      <c r="K354" s="6" t="s">
        <v>434</v>
      </c>
      <c r="L354" s="20">
        <f>IF(ISNA(MATCH(Transactions[[#This Row],[TransType]],TransTypes[TransType],0)),1,MATCH(Transactions[[#This Row],[TransType]],TransTypes[TransType],0))</f>
        <v>6</v>
      </c>
      <c r="M354" s="80">
        <f>IF( AND( INDEX(TransTypes[],Transactions[[#This Row],[TTR]],TT_COL_GLFlag)=1, INDEX(TransTypes[],Transactions[[#This Row],[TTR]],TT_COL_LONGORSHORT)="S" ),
      Transactions[[#This Row],[PL]],
      IF(INDEX(TransTypes[],Transactions[[#This Row],[TTR]],TT_COL_LONGORSHORT)="S",0,Transactions[[#This Row],[CalCashImpact]])
)</f>
        <v>-3.2</v>
      </c>
      <c r="N354" s="81">
        <f>IF(VLOOKUP(Transactions[[#This Row],[Symbol]],Symbols[],COLUMN(Symbols[Currency])-COLUMN(Symbols[])+1,FALSE)=
       VLOOKUP(Transactions[[#This Row],[Account]],Accounts[],COLUMN(Accounts[Currency])-COLUMN(Accounts[])+1,FALSE),
     Transactions[[#This Row],[OrigCashImpact]],
     0
)</f>
        <v>-3.2</v>
      </c>
      <c r="O35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32370.924738230184</v>
      </c>
      <c r="P35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5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54" s="41">
        <f>ROW()</f>
        <v>354</v>
      </c>
      <c r="S3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5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54" s="86">
        <f>IF(INDEX(TransTypes[],Transactions[[#This Row],[TTR]],TT_COL_GLFlag)=1,Transactions[[#This Row],[CalCashImpact]]+Transactions[[#This Row],[CostImpact]],0)</f>
        <v>0</v>
      </c>
      <c r="W354" s="87">
        <f>Transactions[[#This Row],[Amount]]*INDEX(TransTypes[],Transactions[[#This Row],[TTR]],TT_COL_AmntSign)</f>
        <v>-3.2</v>
      </c>
      <c r="X354" s="87">
        <f>IF(INDEX(TransTypes[],Transactions[[#This Row],[TTR]],TT_COL_LONGORSHORT)="S",
      IF( OR(INDEX(TransTypes[],Transactions[[#This Row],[TTR]],TT_COL_GLFlag)=1, INDEX(TransTypes[], Transactions[[#This Row],[TTR]], TT_COL_ShareTransferFlag)=1),
            Transactions[[#This Row],[CostImpact]]*-1,
            Transactions[[#This Row],[CalCashImpact]]
      ),
     0
)</f>
        <v>0</v>
      </c>
      <c r="Y354" s="88" t="str">
        <f>VLOOKUP(Transactions[[#This Row],[Symbol]],Symbols[], COLUMN(Symbols[Currency])-COLUMN(Symbols[])+1,FALSE)</f>
        <v>USD</v>
      </c>
    </row>
    <row r="355" spans="1:25">
      <c r="A355" s="75" t="s">
        <v>65</v>
      </c>
      <c r="B355" s="76">
        <v>43136</v>
      </c>
      <c r="C355" s="75" t="s">
        <v>121</v>
      </c>
      <c r="D355" s="75"/>
      <c r="E355" s="75" t="s">
        <v>208</v>
      </c>
      <c r="F355" s="77"/>
      <c r="G355" s="78"/>
      <c r="H355" s="77"/>
      <c r="I355" s="77"/>
      <c r="J355" s="79">
        <v>10</v>
      </c>
      <c r="K355" s="6" t="s">
        <v>435</v>
      </c>
      <c r="L355" s="20">
        <f>IF(ISNA(MATCH(Transactions[[#This Row],[TransType]],TransTypes[TransType],0)),1,MATCH(Transactions[[#This Row],[TransType]],TransTypes[TransType],0))</f>
        <v>6</v>
      </c>
      <c r="M355" s="80">
        <f>IF( AND( INDEX(TransTypes[],Transactions[[#This Row],[TTR]],TT_COL_GLFlag)=1, INDEX(TransTypes[],Transactions[[#This Row],[TTR]],TT_COL_LONGORSHORT)="S" ),
      Transactions[[#This Row],[PL]],
      IF(INDEX(TransTypes[],Transactions[[#This Row],[TTR]],TT_COL_LONGORSHORT)="S",0,Transactions[[#This Row],[CalCashImpact]])
)</f>
        <v>-10</v>
      </c>
      <c r="N355" s="81">
        <f>IF(VLOOKUP(Transactions[[#This Row],[Symbol]],Symbols[],COLUMN(Symbols[Currency])-COLUMN(Symbols[])+1,FALSE)=
       VLOOKUP(Transactions[[#This Row],[Account]],Accounts[],COLUMN(Accounts[Currency])-COLUMN(Accounts[])+1,FALSE),
     Transactions[[#This Row],[OrigCashImpact]],
     0
)</f>
        <v>-10</v>
      </c>
      <c r="O35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32360.924738230184</v>
      </c>
      <c r="P35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5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55" s="41">
        <f>ROW()</f>
        <v>355</v>
      </c>
      <c r="S3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5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55" s="86">
        <f>IF(INDEX(TransTypes[],Transactions[[#This Row],[TTR]],TT_COL_GLFlag)=1,Transactions[[#This Row],[CalCashImpact]]+Transactions[[#This Row],[CostImpact]],0)</f>
        <v>0</v>
      </c>
      <c r="W355" s="87">
        <f>Transactions[[#This Row],[Amount]]*INDEX(TransTypes[],Transactions[[#This Row],[TTR]],TT_COL_AmntSign)</f>
        <v>-10</v>
      </c>
      <c r="X355" s="87">
        <f>IF(INDEX(TransTypes[],Transactions[[#This Row],[TTR]],TT_COL_LONGORSHORT)="S",
      IF( OR(INDEX(TransTypes[],Transactions[[#This Row],[TTR]],TT_COL_GLFlag)=1, INDEX(TransTypes[], Transactions[[#This Row],[TTR]], TT_COL_ShareTransferFlag)=1),
            Transactions[[#This Row],[CostImpact]]*-1,
            Transactions[[#This Row],[CalCashImpact]]
      ),
     0
)</f>
        <v>0</v>
      </c>
      <c r="Y355" s="88" t="str">
        <f>VLOOKUP(Transactions[[#This Row],[Symbol]],Symbols[], COLUMN(Symbols[Currency])-COLUMN(Symbols[])+1,FALSE)</f>
        <v>USD</v>
      </c>
    </row>
    <row r="356" spans="1:25">
      <c r="A356" s="75" t="s">
        <v>65</v>
      </c>
      <c r="B356" s="76">
        <v>43136</v>
      </c>
      <c r="C356" s="75" t="s">
        <v>121</v>
      </c>
      <c r="D356" s="75"/>
      <c r="E356" s="75" t="s">
        <v>208</v>
      </c>
      <c r="F356" s="77"/>
      <c r="G356" s="78"/>
      <c r="H356" s="77"/>
      <c r="I356" s="77"/>
      <c r="J356" s="79">
        <v>-10</v>
      </c>
      <c r="K356" s="6" t="s">
        <v>435</v>
      </c>
      <c r="L356" s="20">
        <f>IF(ISNA(MATCH(Transactions[[#This Row],[TransType]],TransTypes[TransType],0)),1,MATCH(Transactions[[#This Row],[TransType]],TransTypes[TransType],0))</f>
        <v>6</v>
      </c>
      <c r="M356" s="80">
        <f>IF( AND( INDEX(TransTypes[],Transactions[[#This Row],[TTR]],TT_COL_GLFlag)=1, INDEX(TransTypes[],Transactions[[#This Row],[TTR]],TT_COL_LONGORSHORT)="S" ),
      Transactions[[#This Row],[PL]],
      IF(INDEX(TransTypes[],Transactions[[#This Row],[TTR]],TT_COL_LONGORSHORT)="S",0,Transactions[[#This Row],[CalCashImpact]])
)</f>
        <v>10</v>
      </c>
      <c r="N356" s="81">
        <f>IF(VLOOKUP(Transactions[[#This Row],[Symbol]],Symbols[],COLUMN(Symbols[Currency])-COLUMN(Symbols[])+1,FALSE)=
       VLOOKUP(Transactions[[#This Row],[Account]],Accounts[],COLUMN(Accounts[Currency])-COLUMN(Accounts[])+1,FALSE),
     Transactions[[#This Row],[OrigCashImpact]],
     0
)</f>
        <v>10</v>
      </c>
      <c r="O35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32370.924738230184</v>
      </c>
      <c r="P35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5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56" s="41">
        <f>ROW()</f>
        <v>356</v>
      </c>
      <c r="S3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5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56" s="86">
        <f>IF(INDEX(TransTypes[],Transactions[[#This Row],[TTR]],TT_COL_GLFlag)=1,Transactions[[#This Row],[CalCashImpact]]+Transactions[[#This Row],[CostImpact]],0)</f>
        <v>0</v>
      </c>
      <c r="W356" s="87">
        <f>Transactions[[#This Row],[Amount]]*INDEX(TransTypes[],Transactions[[#This Row],[TTR]],TT_COL_AmntSign)</f>
        <v>10</v>
      </c>
      <c r="X356" s="87">
        <f>IF(INDEX(TransTypes[],Transactions[[#This Row],[TTR]],TT_COL_LONGORSHORT)="S",
      IF( OR(INDEX(TransTypes[],Transactions[[#This Row],[TTR]],TT_COL_GLFlag)=1, INDEX(TransTypes[], Transactions[[#This Row],[TTR]], TT_COL_ShareTransferFlag)=1),
            Transactions[[#This Row],[CostImpact]]*-1,
            Transactions[[#This Row],[CalCashImpact]]
      ),
     0
)</f>
        <v>0</v>
      </c>
      <c r="Y356" s="88" t="str">
        <f>VLOOKUP(Transactions[[#This Row],[Symbol]],Symbols[], COLUMN(Symbols[Currency])-COLUMN(Symbols[])+1,FALSE)</f>
        <v>USD</v>
      </c>
    </row>
    <row r="357" spans="1:25">
      <c r="A357" s="75" t="s">
        <v>65</v>
      </c>
      <c r="B357" s="76">
        <v>43136</v>
      </c>
      <c r="C357" s="75" t="s">
        <v>241</v>
      </c>
      <c r="D357" s="75"/>
      <c r="E357" s="75" t="s">
        <v>208</v>
      </c>
      <c r="F357" s="77"/>
      <c r="G357" s="78"/>
      <c r="H357" s="77"/>
      <c r="I357" s="77"/>
      <c r="J357" s="79">
        <v>221.16</v>
      </c>
      <c r="K357" s="6" t="s">
        <v>436</v>
      </c>
      <c r="L357" s="20">
        <f>IF(ISNA(MATCH(Transactions[[#This Row],[TransType]],TransTypes[TransType],0)),1,MATCH(Transactions[[#This Row],[TransType]],TransTypes[TransType],0))</f>
        <v>9</v>
      </c>
      <c r="M357" s="80">
        <f>IF( AND( INDEX(TransTypes[],Transactions[[#This Row],[TTR]],TT_COL_GLFlag)=1, INDEX(TransTypes[],Transactions[[#This Row],[TTR]],TT_COL_LONGORSHORT)="S" ),
      Transactions[[#This Row],[PL]],
      IF(INDEX(TransTypes[],Transactions[[#This Row],[TTR]],TT_COL_LONGORSHORT)="S",0,Transactions[[#This Row],[CalCashImpact]])
)</f>
        <v>-221.16</v>
      </c>
      <c r="N357" s="81">
        <f>IF(VLOOKUP(Transactions[[#This Row],[Symbol]],Symbols[],COLUMN(Symbols[Currency])-COLUMN(Symbols[])+1,FALSE)=
       VLOOKUP(Transactions[[#This Row],[Account]],Accounts[],COLUMN(Accounts[Currency])-COLUMN(Accounts[])+1,FALSE),
     Transactions[[#This Row],[OrigCashImpact]],
     0
)</f>
        <v>-221.16</v>
      </c>
      <c r="O35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32149.764738230184</v>
      </c>
      <c r="P35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5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57" s="41">
        <f>ROW()</f>
        <v>357</v>
      </c>
      <c r="S3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5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57" s="86">
        <f>IF(INDEX(TransTypes[],Transactions[[#This Row],[TTR]],TT_COL_GLFlag)=1,Transactions[[#This Row],[CalCashImpact]]+Transactions[[#This Row],[CostImpact]],0)</f>
        <v>0</v>
      </c>
      <c r="W357" s="87">
        <f>Transactions[[#This Row],[Amount]]*INDEX(TransTypes[],Transactions[[#This Row],[TTR]],TT_COL_AmntSign)</f>
        <v>-221.16</v>
      </c>
      <c r="X357" s="87">
        <f>IF(INDEX(TransTypes[],Transactions[[#This Row],[TTR]],TT_COL_LONGORSHORT)="S",
      IF( OR(INDEX(TransTypes[],Transactions[[#This Row],[TTR]],TT_COL_GLFlag)=1, INDEX(TransTypes[], Transactions[[#This Row],[TTR]], TT_COL_ShareTransferFlag)=1),
            Transactions[[#This Row],[CostImpact]]*-1,
            Transactions[[#This Row],[CalCashImpact]]
      ),
     0
)</f>
        <v>0</v>
      </c>
      <c r="Y357" s="88" t="str">
        <f>VLOOKUP(Transactions[[#This Row],[Symbol]],Symbols[], COLUMN(Symbols[Currency])-COLUMN(Symbols[])+1,FALSE)</f>
        <v>USD</v>
      </c>
    </row>
    <row r="358" spans="1:25">
      <c r="A358" s="75" t="s">
        <v>65</v>
      </c>
      <c r="B358" s="76">
        <v>43136</v>
      </c>
      <c r="C358" s="75" t="s">
        <v>240</v>
      </c>
      <c r="D358" s="75"/>
      <c r="E358" s="75" t="s">
        <v>208</v>
      </c>
      <c r="F358" s="77"/>
      <c r="G358" s="78"/>
      <c r="H358" s="77"/>
      <c r="I358" s="77"/>
      <c r="J358" s="79">
        <v>70.78</v>
      </c>
      <c r="K358" s="6" t="s">
        <v>437</v>
      </c>
      <c r="L358" s="20">
        <f>IF(ISNA(MATCH(Transactions[[#This Row],[TransType]],TransTypes[TransType],0)),1,MATCH(Transactions[[#This Row],[TransType]],TransTypes[TransType],0))</f>
        <v>8</v>
      </c>
      <c r="M358" s="80">
        <f>IF( AND( INDEX(TransTypes[],Transactions[[#This Row],[TTR]],TT_COL_GLFlag)=1, INDEX(TransTypes[],Transactions[[#This Row],[TTR]],TT_COL_LONGORSHORT)="S" ),
      Transactions[[#This Row],[PL]],
      IF(INDEX(TransTypes[],Transactions[[#This Row],[TTR]],TT_COL_LONGORSHORT)="S",0,Transactions[[#This Row],[CalCashImpact]])
)</f>
        <v>70.78</v>
      </c>
      <c r="N358" s="81">
        <f>IF(VLOOKUP(Transactions[[#This Row],[Symbol]],Symbols[],COLUMN(Symbols[Currency])-COLUMN(Symbols[])+1,FALSE)=
       VLOOKUP(Transactions[[#This Row],[Account]],Accounts[],COLUMN(Accounts[Currency])-COLUMN(Accounts[])+1,FALSE),
     Transactions[[#This Row],[OrigCashImpact]],
     0
)</f>
        <v>70.78</v>
      </c>
      <c r="O35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32220.544738230186</v>
      </c>
      <c r="P35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5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58" s="41">
        <f>ROW()</f>
        <v>358</v>
      </c>
      <c r="S3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5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58" s="86">
        <f>IF(INDEX(TransTypes[],Transactions[[#This Row],[TTR]],TT_COL_GLFlag)=1,Transactions[[#This Row],[CalCashImpact]]+Transactions[[#This Row],[CostImpact]],0)</f>
        <v>0</v>
      </c>
      <c r="W358" s="87">
        <f>Transactions[[#This Row],[Amount]]*INDEX(TransTypes[],Transactions[[#This Row],[TTR]],TT_COL_AmntSign)</f>
        <v>70.78</v>
      </c>
      <c r="X358" s="87">
        <f>IF(INDEX(TransTypes[],Transactions[[#This Row],[TTR]],TT_COL_LONGORSHORT)="S",
      IF( OR(INDEX(TransTypes[],Transactions[[#This Row],[TTR]],TT_COL_GLFlag)=1, INDEX(TransTypes[], Transactions[[#This Row],[TTR]], TT_COL_ShareTransferFlag)=1),
            Transactions[[#This Row],[CostImpact]]*-1,
            Transactions[[#This Row],[CalCashImpact]]
      ),
     0
)</f>
        <v>0</v>
      </c>
      <c r="Y358" s="88" t="str">
        <f>VLOOKUP(Transactions[[#This Row],[Symbol]],Symbols[], COLUMN(Symbols[Currency])-COLUMN(Symbols[])+1,FALSE)</f>
        <v>USD</v>
      </c>
    </row>
    <row r="359" spans="1:25">
      <c r="A359" s="75" t="s">
        <v>65</v>
      </c>
      <c r="B359" s="76">
        <v>43137</v>
      </c>
      <c r="C359" s="75" t="s">
        <v>115</v>
      </c>
      <c r="D359" s="75"/>
      <c r="E359" s="75" t="s">
        <v>263</v>
      </c>
      <c r="F359" s="77">
        <v>4000</v>
      </c>
      <c r="G359" s="78">
        <v>84.2</v>
      </c>
      <c r="H359" s="77">
        <v>961.62719999999899</v>
      </c>
      <c r="I359" s="77"/>
      <c r="J359" s="79">
        <v>335838.37280000001</v>
      </c>
      <c r="K359" s="6"/>
      <c r="L359" s="20">
        <f>IF(ISNA(MATCH(Transactions[[#This Row],[TransType]],TransTypes[TransType],0)),1,MATCH(Transactions[[#This Row],[TransType]],TransTypes[TransType],0))</f>
        <v>3</v>
      </c>
      <c r="M359" s="80">
        <f>IF( AND( INDEX(TransTypes[],Transactions[[#This Row],[TTR]],TT_COL_GLFlag)=1, INDEX(TransTypes[],Transactions[[#This Row],[TTR]],TT_COL_LONGORSHORT)="S" ),
      Transactions[[#This Row],[PL]],
      IF(INDEX(TransTypes[],Transactions[[#This Row],[TTR]],TT_COL_LONGORSHORT)="S",0,Transactions[[#This Row],[CalCashImpact]])
)</f>
        <v>335838.37280000001</v>
      </c>
      <c r="N359" s="81">
        <f>IF(VLOOKUP(Transactions[[#This Row],[Symbol]],Symbols[],COLUMN(Symbols[Currency])-COLUMN(Symbols[])+1,FALSE)=
       VLOOKUP(Transactions[[#This Row],[Account]],Accounts[],COLUMN(Accounts[Currency])-COLUMN(Accounts[])+1,FALSE),
     Transactions[[#This Row],[OrigCashImpact]],
     0
)</f>
        <v>0</v>
      </c>
      <c r="O35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32220.544738230183</v>
      </c>
      <c r="P35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35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359" s="41">
        <f>ROW()</f>
        <v>359</v>
      </c>
      <c r="S3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-324948.71308000007</v>
      </c>
      <c r="T3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487423.06962000002</v>
      </c>
      <c r="U35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359" s="86">
        <f>IF(INDEX(TransTypes[],Transactions[[#This Row],[TTR]],TT_COL_GLFlag)=1,Transactions[[#This Row],[CalCashImpact]]+Transactions[[#This Row],[CostImpact]],0)</f>
        <v>10889.659719999938</v>
      </c>
      <c r="W359" s="87">
        <f>Transactions[[#This Row],[Amount]]*INDEX(TransTypes[],Transactions[[#This Row],[TTR]],TT_COL_AmntSign)</f>
        <v>335838.37280000001</v>
      </c>
      <c r="X359" s="87">
        <f>IF(INDEX(TransTypes[],Transactions[[#This Row],[TTR]],TT_COL_LONGORSHORT)="S",
      IF( OR(INDEX(TransTypes[],Transactions[[#This Row],[TTR]],TT_COL_GLFlag)=1, INDEX(TransTypes[], Transactions[[#This Row],[TTR]], TT_COL_ShareTransferFlag)=1),
            Transactions[[#This Row],[CostImpact]]*-1,
            Transactions[[#This Row],[CalCashImpact]]
      ),
     0
)</f>
        <v>0</v>
      </c>
      <c r="Y359" s="88" t="str">
        <f>VLOOKUP(Transactions[[#This Row],[Symbol]],Symbols[], COLUMN(Symbols[Currency])-COLUMN(Symbols[])+1,FALSE)</f>
        <v>HKD</v>
      </c>
    </row>
    <row r="360" spans="1:25">
      <c r="A360" s="75" t="s">
        <v>65</v>
      </c>
      <c r="B360" s="76">
        <v>43137</v>
      </c>
      <c r="C360" s="75" t="s">
        <v>113</v>
      </c>
      <c r="D360" s="75"/>
      <c r="E360" s="75" t="s">
        <v>278</v>
      </c>
      <c r="F360" s="77">
        <v>10</v>
      </c>
      <c r="G360" s="78">
        <v>1404.69</v>
      </c>
      <c r="H360" s="77">
        <v>1</v>
      </c>
      <c r="I360" s="77"/>
      <c r="J360" s="79">
        <v>14047.9</v>
      </c>
      <c r="K360" s="6"/>
      <c r="L360" s="20">
        <f>IF(ISNA(MATCH(Transactions[[#This Row],[TransType]],TransTypes[TransType],0)),1,MATCH(Transactions[[#This Row],[TransType]],TransTypes[TransType],0))</f>
        <v>2</v>
      </c>
      <c r="M360" s="80">
        <f>IF( AND( INDEX(TransTypes[],Transactions[[#This Row],[TTR]],TT_COL_GLFlag)=1, INDEX(TransTypes[],Transactions[[#This Row],[TTR]],TT_COL_LONGORSHORT)="S" ),
      Transactions[[#This Row],[PL]],
      IF(INDEX(TransTypes[],Transactions[[#This Row],[TTR]],TT_COL_LONGORSHORT)="S",0,Transactions[[#This Row],[CalCashImpact]])
)</f>
        <v>-14047.9</v>
      </c>
      <c r="N360" s="81">
        <f>IF(VLOOKUP(Transactions[[#This Row],[Symbol]],Symbols[],COLUMN(Symbols[Currency])-COLUMN(Symbols[])+1,FALSE)=
       VLOOKUP(Transactions[[#This Row],[Account]],Accounts[],COLUMN(Accounts[Currency])-COLUMN(Accounts[])+1,FALSE),
     Transactions[[#This Row],[OrigCashImpact]],
     0
)</f>
        <v>-14047.9</v>
      </c>
      <c r="O36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18172.644738230185</v>
      </c>
      <c r="P36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v>
      </c>
      <c r="Q36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v>
      </c>
      <c r="R360" s="41">
        <f>ROW()</f>
        <v>360</v>
      </c>
      <c r="S3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14047.9</v>
      </c>
      <c r="T3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166387.19999999998</v>
      </c>
      <c r="U36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v>
      </c>
      <c r="V360" s="86">
        <f>IF(INDEX(TransTypes[],Transactions[[#This Row],[TTR]],TT_COL_GLFlag)=1,Transactions[[#This Row],[CalCashImpact]]+Transactions[[#This Row],[CostImpact]],0)</f>
        <v>0</v>
      </c>
      <c r="W360" s="87">
        <f>Transactions[[#This Row],[Amount]]*INDEX(TransTypes[],Transactions[[#This Row],[TTR]],TT_COL_AmntSign)</f>
        <v>-14047.9</v>
      </c>
      <c r="X360" s="87">
        <f>IF(INDEX(TransTypes[],Transactions[[#This Row],[TTR]],TT_COL_LONGORSHORT)="S",
      IF( OR(INDEX(TransTypes[],Transactions[[#This Row],[TTR]],TT_COL_GLFlag)=1, INDEX(TransTypes[], Transactions[[#This Row],[TTR]], TT_COL_ShareTransferFlag)=1),
            Transactions[[#This Row],[CostImpact]]*-1,
            Transactions[[#This Row],[CalCashImpact]]
      ),
     0
)</f>
        <v>0</v>
      </c>
      <c r="Y360" s="88" t="str">
        <f>VLOOKUP(Transactions[[#This Row],[Symbol]],Symbols[], COLUMN(Symbols[Currency])-COLUMN(Symbols[])+1,FALSE)</f>
        <v>USD</v>
      </c>
    </row>
    <row r="361" spans="1:25">
      <c r="A361" s="75" t="s">
        <v>65</v>
      </c>
      <c r="B361" s="76">
        <v>43137</v>
      </c>
      <c r="C361" s="75" t="s">
        <v>113</v>
      </c>
      <c r="D361" s="75"/>
      <c r="E361" s="75" t="s">
        <v>405</v>
      </c>
      <c r="F361" s="77">
        <v>300</v>
      </c>
      <c r="G361" s="78">
        <v>90.62</v>
      </c>
      <c r="H361" s="77">
        <v>1.5</v>
      </c>
      <c r="I361" s="77"/>
      <c r="J361" s="79">
        <v>27187.5</v>
      </c>
      <c r="K361" s="6"/>
      <c r="L361" s="20">
        <f>IF(ISNA(MATCH(Transactions[[#This Row],[TransType]],TransTypes[TransType],0)),1,MATCH(Transactions[[#This Row],[TransType]],TransTypes[TransType],0))</f>
        <v>2</v>
      </c>
      <c r="M361" s="80">
        <f>IF( AND( INDEX(TransTypes[],Transactions[[#This Row],[TTR]],TT_COL_GLFlag)=1, INDEX(TransTypes[],Transactions[[#This Row],[TTR]],TT_COL_LONGORSHORT)="S" ),
      Transactions[[#This Row],[PL]],
      IF(INDEX(TransTypes[],Transactions[[#This Row],[TTR]],TT_COL_LONGORSHORT)="S",0,Transactions[[#This Row],[CalCashImpact]])
)</f>
        <v>-27187.5</v>
      </c>
      <c r="N361" s="81">
        <f>IF(VLOOKUP(Transactions[[#This Row],[Symbol]],Symbols[],COLUMN(Symbols[Currency])-COLUMN(Symbols[])+1,FALSE)=
       VLOOKUP(Transactions[[#This Row],[Account]],Accounts[],COLUMN(Accounts[Currency])-COLUMN(Accounts[])+1,FALSE),
     Transactions[[#This Row],[OrigCashImpact]],
     0
)</f>
        <v>-27187.5</v>
      </c>
      <c r="O36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-9014.8552617698188</v>
      </c>
      <c r="P36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36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361" s="41">
        <f>ROW()</f>
        <v>361</v>
      </c>
      <c r="S3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27187.5</v>
      </c>
      <c r="T3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27187.5</v>
      </c>
      <c r="U36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361" s="86">
        <f>IF(INDEX(TransTypes[],Transactions[[#This Row],[TTR]],TT_COL_GLFlag)=1,Transactions[[#This Row],[CalCashImpact]]+Transactions[[#This Row],[CostImpact]],0)</f>
        <v>0</v>
      </c>
      <c r="W361" s="87">
        <f>Transactions[[#This Row],[Amount]]*INDEX(TransTypes[],Transactions[[#This Row],[TTR]],TT_COL_AmntSign)</f>
        <v>-27187.5</v>
      </c>
      <c r="X361" s="87">
        <f>IF(INDEX(TransTypes[],Transactions[[#This Row],[TTR]],TT_COL_LONGORSHORT)="S",
      IF( OR(INDEX(TransTypes[],Transactions[[#This Row],[TTR]],TT_COL_GLFlag)=1, INDEX(TransTypes[], Transactions[[#This Row],[TTR]], TT_COL_ShareTransferFlag)=1),
            Transactions[[#This Row],[CostImpact]]*-1,
            Transactions[[#This Row],[CalCashImpact]]
      ),
     0
)</f>
        <v>0</v>
      </c>
      <c r="Y361" s="88" t="str">
        <f>VLOOKUP(Transactions[[#This Row],[Symbol]],Symbols[], COLUMN(Symbols[Currency])-COLUMN(Symbols[])+1,FALSE)</f>
        <v>USD</v>
      </c>
    </row>
    <row r="362" spans="1:25">
      <c r="A362" s="75" t="s">
        <v>65</v>
      </c>
      <c r="B362" s="76">
        <v>43137</v>
      </c>
      <c r="C362" s="75" t="s">
        <v>113</v>
      </c>
      <c r="D362" s="75"/>
      <c r="E362" s="75" t="s">
        <v>405</v>
      </c>
      <c r="F362" s="77">
        <v>200</v>
      </c>
      <c r="G362" s="78">
        <v>90.94</v>
      </c>
      <c r="H362" s="77">
        <v>1</v>
      </c>
      <c r="I362" s="77"/>
      <c r="J362" s="79">
        <v>18189</v>
      </c>
      <c r="K362" s="6"/>
      <c r="L362" s="20">
        <f>IF(ISNA(MATCH(Transactions[[#This Row],[TransType]],TransTypes[TransType],0)),1,MATCH(Transactions[[#This Row],[TransType]],TransTypes[TransType],0))</f>
        <v>2</v>
      </c>
      <c r="M362" s="80">
        <f>IF( AND( INDEX(TransTypes[],Transactions[[#This Row],[TTR]],TT_COL_GLFlag)=1, INDEX(TransTypes[],Transactions[[#This Row],[TTR]],TT_COL_LONGORSHORT)="S" ),
      Transactions[[#This Row],[PL]],
      IF(INDEX(TransTypes[],Transactions[[#This Row],[TTR]],TT_COL_LONGORSHORT)="S",0,Transactions[[#This Row],[CalCashImpact]])
)</f>
        <v>-18189</v>
      </c>
      <c r="N362" s="81">
        <f>IF(VLOOKUP(Transactions[[#This Row],[Symbol]],Symbols[],COLUMN(Symbols[Currency])-COLUMN(Symbols[])+1,FALSE)=
       VLOOKUP(Transactions[[#This Row],[Account]],Accounts[],COLUMN(Accounts[Currency])-COLUMN(Accounts[])+1,FALSE),
     Transactions[[#This Row],[OrigCashImpact]],
     0
)</f>
        <v>-18189</v>
      </c>
      <c r="O36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-27203.855261769819</v>
      </c>
      <c r="P36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36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362" s="41">
        <f>ROW()</f>
        <v>362</v>
      </c>
      <c r="S3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18189</v>
      </c>
      <c r="T3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45376.5</v>
      </c>
      <c r="U36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362" s="86">
        <f>IF(INDEX(TransTypes[],Transactions[[#This Row],[TTR]],TT_COL_GLFlag)=1,Transactions[[#This Row],[CalCashImpact]]+Transactions[[#This Row],[CostImpact]],0)</f>
        <v>0</v>
      </c>
      <c r="W362" s="87">
        <f>Transactions[[#This Row],[Amount]]*INDEX(TransTypes[],Transactions[[#This Row],[TTR]],TT_COL_AmntSign)</f>
        <v>-18189</v>
      </c>
      <c r="X362" s="87">
        <f>IF(INDEX(TransTypes[],Transactions[[#This Row],[TTR]],TT_COL_LONGORSHORT)="S",
      IF( OR(INDEX(TransTypes[],Transactions[[#This Row],[TTR]],TT_COL_GLFlag)=1, INDEX(TransTypes[], Transactions[[#This Row],[TTR]], TT_COL_ShareTransferFlag)=1),
            Transactions[[#This Row],[CostImpact]]*-1,
            Transactions[[#This Row],[CalCashImpact]]
      ),
     0
)</f>
        <v>0</v>
      </c>
      <c r="Y362" s="88" t="str">
        <f>VLOOKUP(Transactions[[#This Row],[Symbol]],Symbols[], COLUMN(Symbols[Currency])-COLUMN(Symbols[])+1,FALSE)</f>
        <v>USD</v>
      </c>
    </row>
    <row r="363" spans="1:25">
      <c r="A363" s="75" t="s">
        <v>65</v>
      </c>
      <c r="B363" s="76">
        <v>43137</v>
      </c>
      <c r="C363" s="75" t="s">
        <v>115</v>
      </c>
      <c r="D363" s="75"/>
      <c r="E363" s="75" t="s">
        <v>409</v>
      </c>
      <c r="F363" s="77">
        <v>1</v>
      </c>
      <c r="G363" s="78">
        <v>50.2</v>
      </c>
      <c r="H363" s="77">
        <v>1.195762</v>
      </c>
      <c r="I363" s="77"/>
      <c r="J363" s="79">
        <v>5018.8042379999997</v>
      </c>
      <c r="K363" s="6"/>
      <c r="L363" s="20">
        <f>IF(ISNA(MATCH(Transactions[[#This Row],[TransType]],TransTypes[TransType],0)),1,MATCH(Transactions[[#This Row],[TransType]],TransTypes[TransType],0))</f>
        <v>3</v>
      </c>
      <c r="M363" s="80">
        <f>IF( AND( INDEX(TransTypes[],Transactions[[#This Row],[TTR]],TT_COL_GLFlag)=1, INDEX(TransTypes[],Transactions[[#This Row],[TTR]],TT_COL_LONGORSHORT)="S" ),
      Transactions[[#This Row],[PL]],
      IF(INDEX(TransTypes[],Transactions[[#This Row],[TTR]],TT_COL_LONGORSHORT)="S",0,Transactions[[#This Row],[CalCashImpact]])
)</f>
        <v>5018.8042379999997</v>
      </c>
      <c r="N363" s="81">
        <f>IF(VLOOKUP(Transactions[[#This Row],[Symbol]],Symbols[],COLUMN(Symbols[Currency])-COLUMN(Symbols[])+1,FALSE)=
       VLOOKUP(Transactions[[#This Row],[Account]],Accounts[],COLUMN(Accounts[Currency])-COLUMN(Accounts[])+1,FALSE),
     Transactions[[#This Row],[OrigCashImpact]],
     0
)</f>
        <v>5018.8042379999997</v>
      </c>
      <c r="O36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-22185.051023769822</v>
      </c>
      <c r="P36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6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63" s="41">
        <f>ROW()</f>
        <v>363</v>
      </c>
      <c r="S3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-4581.5878000000002</v>
      </c>
      <c r="T3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6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363" s="86">
        <f>IF(INDEX(TransTypes[],Transactions[[#This Row],[TTR]],TT_COL_GLFlag)=1,Transactions[[#This Row],[CalCashImpact]]+Transactions[[#This Row],[CostImpact]],0)</f>
        <v>437.21643799999947</v>
      </c>
      <c r="W363" s="87">
        <f>Transactions[[#This Row],[Amount]]*INDEX(TransTypes[],Transactions[[#This Row],[TTR]],TT_COL_AmntSign)</f>
        <v>5018.8042379999997</v>
      </c>
      <c r="X363" s="87">
        <f>IF(INDEX(TransTypes[],Transactions[[#This Row],[TTR]],TT_COL_LONGORSHORT)="S",
      IF( OR(INDEX(TransTypes[],Transactions[[#This Row],[TTR]],TT_COL_GLFlag)=1, INDEX(TransTypes[], Transactions[[#This Row],[TTR]], TT_COL_ShareTransferFlag)=1),
            Transactions[[#This Row],[CostImpact]]*-1,
            Transactions[[#This Row],[CalCashImpact]]
      ),
     0
)</f>
        <v>0</v>
      </c>
      <c r="Y363" s="88" t="str">
        <f>VLOOKUP(Transactions[[#This Row],[Symbol]],Symbols[], COLUMN(Symbols[Currency])-COLUMN(Symbols[])+1,FALSE)</f>
        <v>USD</v>
      </c>
    </row>
    <row r="364" spans="1:25">
      <c r="A364" s="75" t="s">
        <v>65</v>
      </c>
      <c r="B364" s="76">
        <v>43137</v>
      </c>
      <c r="C364" s="75" t="s">
        <v>158</v>
      </c>
      <c r="D364" s="75"/>
      <c r="E364" s="75" t="s">
        <v>416</v>
      </c>
      <c r="F364" s="77">
        <v>1</v>
      </c>
      <c r="G364" s="78">
        <v>30597</v>
      </c>
      <c r="H364" s="77">
        <v>30</v>
      </c>
      <c r="I364" s="77"/>
      <c r="J364" s="79">
        <v>1529820</v>
      </c>
      <c r="K364" s="6"/>
      <c r="L364" s="20">
        <f>IF(ISNA(MATCH(Transactions[[#This Row],[TransType]],TransTypes[TransType],0)),1,MATCH(Transactions[[#This Row],[TransType]],TransTypes[TransType],0))</f>
        <v>19</v>
      </c>
      <c r="M364" s="80">
        <f>IF( AND( INDEX(TransTypes[],Transactions[[#This Row],[TTR]],TT_COL_GLFlag)=1, INDEX(TransTypes[],Transactions[[#This Row],[TTR]],TT_COL_LONGORSHORT)="S" ),
      Transactions[[#This Row],[PL]],
      IF(INDEX(TransTypes[],Transactions[[#This Row],[TTR]],TT_COL_LONGORSHORT)="S",0,Transactions[[#This Row],[CalCashImpact]])
)</f>
        <v>0</v>
      </c>
      <c r="N364" s="81">
        <f>IF(VLOOKUP(Transactions[[#This Row],[Symbol]],Symbols[],COLUMN(Symbols[Currency])-COLUMN(Symbols[])+1,FALSE)=
       VLOOKUP(Transactions[[#This Row],[Account]],Accounts[],COLUMN(Accounts[Currency])-COLUMN(Accounts[])+1,FALSE),
     Transactions[[#This Row],[OrigCashImpact]],
     0
)</f>
        <v>0</v>
      </c>
      <c r="O36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-22185.051023769822</v>
      </c>
      <c r="P36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6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v>
      </c>
      <c r="R364" s="41">
        <f>ROW()</f>
        <v>364</v>
      </c>
      <c r="S3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-1529820</v>
      </c>
      <c r="T3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-3126890</v>
      </c>
      <c r="U36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364" s="86">
        <f>IF(INDEX(TransTypes[],Transactions[[#This Row],[TTR]],TT_COL_GLFlag)=1,Transactions[[#This Row],[CalCashImpact]]+Transactions[[#This Row],[CostImpact]],0)</f>
        <v>0</v>
      </c>
      <c r="W364" s="87">
        <f>Transactions[[#This Row],[Amount]]*INDEX(TransTypes[],Transactions[[#This Row],[TTR]],TT_COL_AmntSign)</f>
        <v>1529820</v>
      </c>
      <c r="X364" s="87">
        <f>IF(INDEX(TransTypes[],Transactions[[#This Row],[TTR]],TT_COL_LONGORSHORT)="S",
      IF( OR(INDEX(TransTypes[],Transactions[[#This Row],[TTR]],TT_COL_GLFlag)=1, INDEX(TransTypes[], Transactions[[#This Row],[TTR]], TT_COL_ShareTransferFlag)=1),
            Transactions[[#This Row],[CostImpact]]*-1,
            Transactions[[#This Row],[CalCashImpact]]
      ),
     0
)</f>
        <v>1529820</v>
      </c>
      <c r="Y364" s="88" t="str">
        <f>VLOOKUP(Transactions[[#This Row],[Symbol]],Symbols[], COLUMN(Symbols[Currency])-COLUMN(Symbols[])+1,FALSE)</f>
        <v>HKD</v>
      </c>
    </row>
    <row r="365" spans="1:25">
      <c r="A365" s="75" t="s">
        <v>65</v>
      </c>
      <c r="B365" s="76">
        <v>43137</v>
      </c>
      <c r="C365" s="75" t="s">
        <v>160</v>
      </c>
      <c r="D365" s="75"/>
      <c r="E365" s="75" t="s">
        <v>416</v>
      </c>
      <c r="F365" s="77">
        <v>1</v>
      </c>
      <c r="G365" s="78">
        <v>30772</v>
      </c>
      <c r="H365" s="77">
        <v>30</v>
      </c>
      <c r="I365" s="77"/>
      <c r="J365" s="79">
        <v>1538630</v>
      </c>
      <c r="K365" s="6"/>
      <c r="L365" s="20">
        <f>IF(ISNA(MATCH(Transactions[[#This Row],[TransType]],TransTypes[TransType],0)),1,MATCH(Transactions[[#This Row],[TransType]],TransTypes[TransType],0))</f>
        <v>20</v>
      </c>
      <c r="M365" s="80">
        <f>IF( AND( INDEX(TransTypes[],Transactions[[#This Row],[TTR]],TT_COL_GLFlag)=1, INDEX(TransTypes[],Transactions[[#This Row],[TTR]],TT_COL_LONGORSHORT)="S" ),
      Transactions[[#This Row],[PL]],
      IF(INDEX(TransTypes[],Transactions[[#This Row],[TTR]],TT_COL_LONGORSHORT)="S",0,Transactions[[#This Row],[CalCashImpact]])
)</f>
        <v>24815</v>
      </c>
      <c r="N365" s="81">
        <f>IF(VLOOKUP(Transactions[[#This Row],[Symbol]],Symbols[],COLUMN(Symbols[Currency])-COLUMN(Symbols[])+1,FALSE)=
       VLOOKUP(Transactions[[#This Row],[Account]],Accounts[],COLUMN(Accounts[Currency])-COLUMN(Accounts[])+1,FALSE),
     Transactions[[#This Row],[OrigCashImpact]],
     0
)</f>
        <v>0</v>
      </c>
      <c r="O36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-22185.051023769822</v>
      </c>
      <c r="P36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6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365" s="41">
        <f>ROW()</f>
        <v>365</v>
      </c>
      <c r="S3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1563445</v>
      </c>
      <c r="T3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-1563445</v>
      </c>
      <c r="U36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365" s="86">
        <f>IF(INDEX(TransTypes[],Transactions[[#This Row],[TTR]],TT_COL_GLFlag)=1,Transactions[[#This Row],[CalCashImpact]]+Transactions[[#This Row],[CostImpact]],0)</f>
        <v>24815</v>
      </c>
      <c r="W365" s="87">
        <f>Transactions[[#This Row],[Amount]]*INDEX(TransTypes[],Transactions[[#This Row],[TTR]],TT_COL_AmntSign)</f>
        <v>-1538630</v>
      </c>
      <c r="X365" s="87">
        <f>IF(INDEX(TransTypes[],Transactions[[#This Row],[TTR]],TT_COL_LONGORSHORT)="S",
      IF( OR(INDEX(TransTypes[],Transactions[[#This Row],[TTR]],TT_COL_GLFlag)=1, INDEX(TransTypes[], Transactions[[#This Row],[TTR]], TT_COL_ShareTransferFlag)=1),
            Transactions[[#This Row],[CostImpact]]*-1,
            Transactions[[#This Row],[CalCashImpact]]
      ),
     0
)</f>
        <v>-1563445</v>
      </c>
      <c r="Y365" s="88" t="str">
        <f>VLOOKUP(Transactions[[#This Row],[Symbol]],Symbols[], COLUMN(Symbols[Currency])-COLUMN(Symbols[])+1,FALSE)</f>
        <v>HKD</v>
      </c>
    </row>
    <row r="366" spans="1:25">
      <c r="A366" s="75" t="s">
        <v>65</v>
      </c>
      <c r="B366" s="76">
        <v>43137</v>
      </c>
      <c r="C366" s="75" t="s">
        <v>160</v>
      </c>
      <c r="D366" s="75"/>
      <c r="E366" s="75" t="s">
        <v>416</v>
      </c>
      <c r="F366" s="77">
        <v>1</v>
      </c>
      <c r="G366" s="78">
        <v>31155</v>
      </c>
      <c r="H366" s="77">
        <v>30</v>
      </c>
      <c r="I366" s="77"/>
      <c r="J366" s="79">
        <v>1557780</v>
      </c>
      <c r="K366" s="6"/>
      <c r="L366" s="20">
        <f>IF(ISNA(MATCH(Transactions[[#This Row],[TransType]],TransTypes[TransType],0)),1,MATCH(Transactions[[#This Row],[TransType]],TransTypes[TransType],0))</f>
        <v>20</v>
      </c>
      <c r="M366" s="80">
        <f>IF( AND( INDEX(TransTypes[],Transactions[[#This Row],[TTR]],TT_COL_GLFlag)=1, INDEX(TransTypes[],Transactions[[#This Row],[TTR]],TT_COL_LONGORSHORT)="S" ),
      Transactions[[#This Row],[PL]],
      IF(INDEX(TransTypes[],Transactions[[#This Row],[TTR]],TT_COL_LONGORSHORT)="S",0,Transactions[[#This Row],[CalCashImpact]])
)</f>
        <v>5665</v>
      </c>
      <c r="N366" s="81">
        <f>IF(VLOOKUP(Transactions[[#This Row],[Symbol]],Symbols[],COLUMN(Symbols[Currency])-COLUMN(Symbols[])+1,FALSE)=
       VLOOKUP(Transactions[[#This Row],[Account]],Accounts[],COLUMN(Accounts[Currency])-COLUMN(Accounts[])+1,FALSE),
     Transactions[[#This Row],[OrigCashImpact]],
     0
)</f>
        <v>0</v>
      </c>
      <c r="O36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-22185.051023769822</v>
      </c>
      <c r="P36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6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66" s="41">
        <f>ROW()</f>
        <v>366</v>
      </c>
      <c r="S3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1563445</v>
      </c>
      <c r="T3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6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366" s="86">
        <f>IF(INDEX(TransTypes[],Transactions[[#This Row],[TTR]],TT_COL_GLFlag)=1,Transactions[[#This Row],[CalCashImpact]]+Transactions[[#This Row],[CostImpact]],0)</f>
        <v>5665</v>
      </c>
      <c r="W366" s="87">
        <f>Transactions[[#This Row],[Amount]]*INDEX(TransTypes[],Transactions[[#This Row],[TTR]],TT_COL_AmntSign)</f>
        <v>-1557780</v>
      </c>
      <c r="X366" s="87">
        <f>IF(INDEX(TransTypes[],Transactions[[#This Row],[TTR]],TT_COL_LONGORSHORT)="S",
      IF( OR(INDEX(TransTypes[],Transactions[[#This Row],[TTR]],TT_COL_GLFlag)=1, INDEX(TransTypes[], Transactions[[#This Row],[TTR]], TT_COL_ShareTransferFlag)=1),
            Transactions[[#This Row],[CostImpact]]*-1,
            Transactions[[#This Row],[CalCashImpact]]
      ),
     0
)</f>
        <v>-1563445</v>
      </c>
      <c r="Y366" s="88" t="str">
        <f>VLOOKUP(Transactions[[#This Row],[Symbol]],Symbols[], COLUMN(Symbols[Currency])-COLUMN(Symbols[])+1,FALSE)</f>
        <v>HKD</v>
      </c>
    </row>
    <row r="367" spans="1:25">
      <c r="A367" s="75" t="s">
        <v>65</v>
      </c>
      <c r="B367" s="76">
        <v>43137</v>
      </c>
      <c r="C367" s="75" t="s">
        <v>160</v>
      </c>
      <c r="D367" s="75"/>
      <c r="E367" s="75" t="s">
        <v>418</v>
      </c>
      <c r="F367" s="77">
        <v>2</v>
      </c>
      <c r="G367" s="78">
        <v>6427</v>
      </c>
      <c r="H367" s="77">
        <v>4.0999999999999996</v>
      </c>
      <c r="I367" s="77"/>
      <c r="J367" s="79">
        <v>257084.1</v>
      </c>
      <c r="K367" s="6"/>
      <c r="L367" s="20">
        <f>IF(ISNA(MATCH(Transactions[[#This Row],[TransType]],TransTypes[TransType],0)),1,MATCH(Transactions[[#This Row],[TransType]],TransTypes[TransType],0))</f>
        <v>20</v>
      </c>
      <c r="M367" s="80">
        <f>IF( AND( INDEX(TransTypes[],Transactions[[#This Row],[TTR]],TT_COL_GLFlag)=1, INDEX(TransTypes[],Transactions[[#This Row],[TTR]],TT_COL_LONGORSHORT)="S" ),
      Transactions[[#This Row],[PL]],
      IF(INDEX(TransTypes[],Transactions[[#This Row],[TTR]],TT_COL_LONGORSHORT)="S",0,Transactions[[#This Row],[CalCashImpact]])
)</f>
        <v>6149.8000000000175</v>
      </c>
      <c r="N367" s="81">
        <f>IF(VLOOKUP(Transactions[[#This Row],[Symbol]],Symbols[],COLUMN(Symbols[Currency])-COLUMN(Symbols[])+1,FALSE)=
       VLOOKUP(Transactions[[#This Row],[Account]],Accounts[],COLUMN(Accounts[Currency])-COLUMN(Accounts[])+1,FALSE),
     Transactions[[#This Row],[OrigCashImpact]],
     0
)</f>
        <v>6149.8000000000175</v>
      </c>
      <c r="O36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-16035.251023769804</v>
      </c>
      <c r="P36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6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v>
      </c>
      <c r="R367" s="41">
        <f>ROW()</f>
        <v>367</v>
      </c>
      <c r="S3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263233.90000000002</v>
      </c>
      <c r="T3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-394850.85</v>
      </c>
      <c r="U36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v>
      </c>
      <c r="V367" s="86">
        <f>IF(INDEX(TransTypes[],Transactions[[#This Row],[TTR]],TT_COL_GLFlag)=1,Transactions[[#This Row],[CalCashImpact]]+Transactions[[#This Row],[CostImpact]],0)</f>
        <v>6149.8000000000175</v>
      </c>
      <c r="W367" s="87">
        <f>Transactions[[#This Row],[Amount]]*INDEX(TransTypes[],Transactions[[#This Row],[TTR]],TT_COL_AmntSign)</f>
        <v>-257084.1</v>
      </c>
      <c r="X367" s="87">
        <f>IF(INDEX(TransTypes[],Transactions[[#This Row],[TTR]],TT_COL_LONGORSHORT)="S",
      IF( OR(INDEX(TransTypes[],Transactions[[#This Row],[TTR]],TT_COL_GLFlag)=1, INDEX(TransTypes[], Transactions[[#This Row],[TTR]], TT_COL_ShareTransferFlag)=1),
            Transactions[[#This Row],[CostImpact]]*-1,
            Transactions[[#This Row],[CalCashImpact]]
      ),
     0
)</f>
        <v>-263233.90000000002</v>
      </c>
      <c r="Y367" s="88" t="str">
        <f>VLOOKUP(Transactions[[#This Row],[Symbol]],Symbols[], COLUMN(Symbols[Currency])-COLUMN(Symbols[])+1,FALSE)</f>
        <v>USD</v>
      </c>
    </row>
    <row r="368" spans="1:25">
      <c r="A368" s="75" t="s">
        <v>65</v>
      </c>
      <c r="B368" s="76">
        <v>43137</v>
      </c>
      <c r="C368" s="75" t="s">
        <v>160</v>
      </c>
      <c r="D368" s="75"/>
      <c r="E368" s="75" t="s">
        <v>418</v>
      </c>
      <c r="F368" s="77">
        <v>3</v>
      </c>
      <c r="G368" s="78">
        <v>6566.3333333330002</v>
      </c>
      <c r="H368" s="77">
        <v>6.15</v>
      </c>
      <c r="I368" s="77"/>
      <c r="J368" s="79">
        <v>393986.15</v>
      </c>
      <c r="K368" s="6"/>
      <c r="L368" s="20">
        <f>IF(ISNA(MATCH(Transactions[[#This Row],[TransType]],TransTypes[TransType],0)),1,MATCH(Transactions[[#This Row],[TransType]],TransTypes[TransType],0))</f>
        <v>20</v>
      </c>
      <c r="M368" s="80">
        <f>IF( AND( INDEX(TransTypes[],Transactions[[#This Row],[TTR]],TT_COL_GLFlag)=1, INDEX(TransTypes[],Transactions[[#This Row],[TTR]],TT_COL_LONGORSHORT)="S" ),
      Transactions[[#This Row],[PL]],
      IF(INDEX(TransTypes[],Transactions[[#This Row],[TTR]],TT_COL_LONGORSHORT)="S",0,Transactions[[#This Row],[CalCashImpact]])
)</f>
        <v>864.69999999995343</v>
      </c>
      <c r="N368" s="81">
        <f>IF(VLOOKUP(Transactions[[#This Row],[Symbol]],Symbols[],COLUMN(Symbols[Currency])-COLUMN(Symbols[])+1,FALSE)=
       VLOOKUP(Transactions[[#This Row],[Account]],Accounts[],COLUMN(Accounts[Currency])-COLUMN(Accounts[])+1,FALSE),
     Transactions[[#This Row],[OrigCashImpact]],
     0
)</f>
        <v>864.69999999995343</v>
      </c>
      <c r="O36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-15170.551023769851</v>
      </c>
      <c r="P36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v>
      </c>
      <c r="Q36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68" s="41">
        <f>ROW()</f>
        <v>368</v>
      </c>
      <c r="S3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394850.85</v>
      </c>
      <c r="T3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6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368" s="86">
        <f>IF(INDEX(TransTypes[],Transactions[[#This Row],[TTR]],TT_COL_GLFlag)=1,Transactions[[#This Row],[CalCashImpact]]+Transactions[[#This Row],[CostImpact]],0)</f>
        <v>864.69999999995343</v>
      </c>
      <c r="W368" s="87">
        <f>Transactions[[#This Row],[Amount]]*INDEX(TransTypes[],Transactions[[#This Row],[TTR]],TT_COL_AmntSign)</f>
        <v>-393986.15</v>
      </c>
      <c r="X368" s="87">
        <f>IF(INDEX(TransTypes[],Transactions[[#This Row],[TTR]],TT_COL_LONGORSHORT)="S",
      IF( OR(INDEX(TransTypes[],Transactions[[#This Row],[TTR]],TT_COL_GLFlag)=1, INDEX(TransTypes[], Transactions[[#This Row],[TTR]], TT_COL_ShareTransferFlag)=1),
            Transactions[[#This Row],[CostImpact]]*-1,
            Transactions[[#This Row],[CalCashImpact]]
      ),
     0
)</f>
        <v>-394850.85</v>
      </c>
      <c r="Y368" s="88" t="str">
        <f>VLOOKUP(Transactions[[#This Row],[Symbol]],Symbols[], COLUMN(Symbols[Currency])-COLUMN(Symbols[])+1,FALSE)</f>
        <v>USD</v>
      </c>
    </row>
    <row r="369" spans="1:25">
      <c r="A369" s="75" t="s">
        <v>65</v>
      </c>
      <c r="B369" s="76">
        <v>43138</v>
      </c>
      <c r="C369" s="75" t="s">
        <v>113</v>
      </c>
      <c r="D369" s="75"/>
      <c r="E369" s="75" t="s">
        <v>199</v>
      </c>
      <c r="F369" s="77">
        <v>500</v>
      </c>
      <c r="G369" s="78">
        <v>423.4</v>
      </c>
      <c r="H369" s="77">
        <v>604.79179999999997</v>
      </c>
      <c r="I369" s="77"/>
      <c r="J369" s="79">
        <v>212304.79180000001</v>
      </c>
      <c r="K369" s="6"/>
      <c r="L369" s="20">
        <f>IF(ISNA(MATCH(Transactions[[#This Row],[TransType]],TransTypes[TransType],0)),1,MATCH(Transactions[[#This Row],[TransType]],TransTypes[TransType],0))</f>
        <v>2</v>
      </c>
      <c r="M369" s="80">
        <f>IF( AND( INDEX(TransTypes[],Transactions[[#This Row],[TTR]],TT_COL_GLFlag)=1, INDEX(TransTypes[],Transactions[[#This Row],[TTR]],TT_COL_LONGORSHORT)="S" ),
      Transactions[[#This Row],[PL]],
      IF(INDEX(TransTypes[],Transactions[[#This Row],[TTR]],TT_COL_LONGORSHORT)="S",0,Transactions[[#This Row],[CalCashImpact]])
)</f>
        <v>-212304.79180000001</v>
      </c>
      <c r="N369" s="81">
        <f>IF(VLOOKUP(Transactions[[#This Row],[Symbol]],Symbols[],COLUMN(Symbols[Currency])-COLUMN(Symbols[])+1,FALSE)=
       VLOOKUP(Transactions[[#This Row],[Account]],Accounts[],COLUMN(Accounts[Currency])-COLUMN(Accounts[])+1,FALSE),
     Transactions[[#This Row],[OrigCashImpact]],
     0
)</f>
        <v>0</v>
      </c>
      <c r="O36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-15170.551023769844</v>
      </c>
      <c r="P36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36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369" s="41">
        <f>ROW()</f>
        <v>369</v>
      </c>
      <c r="S3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212304.79180000001</v>
      </c>
      <c r="T3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1302128.1265808002</v>
      </c>
      <c r="U36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369" s="86">
        <f>IF(INDEX(TransTypes[],Transactions[[#This Row],[TTR]],TT_COL_GLFlag)=1,Transactions[[#This Row],[CalCashImpact]]+Transactions[[#This Row],[CostImpact]],0)</f>
        <v>0</v>
      </c>
      <c r="W369" s="87">
        <f>Transactions[[#This Row],[Amount]]*INDEX(TransTypes[],Transactions[[#This Row],[TTR]],TT_COL_AmntSign)</f>
        <v>-212304.79180000001</v>
      </c>
      <c r="X369" s="87">
        <f>IF(INDEX(TransTypes[],Transactions[[#This Row],[TTR]],TT_COL_LONGORSHORT)="S",
      IF( OR(INDEX(TransTypes[],Transactions[[#This Row],[TTR]],TT_COL_GLFlag)=1, INDEX(TransTypes[], Transactions[[#This Row],[TTR]], TT_COL_ShareTransferFlag)=1),
            Transactions[[#This Row],[CostImpact]]*-1,
            Transactions[[#This Row],[CalCashImpact]]
      ),
     0
)</f>
        <v>0</v>
      </c>
      <c r="Y369" s="88" t="str">
        <f>VLOOKUP(Transactions[[#This Row],[Symbol]],Symbols[], COLUMN(Symbols[Currency])-COLUMN(Symbols[])+1,FALSE)</f>
        <v>HKD</v>
      </c>
    </row>
    <row r="370" spans="1:25">
      <c r="A370" s="75" t="s">
        <v>65</v>
      </c>
      <c r="B370" s="76">
        <v>43138</v>
      </c>
      <c r="C370" s="75" t="s">
        <v>118</v>
      </c>
      <c r="D370" s="75"/>
      <c r="E370" s="75" t="s">
        <v>285</v>
      </c>
      <c r="F370" s="77">
        <v>1502</v>
      </c>
      <c r="G370" s="78"/>
      <c r="H370" s="77"/>
      <c r="I370" s="77"/>
      <c r="J370" s="79">
        <v>465.31</v>
      </c>
      <c r="K370" s="6" t="s">
        <v>438</v>
      </c>
      <c r="L370" s="20">
        <f>IF(ISNA(MATCH(Transactions[[#This Row],[TransType]],TransTypes[TransType],0)),1,MATCH(Transactions[[#This Row],[TransType]],TransTypes[TransType],0))</f>
        <v>4</v>
      </c>
      <c r="M370" s="80">
        <f>IF( AND( INDEX(TransTypes[],Transactions[[#This Row],[TTR]],TT_COL_GLFlag)=1, INDEX(TransTypes[],Transactions[[#This Row],[TTR]],TT_COL_LONGORSHORT)="S" ),
      Transactions[[#This Row],[PL]],
      IF(INDEX(TransTypes[],Transactions[[#This Row],[TTR]],TT_COL_LONGORSHORT)="S",0,Transactions[[#This Row],[CalCashImpact]])
)</f>
        <v>465.31</v>
      </c>
      <c r="N370" s="81">
        <f>IF(VLOOKUP(Transactions[[#This Row],[Symbol]],Symbols[],COLUMN(Symbols[Currency])-COLUMN(Symbols[])+1,FALSE)=
       VLOOKUP(Transactions[[#This Row],[Account]],Accounts[],COLUMN(Accounts[Currency])-COLUMN(Accounts[])+1,FALSE),
     Transactions[[#This Row],[OrigCashImpact]],
     0
)</f>
        <v>465.31</v>
      </c>
      <c r="O37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-14705.241023769844</v>
      </c>
      <c r="P37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7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1502</v>
      </c>
      <c r="R370" s="41">
        <f>ROW()</f>
        <v>370</v>
      </c>
      <c r="S3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173025.19798181817</v>
      </c>
      <c r="U37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370" s="86">
        <f>IF(INDEX(TransTypes[],Transactions[[#This Row],[TTR]],TT_COL_GLFlag)=1,Transactions[[#This Row],[CalCashImpact]]+Transactions[[#This Row],[CostImpact]],0)</f>
        <v>0</v>
      </c>
      <c r="W370" s="87">
        <f>Transactions[[#This Row],[Amount]]*INDEX(TransTypes[],Transactions[[#This Row],[TTR]],TT_COL_AmntSign)</f>
        <v>465.31</v>
      </c>
      <c r="X370" s="87">
        <f>IF(INDEX(TransTypes[],Transactions[[#This Row],[TTR]],TT_COL_LONGORSHORT)="S",
      IF( OR(INDEX(TransTypes[],Transactions[[#This Row],[TTR]],TT_COL_GLFlag)=1, INDEX(TransTypes[], Transactions[[#This Row],[TTR]], TT_COL_ShareTransferFlag)=1),
            Transactions[[#This Row],[CostImpact]]*-1,
            Transactions[[#This Row],[CalCashImpact]]
      ),
     0
)</f>
        <v>0</v>
      </c>
      <c r="Y370" s="88" t="str">
        <f>VLOOKUP(Transactions[[#This Row],[Symbol]],Symbols[], COLUMN(Symbols[Currency])-COLUMN(Symbols[])+1,FALSE)</f>
        <v>USD</v>
      </c>
    </row>
    <row r="371" spans="1:25">
      <c r="A371" s="75" t="s">
        <v>65</v>
      </c>
      <c r="B371" s="76">
        <v>43138</v>
      </c>
      <c r="C371" s="75" t="s">
        <v>118</v>
      </c>
      <c r="D371" s="75"/>
      <c r="E371" s="75" t="s">
        <v>20</v>
      </c>
      <c r="F371" s="77"/>
      <c r="G371" s="78"/>
      <c r="H371" s="77"/>
      <c r="I371" s="77"/>
      <c r="J371" s="79">
        <v>409.83</v>
      </c>
      <c r="K371" s="6" t="s">
        <v>439</v>
      </c>
      <c r="L371" s="20">
        <f>IF(ISNA(MATCH(Transactions[[#This Row],[TransType]],TransTypes[TransType],0)),1,MATCH(Transactions[[#This Row],[TransType]],TransTypes[TransType],0))</f>
        <v>4</v>
      </c>
      <c r="M371" s="80">
        <f>IF( AND( INDEX(TransTypes[],Transactions[[#This Row],[TTR]],TT_COL_GLFlag)=1, INDEX(TransTypes[],Transactions[[#This Row],[TTR]],TT_COL_LONGORSHORT)="S" ),
      Transactions[[#This Row],[PL]],
      IF(INDEX(TransTypes[],Transactions[[#This Row],[TTR]],TT_COL_LONGORSHORT)="S",0,Transactions[[#This Row],[CalCashImpact]])
)</f>
        <v>409.83</v>
      </c>
      <c r="N371" s="81">
        <f>IF(VLOOKUP(Transactions[[#This Row],[Symbol]],Symbols[],COLUMN(Symbols[Currency])-COLUMN(Symbols[])+1,FALSE)=
       VLOOKUP(Transactions[[#This Row],[Account]],Accounts[],COLUMN(Accounts[Currency])-COLUMN(Accounts[])+1,FALSE),
     Transactions[[#This Row],[OrigCashImpact]],
     0
)</f>
        <v>409.83</v>
      </c>
      <c r="O37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-14295.411023769844</v>
      </c>
      <c r="P37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7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1948</v>
      </c>
      <c r="R371" s="41">
        <f>ROW()</f>
        <v>371</v>
      </c>
      <c r="S3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242780.12352745948</v>
      </c>
      <c r="U37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1948</v>
      </c>
      <c r="V371" s="86">
        <f>IF(INDEX(TransTypes[],Transactions[[#This Row],[TTR]],TT_COL_GLFlag)=1,Transactions[[#This Row],[CalCashImpact]]+Transactions[[#This Row],[CostImpact]],0)</f>
        <v>0</v>
      </c>
      <c r="W371" s="87">
        <f>Transactions[[#This Row],[Amount]]*INDEX(TransTypes[],Transactions[[#This Row],[TTR]],TT_COL_AmntSign)</f>
        <v>409.83</v>
      </c>
      <c r="X371" s="87">
        <f>IF(INDEX(TransTypes[],Transactions[[#This Row],[TTR]],TT_COL_LONGORSHORT)="S",
      IF( OR(INDEX(TransTypes[],Transactions[[#This Row],[TTR]],TT_COL_GLFlag)=1, INDEX(TransTypes[], Transactions[[#This Row],[TTR]], TT_COL_ShareTransferFlag)=1),
            Transactions[[#This Row],[CostImpact]]*-1,
            Transactions[[#This Row],[CalCashImpact]]
      ),
     0
)</f>
        <v>0</v>
      </c>
      <c r="Y371" s="88" t="str">
        <f>VLOOKUP(Transactions[[#This Row],[Symbol]],Symbols[], COLUMN(Symbols[Currency])-COLUMN(Symbols[])+1,FALSE)</f>
        <v>USD</v>
      </c>
    </row>
    <row r="372" spans="1:25">
      <c r="A372" s="75" t="s">
        <v>65</v>
      </c>
      <c r="B372" s="76">
        <v>43138</v>
      </c>
      <c r="C372" s="75" t="s">
        <v>118</v>
      </c>
      <c r="D372" s="75"/>
      <c r="E372" s="75" t="s">
        <v>20</v>
      </c>
      <c r="F372" s="77"/>
      <c r="G372" s="78"/>
      <c r="H372" s="77"/>
      <c r="I372" s="77"/>
      <c r="J372" s="79">
        <v>35.130000000000003</v>
      </c>
      <c r="K372" s="6" t="s">
        <v>366</v>
      </c>
      <c r="L372" s="20">
        <f>IF(ISNA(MATCH(Transactions[[#This Row],[TransType]],TransTypes[TransType],0)),1,MATCH(Transactions[[#This Row],[TransType]],TransTypes[TransType],0))</f>
        <v>4</v>
      </c>
      <c r="M372" s="80">
        <f>IF( AND( INDEX(TransTypes[],Transactions[[#This Row],[TTR]],TT_COL_GLFlag)=1, INDEX(TransTypes[],Transactions[[#This Row],[TTR]],TT_COL_LONGORSHORT)="S" ),
      Transactions[[#This Row],[PL]],
      IF(INDEX(TransTypes[],Transactions[[#This Row],[TTR]],TT_COL_LONGORSHORT)="S",0,Transactions[[#This Row],[CalCashImpact]])
)</f>
        <v>35.130000000000003</v>
      </c>
      <c r="N372" s="81">
        <f>IF(VLOOKUP(Transactions[[#This Row],[Symbol]],Symbols[],COLUMN(Symbols[Currency])-COLUMN(Symbols[])+1,FALSE)=
       VLOOKUP(Transactions[[#This Row],[Account]],Accounts[],COLUMN(Accounts[Currency])-COLUMN(Accounts[])+1,FALSE),
     Transactions[[#This Row],[OrigCashImpact]],
     0
)</f>
        <v>35.130000000000003</v>
      </c>
      <c r="O37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-14260.281023769843</v>
      </c>
      <c r="P37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7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1948</v>
      </c>
      <c r="R372" s="41">
        <f>ROW()</f>
        <v>372</v>
      </c>
      <c r="S3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242780.12352745948</v>
      </c>
      <c r="U37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1948</v>
      </c>
      <c r="V372" s="86">
        <f>IF(INDEX(TransTypes[],Transactions[[#This Row],[TTR]],TT_COL_GLFlag)=1,Transactions[[#This Row],[CalCashImpact]]+Transactions[[#This Row],[CostImpact]],0)</f>
        <v>0</v>
      </c>
      <c r="W372" s="87">
        <f>Transactions[[#This Row],[Amount]]*INDEX(TransTypes[],Transactions[[#This Row],[TTR]],TT_COL_AmntSign)</f>
        <v>35.130000000000003</v>
      </c>
      <c r="X372" s="87">
        <f>IF(INDEX(TransTypes[],Transactions[[#This Row],[TTR]],TT_COL_LONGORSHORT)="S",
      IF( OR(INDEX(TransTypes[],Transactions[[#This Row],[TTR]],TT_COL_GLFlag)=1, INDEX(TransTypes[], Transactions[[#This Row],[TTR]], TT_COL_ShareTransferFlag)=1),
            Transactions[[#This Row],[CostImpact]]*-1,
            Transactions[[#This Row],[CalCashImpact]]
      ),
     0
)</f>
        <v>0</v>
      </c>
      <c r="Y372" s="88" t="str">
        <f>VLOOKUP(Transactions[[#This Row],[Symbol]],Symbols[], COLUMN(Symbols[Currency])-COLUMN(Symbols[])+1,FALSE)</f>
        <v>USD</v>
      </c>
    </row>
    <row r="373" spans="1:25">
      <c r="A373" s="75" t="s">
        <v>65</v>
      </c>
      <c r="B373" s="76">
        <v>43138</v>
      </c>
      <c r="C373" s="75" t="s">
        <v>123</v>
      </c>
      <c r="D373" s="75"/>
      <c r="E373" s="75" t="s">
        <v>285</v>
      </c>
      <c r="F373" s="77"/>
      <c r="G373" s="78"/>
      <c r="H373" s="77"/>
      <c r="I373" s="77"/>
      <c r="J373" s="79">
        <v>69.8</v>
      </c>
      <c r="K373" s="6" t="s">
        <v>440</v>
      </c>
      <c r="L373" s="20">
        <f>IF(ISNA(MATCH(Transactions[[#This Row],[TransType]],TransTypes[TransType],0)),1,MATCH(Transactions[[#This Row],[TransType]],TransTypes[TransType],0))</f>
        <v>7</v>
      </c>
      <c r="M373" s="80">
        <f>IF( AND( INDEX(TransTypes[],Transactions[[#This Row],[TTR]],TT_COL_GLFlag)=1, INDEX(TransTypes[],Transactions[[#This Row],[TTR]],TT_COL_LONGORSHORT)="S" ),
      Transactions[[#This Row],[PL]],
      IF(INDEX(TransTypes[],Transactions[[#This Row],[TTR]],TT_COL_LONGORSHORT)="S",0,Transactions[[#This Row],[CalCashImpact]])
)</f>
        <v>-69.8</v>
      </c>
      <c r="N373" s="81">
        <f>IF(VLOOKUP(Transactions[[#This Row],[Symbol]],Symbols[],COLUMN(Symbols[Currency])-COLUMN(Symbols[])+1,FALSE)=
       VLOOKUP(Transactions[[#This Row],[Account]],Accounts[],COLUMN(Accounts[Currency])-COLUMN(Accounts[])+1,FALSE),
     Transactions[[#This Row],[OrigCashImpact]],
     0
)</f>
        <v>-69.8</v>
      </c>
      <c r="O37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-14330.081023769844</v>
      </c>
      <c r="P37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7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1502</v>
      </c>
      <c r="R373" s="41">
        <f>ROW()</f>
        <v>373</v>
      </c>
      <c r="S3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173025.19798181817</v>
      </c>
      <c r="U37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373" s="86">
        <f>IF(INDEX(TransTypes[],Transactions[[#This Row],[TTR]],TT_COL_GLFlag)=1,Transactions[[#This Row],[CalCashImpact]]+Transactions[[#This Row],[CostImpact]],0)</f>
        <v>0</v>
      </c>
      <c r="W373" s="87">
        <f>Transactions[[#This Row],[Amount]]*INDEX(TransTypes[],Transactions[[#This Row],[TTR]],TT_COL_AmntSign)</f>
        <v>-69.8</v>
      </c>
      <c r="X373" s="87">
        <f>IF(INDEX(TransTypes[],Transactions[[#This Row],[TTR]],TT_COL_LONGORSHORT)="S",
      IF( OR(INDEX(TransTypes[],Transactions[[#This Row],[TTR]],TT_COL_GLFlag)=1, INDEX(TransTypes[], Transactions[[#This Row],[TTR]], TT_COL_ShareTransferFlag)=1),
            Transactions[[#This Row],[CostImpact]]*-1,
            Transactions[[#This Row],[CalCashImpact]]
      ),
     0
)</f>
        <v>0</v>
      </c>
      <c r="Y373" s="88" t="str">
        <f>VLOOKUP(Transactions[[#This Row],[Symbol]],Symbols[], COLUMN(Symbols[Currency])-COLUMN(Symbols[])+1,FALSE)</f>
        <v>USD</v>
      </c>
    </row>
    <row r="374" spans="1:25">
      <c r="A374" s="75" t="s">
        <v>65</v>
      </c>
      <c r="B374" s="76">
        <v>43138</v>
      </c>
      <c r="C374" s="75" t="s">
        <v>123</v>
      </c>
      <c r="D374" s="75"/>
      <c r="E374" s="75" t="s">
        <v>20</v>
      </c>
      <c r="F374" s="77"/>
      <c r="G374" s="78"/>
      <c r="H374" s="77"/>
      <c r="I374" s="77"/>
      <c r="J374" s="79">
        <v>61.47</v>
      </c>
      <c r="K374" s="6" t="s">
        <v>441</v>
      </c>
      <c r="L374" s="20">
        <f>IF(ISNA(MATCH(Transactions[[#This Row],[TransType]],TransTypes[TransType],0)),1,MATCH(Transactions[[#This Row],[TransType]],TransTypes[TransType],0))</f>
        <v>7</v>
      </c>
      <c r="M374" s="80">
        <f>IF( AND( INDEX(TransTypes[],Transactions[[#This Row],[TTR]],TT_COL_GLFlag)=1, INDEX(TransTypes[],Transactions[[#This Row],[TTR]],TT_COL_LONGORSHORT)="S" ),
      Transactions[[#This Row],[PL]],
      IF(INDEX(TransTypes[],Transactions[[#This Row],[TTR]],TT_COL_LONGORSHORT)="S",0,Transactions[[#This Row],[CalCashImpact]])
)</f>
        <v>-61.47</v>
      </c>
      <c r="N374" s="81">
        <f>IF(VLOOKUP(Transactions[[#This Row],[Symbol]],Symbols[],COLUMN(Symbols[Currency])-COLUMN(Symbols[])+1,FALSE)=
       VLOOKUP(Transactions[[#This Row],[Account]],Accounts[],COLUMN(Accounts[Currency])-COLUMN(Accounts[])+1,FALSE),
     Transactions[[#This Row],[OrigCashImpact]],
     0
)</f>
        <v>-61.47</v>
      </c>
      <c r="O37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-14391.551023769844</v>
      </c>
      <c r="P37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7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1948</v>
      </c>
      <c r="R374" s="41">
        <f>ROW()</f>
        <v>374</v>
      </c>
      <c r="S3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242780.12352745948</v>
      </c>
      <c r="U37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1948</v>
      </c>
      <c r="V374" s="86">
        <f>IF(INDEX(TransTypes[],Transactions[[#This Row],[TTR]],TT_COL_GLFlag)=1,Transactions[[#This Row],[CalCashImpact]]+Transactions[[#This Row],[CostImpact]],0)</f>
        <v>0</v>
      </c>
      <c r="W374" s="87">
        <f>Transactions[[#This Row],[Amount]]*INDEX(TransTypes[],Transactions[[#This Row],[TTR]],TT_COL_AmntSign)</f>
        <v>-61.47</v>
      </c>
      <c r="X374" s="87">
        <f>IF(INDEX(TransTypes[],Transactions[[#This Row],[TTR]],TT_COL_LONGORSHORT)="S",
      IF( OR(INDEX(TransTypes[],Transactions[[#This Row],[TTR]],TT_COL_GLFlag)=1, INDEX(TransTypes[], Transactions[[#This Row],[TTR]], TT_COL_ShareTransferFlag)=1),
            Transactions[[#This Row],[CostImpact]]*-1,
            Transactions[[#This Row],[CalCashImpact]]
      ),
     0
)</f>
        <v>0</v>
      </c>
      <c r="Y374" s="88" t="str">
        <f>VLOOKUP(Transactions[[#This Row],[Symbol]],Symbols[], COLUMN(Symbols[Currency])-COLUMN(Symbols[])+1,FALSE)</f>
        <v>USD</v>
      </c>
    </row>
    <row r="375" spans="1:25">
      <c r="A375" s="75" t="s">
        <v>65</v>
      </c>
      <c r="B375" s="76">
        <v>43138</v>
      </c>
      <c r="C375" s="75" t="s">
        <v>123</v>
      </c>
      <c r="D375" s="75"/>
      <c r="E375" s="75" t="s">
        <v>20</v>
      </c>
      <c r="F375" s="77"/>
      <c r="G375" s="78"/>
      <c r="H375" s="77"/>
      <c r="I375" s="77"/>
      <c r="J375" s="79">
        <v>5.27</v>
      </c>
      <c r="K375" s="6" t="s">
        <v>369</v>
      </c>
      <c r="L375" s="20">
        <f>IF(ISNA(MATCH(Transactions[[#This Row],[TransType]],TransTypes[TransType],0)),1,MATCH(Transactions[[#This Row],[TransType]],TransTypes[TransType],0))</f>
        <v>7</v>
      </c>
      <c r="M375" s="80">
        <f>IF( AND( INDEX(TransTypes[],Transactions[[#This Row],[TTR]],TT_COL_GLFlag)=1, INDEX(TransTypes[],Transactions[[#This Row],[TTR]],TT_COL_LONGORSHORT)="S" ),
      Transactions[[#This Row],[PL]],
      IF(INDEX(TransTypes[],Transactions[[#This Row],[TTR]],TT_COL_LONGORSHORT)="S",0,Transactions[[#This Row],[CalCashImpact]])
)</f>
        <v>-5.27</v>
      </c>
      <c r="N375" s="81">
        <f>IF(VLOOKUP(Transactions[[#This Row],[Symbol]],Symbols[],COLUMN(Symbols[Currency])-COLUMN(Symbols[])+1,FALSE)=
       VLOOKUP(Transactions[[#This Row],[Account]],Accounts[],COLUMN(Accounts[Currency])-COLUMN(Accounts[])+1,FALSE),
     Transactions[[#This Row],[OrigCashImpact]],
     0
)</f>
        <v>-5.27</v>
      </c>
      <c r="O37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-14396.821023769844</v>
      </c>
      <c r="P37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7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1948</v>
      </c>
      <c r="R375" s="41">
        <f>ROW()</f>
        <v>375</v>
      </c>
      <c r="S3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242780.12352745948</v>
      </c>
      <c r="U37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1948</v>
      </c>
      <c r="V375" s="86">
        <f>IF(INDEX(TransTypes[],Transactions[[#This Row],[TTR]],TT_COL_GLFlag)=1,Transactions[[#This Row],[CalCashImpact]]+Transactions[[#This Row],[CostImpact]],0)</f>
        <v>0</v>
      </c>
      <c r="W375" s="87">
        <f>Transactions[[#This Row],[Amount]]*INDEX(TransTypes[],Transactions[[#This Row],[TTR]],TT_COL_AmntSign)</f>
        <v>-5.27</v>
      </c>
      <c r="X375" s="87">
        <f>IF(INDEX(TransTypes[],Transactions[[#This Row],[TTR]],TT_COL_LONGORSHORT)="S",
      IF( OR(INDEX(TransTypes[],Transactions[[#This Row],[TTR]],TT_COL_GLFlag)=1, INDEX(TransTypes[], Transactions[[#This Row],[TTR]], TT_COL_ShareTransferFlag)=1),
            Transactions[[#This Row],[CostImpact]]*-1,
            Transactions[[#This Row],[CalCashImpact]]
      ),
     0
)</f>
        <v>0</v>
      </c>
      <c r="Y375" s="88" t="str">
        <f>VLOOKUP(Transactions[[#This Row],[Symbol]],Symbols[], COLUMN(Symbols[Currency])-COLUMN(Symbols[])+1,FALSE)</f>
        <v>USD</v>
      </c>
    </row>
    <row r="376" spans="1:25">
      <c r="A376" s="75" t="s">
        <v>65</v>
      </c>
      <c r="B376" s="76">
        <v>43138</v>
      </c>
      <c r="C376" s="75" t="s">
        <v>123</v>
      </c>
      <c r="D376" s="75"/>
      <c r="E376" s="75" t="s">
        <v>20</v>
      </c>
      <c r="F376" s="77"/>
      <c r="G376" s="78"/>
      <c r="H376" s="77"/>
      <c r="I376" s="77"/>
      <c r="J376" s="79">
        <v>-61.47</v>
      </c>
      <c r="K376" s="6" t="s">
        <v>441</v>
      </c>
      <c r="L376" s="20">
        <f>IF(ISNA(MATCH(Transactions[[#This Row],[TransType]],TransTypes[TransType],0)),1,MATCH(Transactions[[#This Row],[TransType]],TransTypes[TransType],0))</f>
        <v>7</v>
      </c>
      <c r="M376" s="80">
        <f>IF( AND( INDEX(TransTypes[],Transactions[[#This Row],[TTR]],TT_COL_GLFlag)=1, INDEX(TransTypes[],Transactions[[#This Row],[TTR]],TT_COL_LONGORSHORT)="S" ),
      Transactions[[#This Row],[PL]],
      IF(INDEX(TransTypes[],Transactions[[#This Row],[TTR]],TT_COL_LONGORSHORT)="S",0,Transactions[[#This Row],[CalCashImpact]])
)</f>
        <v>61.47</v>
      </c>
      <c r="N376" s="81">
        <f>IF(VLOOKUP(Transactions[[#This Row],[Symbol]],Symbols[],COLUMN(Symbols[Currency])-COLUMN(Symbols[])+1,FALSE)=
       VLOOKUP(Transactions[[#This Row],[Account]],Accounts[],COLUMN(Accounts[Currency])-COLUMN(Accounts[])+1,FALSE),
     Transactions[[#This Row],[OrigCashImpact]],
     0
)</f>
        <v>61.47</v>
      </c>
      <c r="O37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-14335.351023769843</v>
      </c>
      <c r="P37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7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1948</v>
      </c>
      <c r="R376" s="41">
        <f>ROW()</f>
        <v>376</v>
      </c>
      <c r="S3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242780.12352745948</v>
      </c>
      <c r="U37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1948</v>
      </c>
      <c r="V376" s="86">
        <f>IF(INDEX(TransTypes[],Transactions[[#This Row],[TTR]],TT_COL_GLFlag)=1,Transactions[[#This Row],[CalCashImpact]]+Transactions[[#This Row],[CostImpact]],0)</f>
        <v>0</v>
      </c>
      <c r="W376" s="87">
        <f>Transactions[[#This Row],[Amount]]*INDEX(TransTypes[],Transactions[[#This Row],[TTR]],TT_COL_AmntSign)</f>
        <v>61.47</v>
      </c>
      <c r="X376" s="87">
        <f>IF(INDEX(TransTypes[],Transactions[[#This Row],[TTR]],TT_COL_LONGORSHORT)="S",
      IF( OR(INDEX(TransTypes[],Transactions[[#This Row],[TTR]],TT_COL_GLFlag)=1, INDEX(TransTypes[], Transactions[[#This Row],[TTR]], TT_COL_ShareTransferFlag)=1),
            Transactions[[#This Row],[CostImpact]]*-1,
            Transactions[[#This Row],[CalCashImpact]]
      ),
     0
)</f>
        <v>0</v>
      </c>
      <c r="Y376" s="88" t="str">
        <f>VLOOKUP(Transactions[[#This Row],[Symbol]],Symbols[], COLUMN(Symbols[Currency])-COLUMN(Symbols[])+1,FALSE)</f>
        <v>USD</v>
      </c>
    </row>
    <row r="377" spans="1:25">
      <c r="A377" s="75" t="s">
        <v>65</v>
      </c>
      <c r="B377" s="76">
        <v>43138</v>
      </c>
      <c r="C377" s="75" t="s">
        <v>123</v>
      </c>
      <c r="D377" s="75"/>
      <c r="E377" s="75" t="s">
        <v>20</v>
      </c>
      <c r="F377" s="77"/>
      <c r="G377" s="78"/>
      <c r="H377" s="77"/>
      <c r="I377" s="77"/>
      <c r="J377" s="79">
        <v>-5.27</v>
      </c>
      <c r="K377" s="6" t="s">
        <v>369</v>
      </c>
      <c r="L377" s="20">
        <f>IF(ISNA(MATCH(Transactions[[#This Row],[TransType]],TransTypes[TransType],0)),1,MATCH(Transactions[[#This Row],[TransType]],TransTypes[TransType],0))</f>
        <v>7</v>
      </c>
      <c r="M377" s="80">
        <f>IF( AND( INDEX(TransTypes[],Transactions[[#This Row],[TTR]],TT_COL_GLFlag)=1, INDEX(TransTypes[],Transactions[[#This Row],[TTR]],TT_COL_LONGORSHORT)="S" ),
      Transactions[[#This Row],[PL]],
      IF(INDEX(TransTypes[],Transactions[[#This Row],[TTR]],TT_COL_LONGORSHORT)="S",0,Transactions[[#This Row],[CalCashImpact]])
)</f>
        <v>5.27</v>
      </c>
      <c r="N377" s="81">
        <f>IF(VLOOKUP(Transactions[[#This Row],[Symbol]],Symbols[],COLUMN(Symbols[Currency])-COLUMN(Symbols[])+1,FALSE)=
       VLOOKUP(Transactions[[#This Row],[Account]],Accounts[],COLUMN(Accounts[Currency])-COLUMN(Accounts[])+1,FALSE),
     Transactions[[#This Row],[OrigCashImpact]],
     0
)</f>
        <v>5.27</v>
      </c>
      <c r="O37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-14330.081023769844</v>
      </c>
      <c r="P37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7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1948</v>
      </c>
      <c r="R377" s="41">
        <f>ROW()</f>
        <v>377</v>
      </c>
      <c r="S3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242780.12352745948</v>
      </c>
      <c r="U37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1948</v>
      </c>
      <c r="V377" s="86">
        <f>IF(INDEX(TransTypes[],Transactions[[#This Row],[TTR]],TT_COL_GLFlag)=1,Transactions[[#This Row],[CalCashImpact]]+Transactions[[#This Row],[CostImpact]],0)</f>
        <v>0</v>
      </c>
      <c r="W377" s="87">
        <f>Transactions[[#This Row],[Amount]]*INDEX(TransTypes[],Transactions[[#This Row],[TTR]],TT_COL_AmntSign)</f>
        <v>5.27</v>
      </c>
      <c r="X377" s="87">
        <f>IF(INDEX(TransTypes[],Transactions[[#This Row],[TTR]],TT_COL_LONGORSHORT)="S",
      IF( OR(INDEX(TransTypes[],Transactions[[#This Row],[TTR]],TT_COL_GLFlag)=1, INDEX(TransTypes[], Transactions[[#This Row],[TTR]], TT_COL_ShareTransferFlag)=1),
            Transactions[[#This Row],[CostImpact]]*-1,
            Transactions[[#This Row],[CalCashImpact]]
      ),
     0
)</f>
        <v>0</v>
      </c>
      <c r="Y377" s="88" t="str">
        <f>VLOOKUP(Transactions[[#This Row],[Symbol]],Symbols[], COLUMN(Symbols[Currency])-COLUMN(Symbols[])+1,FALSE)</f>
        <v>USD</v>
      </c>
    </row>
    <row r="378" spans="1:25">
      <c r="A378" s="75" t="s">
        <v>65</v>
      </c>
      <c r="B378" s="76">
        <v>43139</v>
      </c>
      <c r="C378" s="75" t="s">
        <v>113</v>
      </c>
      <c r="D378" s="75"/>
      <c r="E378" s="75" t="s">
        <v>7</v>
      </c>
      <c r="F378" s="77">
        <v>10</v>
      </c>
      <c r="G378" s="78">
        <v>1041.04</v>
      </c>
      <c r="H378" s="77">
        <v>1</v>
      </c>
      <c r="I378" s="77"/>
      <c r="J378" s="79">
        <v>10411.4</v>
      </c>
      <c r="K378" s="6"/>
      <c r="L378" s="20">
        <f>IF(ISNA(MATCH(Transactions[[#This Row],[TransType]],TransTypes[TransType],0)),1,MATCH(Transactions[[#This Row],[TransType]],TransTypes[TransType],0))</f>
        <v>2</v>
      </c>
      <c r="M378" s="80">
        <f>IF( AND( INDEX(TransTypes[],Transactions[[#This Row],[TTR]],TT_COL_GLFlag)=1, INDEX(TransTypes[],Transactions[[#This Row],[TTR]],TT_COL_LONGORSHORT)="S" ),
      Transactions[[#This Row],[PL]],
      IF(INDEX(TransTypes[],Transactions[[#This Row],[TTR]],TT_COL_LONGORSHORT)="S",0,Transactions[[#This Row],[CalCashImpact]])
)</f>
        <v>-10411.4</v>
      </c>
      <c r="N378" s="81">
        <f>IF(VLOOKUP(Transactions[[#This Row],[Symbol]],Symbols[],COLUMN(Symbols[Currency])-COLUMN(Symbols[])+1,FALSE)=
       VLOOKUP(Transactions[[#This Row],[Account]],Accounts[],COLUMN(Accounts[Currency])-COLUMN(Accounts[])+1,FALSE),
     Transactions[[#This Row],[OrigCashImpact]],
     0
)</f>
        <v>-10411.4</v>
      </c>
      <c r="O37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-24741.481023769844</v>
      </c>
      <c r="P37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v>
      </c>
      <c r="Q37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v>
      </c>
      <c r="R378" s="41">
        <f>ROW()</f>
        <v>378</v>
      </c>
      <c r="S3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10411.4</v>
      </c>
      <c r="T3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161538.204</v>
      </c>
      <c r="U37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v>
      </c>
      <c r="V378" s="86">
        <f>IF(INDEX(TransTypes[],Transactions[[#This Row],[TTR]],TT_COL_GLFlag)=1,Transactions[[#This Row],[CalCashImpact]]+Transactions[[#This Row],[CostImpact]],0)</f>
        <v>0</v>
      </c>
      <c r="W378" s="87">
        <f>Transactions[[#This Row],[Amount]]*INDEX(TransTypes[],Transactions[[#This Row],[TTR]],TT_COL_AmntSign)</f>
        <v>-10411.4</v>
      </c>
      <c r="X378" s="87">
        <f>IF(INDEX(TransTypes[],Transactions[[#This Row],[TTR]],TT_COL_LONGORSHORT)="S",
      IF( OR(INDEX(TransTypes[],Transactions[[#This Row],[TTR]],TT_COL_GLFlag)=1, INDEX(TransTypes[], Transactions[[#This Row],[TTR]], TT_COL_ShareTransferFlag)=1),
            Transactions[[#This Row],[CostImpact]]*-1,
            Transactions[[#This Row],[CalCashImpact]]
      ),
     0
)</f>
        <v>0</v>
      </c>
      <c r="Y378" s="88" t="str">
        <f>VLOOKUP(Transactions[[#This Row],[Symbol]],Symbols[], COLUMN(Symbols[Currency])-COLUMN(Symbols[])+1,FALSE)</f>
        <v>USD</v>
      </c>
    </row>
    <row r="379" spans="1:25">
      <c r="A379" s="75" t="s">
        <v>65</v>
      </c>
      <c r="B379" s="76">
        <v>43139</v>
      </c>
      <c r="C379" s="75" t="s">
        <v>115</v>
      </c>
      <c r="D379" s="75"/>
      <c r="E379" s="75" t="s">
        <v>311</v>
      </c>
      <c r="F379" s="77">
        <v>1000</v>
      </c>
      <c r="G379" s="78">
        <v>27.0642</v>
      </c>
      <c r="H379" s="77">
        <v>5.7441830200000004</v>
      </c>
      <c r="I379" s="77"/>
      <c r="J379" s="79">
        <v>27058.45581698</v>
      </c>
      <c r="K379" s="6"/>
      <c r="L379" s="20">
        <f>IF(ISNA(MATCH(Transactions[[#This Row],[TransType]],TransTypes[TransType],0)),1,MATCH(Transactions[[#This Row],[TransType]],TransTypes[TransType],0))</f>
        <v>3</v>
      </c>
      <c r="M379" s="80">
        <f>IF( AND( INDEX(TransTypes[],Transactions[[#This Row],[TTR]],TT_COL_GLFlag)=1, INDEX(TransTypes[],Transactions[[#This Row],[TTR]],TT_COL_LONGORSHORT)="S" ),
      Transactions[[#This Row],[PL]],
      IF(INDEX(TransTypes[],Transactions[[#This Row],[TTR]],TT_COL_LONGORSHORT)="S",0,Transactions[[#This Row],[CalCashImpact]])
)</f>
        <v>27058.45581698</v>
      </c>
      <c r="N379" s="81">
        <f>IF(VLOOKUP(Transactions[[#This Row],[Symbol]],Symbols[],COLUMN(Symbols[Currency])-COLUMN(Symbols[])+1,FALSE)=
       VLOOKUP(Transactions[[#This Row],[Account]],Accounts[],COLUMN(Accounts[Currency])-COLUMN(Accounts[])+1,FALSE),
     Transactions[[#This Row],[OrigCashImpact]],
     0
)</f>
        <v>27058.45581698</v>
      </c>
      <c r="O37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2316.9747932101545</v>
      </c>
      <c r="P37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37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379" s="41">
        <f>ROW()</f>
        <v>379</v>
      </c>
      <c r="S3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-25456.178199999984</v>
      </c>
      <c r="T3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63640.445499999958</v>
      </c>
      <c r="U37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379" s="86">
        <f>IF(INDEX(TransTypes[],Transactions[[#This Row],[TTR]],TT_COL_GLFlag)=1,Transactions[[#This Row],[CalCashImpact]]+Transactions[[#This Row],[CostImpact]],0)</f>
        <v>1602.2776169800163</v>
      </c>
      <c r="W379" s="87">
        <f>Transactions[[#This Row],[Amount]]*INDEX(TransTypes[],Transactions[[#This Row],[TTR]],TT_COL_AmntSign)</f>
        <v>27058.45581698</v>
      </c>
      <c r="X379" s="87">
        <f>IF(INDEX(TransTypes[],Transactions[[#This Row],[TTR]],TT_COL_LONGORSHORT)="S",
      IF( OR(INDEX(TransTypes[],Transactions[[#This Row],[TTR]],TT_COL_GLFlag)=1, INDEX(TransTypes[], Transactions[[#This Row],[TTR]], TT_COL_ShareTransferFlag)=1),
            Transactions[[#This Row],[CostImpact]]*-1,
            Transactions[[#This Row],[CalCashImpact]]
      ),
     0
)</f>
        <v>0</v>
      </c>
      <c r="Y379" s="88" t="str">
        <f>VLOOKUP(Transactions[[#This Row],[Symbol]],Symbols[], COLUMN(Symbols[Currency])-COLUMN(Symbols[])+1,FALSE)</f>
        <v>USD</v>
      </c>
    </row>
    <row r="380" spans="1:25">
      <c r="A380" s="75" t="s">
        <v>65</v>
      </c>
      <c r="B380" s="76">
        <v>43139</v>
      </c>
      <c r="C380" s="75" t="s">
        <v>115</v>
      </c>
      <c r="D380" s="75"/>
      <c r="E380" s="75" t="s">
        <v>311</v>
      </c>
      <c r="F380" s="77">
        <v>1000</v>
      </c>
      <c r="G380" s="78">
        <v>26.42</v>
      </c>
      <c r="H380" s="77">
        <v>5.7293019999999997</v>
      </c>
      <c r="I380" s="77"/>
      <c r="J380" s="79">
        <v>26414.270698</v>
      </c>
      <c r="K380" s="6"/>
      <c r="L380" s="20">
        <f>IF(ISNA(MATCH(Transactions[[#This Row],[TransType]],TransTypes[TransType],0)),1,MATCH(Transactions[[#This Row],[TransType]],TransTypes[TransType],0))</f>
        <v>3</v>
      </c>
      <c r="M380" s="80">
        <f>IF( AND( INDEX(TransTypes[],Transactions[[#This Row],[TTR]],TT_COL_GLFlag)=1, INDEX(TransTypes[],Transactions[[#This Row],[TTR]],TT_COL_LONGORSHORT)="S" ),
      Transactions[[#This Row],[PL]],
      IF(INDEX(TransTypes[],Transactions[[#This Row],[TTR]],TT_COL_LONGORSHORT)="S",0,Transactions[[#This Row],[CalCashImpact]])
)</f>
        <v>26414.270698</v>
      </c>
      <c r="N380" s="81">
        <f>IF(VLOOKUP(Transactions[[#This Row],[Symbol]],Symbols[],COLUMN(Symbols[Currency])-COLUMN(Symbols[])+1,FALSE)=
       VLOOKUP(Transactions[[#This Row],[Account]],Accounts[],COLUMN(Accounts[Currency])-COLUMN(Accounts[])+1,FALSE),
     Transactions[[#This Row],[OrigCashImpact]],
     0
)</f>
        <v>26414.270698</v>
      </c>
      <c r="O38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28731.245491210153</v>
      </c>
      <c r="P38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38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380" s="41">
        <f>ROW()</f>
        <v>380</v>
      </c>
      <c r="S3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-25456.178199999984</v>
      </c>
      <c r="T3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38184.26729999997</v>
      </c>
      <c r="U38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v>
      </c>
      <c r="V380" s="86">
        <f>IF(INDEX(TransTypes[],Transactions[[#This Row],[TTR]],TT_COL_GLFlag)=1,Transactions[[#This Row],[CalCashImpact]]+Transactions[[#This Row],[CostImpact]],0)</f>
        <v>958.09249800001635</v>
      </c>
      <c r="W380" s="87">
        <f>Transactions[[#This Row],[Amount]]*INDEX(TransTypes[],Transactions[[#This Row],[TTR]],TT_COL_AmntSign)</f>
        <v>26414.270698</v>
      </c>
      <c r="X380" s="87">
        <f>IF(INDEX(TransTypes[],Transactions[[#This Row],[TTR]],TT_COL_LONGORSHORT)="S",
      IF( OR(INDEX(TransTypes[],Transactions[[#This Row],[TTR]],TT_COL_GLFlag)=1, INDEX(TransTypes[], Transactions[[#This Row],[TTR]], TT_COL_ShareTransferFlag)=1),
            Transactions[[#This Row],[CostImpact]]*-1,
            Transactions[[#This Row],[CalCashImpact]]
      ),
     0
)</f>
        <v>0</v>
      </c>
      <c r="Y380" s="88" t="str">
        <f>VLOOKUP(Transactions[[#This Row],[Symbol]],Symbols[], COLUMN(Symbols[Currency])-COLUMN(Symbols[])+1,FALSE)</f>
        <v>USD</v>
      </c>
    </row>
    <row r="381" spans="1:25">
      <c r="A381" s="75" t="s">
        <v>65</v>
      </c>
      <c r="B381" s="76">
        <v>43139</v>
      </c>
      <c r="C381" s="75" t="s">
        <v>113</v>
      </c>
      <c r="D381" s="75"/>
      <c r="E381" s="75" t="s">
        <v>20</v>
      </c>
      <c r="F381" s="77">
        <v>800</v>
      </c>
      <c r="G381" s="78">
        <v>118.88</v>
      </c>
      <c r="H381" s="77">
        <v>4</v>
      </c>
      <c r="I381" s="77"/>
      <c r="J381" s="79">
        <v>95108</v>
      </c>
      <c r="K381" s="6"/>
      <c r="L381" s="20">
        <f>IF(ISNA(MATCH(Transactions[[#This Row],[TransType]],TransTypes[TransType],0)),1,MATCH(Transactions[[#This Row],[TransType]],TransTypes[TransType],0))</f>
        <v>2</v>
      </c>
      <c r="M381" s="80">
        <f>IF( AND( INDEX(TransTypes[],Transactions[[#This Row],[TTR]],TT_COL_GLFlag)=1, INDEX(TransTypes[],Transactions[[#This Row],[TTR]],TT_COL_LONGORSHORT)="S" ),
      Transactions[[#This Row],[PL]],
      IF(INDEX(TransTypes[],Transactions[[#This Row],[TTR]],TT_COL_LONGORSHORT)="S",0,Transactions[[#This Row],[CalCashImpact]])
)</f>
        <v>-95108</v>
      </c>
      <c r="N381" s="81">
        <f>IF(VLOOKUP(Transactions[[#This Row],[Symbol]],Symbols[],COLUMN(Symbols[Currency])-COLUMN(Symbols[])+1,FALSE)=
       VLOOKUP(Transactions[[#This Row],[Account]],Accounts[],COLUMN(Accounts[Currency])-COLUMN(Accounts[])+1,FALSE),
     Transactions[[#This Row],[OrigCashImpact]],
     0
)</f>
        <v>-95108</v>
      </c>
      <c r="O38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-66376.754508789847</v>
      </c>
      <c r="P38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v>
      </c>
      <c r="Q38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2748</v>
      </c>
      <c r="R381" s="41">
        <f>ROW()</f>
        <v>381</v>
      </c>
      <c r="S3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95108</v>
      </c>
      <c r="T3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337888.12352745945</v>
      </c>
      <c r="U38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2748</v>
      </c>
      <c r="V381" s="86">
        <f>IF(INDEX(TransTypes[],Transactions[[#This Row],[TTR]],TT_COL_GLFlag)=1,Transactions[[#This Row],[CalCashImpact]]+Transactions[[#This Row],[CostImpact]],0)</f>
        <v>0</v>
      </c>
      <c r="W381" s="87">
        <f>Transactions[[#This Row],[Amount]]*INDEX(TransTypes[],Transactions[[#This Row],[TTR]],TT_COL_AmntSign)</f>
        <v>-95108</v>
      </c>
      <c r="X381" s="87">
        <f>IF(INDEX(TransTypes[],Transactions[[#This Row],[TTR]],TT_COL_LONGORSHORT)="S",
      IF( OR(INDEX(TransTypes[],Transactions[[#This Row],[TTR]],TT_COL_GLFlag)=1, INDEX(TransTypes[], Transactions[[#This Row],[TTR]], TT_COL_ShareTransferFlag)=1),
            Transactions[[#This Row],[CostImpact]]*-1,
            Transactions[[#This Row],[CalCashImpact]]
      ),
     0
)</f>
        <v>0</v>
      </c>
      <c r="Y381" s="88" t="str">
        <f>VLOOKUP(Transactions[[#This Row],[Symbol]],Symbols[], COLUMN(Symbols[Currency])-COLUMN(Symbols[])+1,FALSE)</f>
        <v>USD</v>
      </c>
    </row>
    <row r="382" spans="1:25">
      <c r="A382" s="75" t="s">
        <v>65</v>
      </c>
      <c r="B382" s="76">
        <v>43139</v>
      </c>
      <c r="C382" s="75" t="s">
        <v>115</v>
      </c>
      <c r="D382" s="75"/>
      <c r="E382" s="75" t="s">
        <v>316</v>
      </c>
      <c r="F382" s="77">
        <v>100</v>
      </c>
      <c r="G382" s="78">
        <v>338.7</v>
      </c>
      <c r="H382" s="77">
        <v>1.794297</v>
      </c>
      <c r="I382" s="77"/>
      <c r="J382" s="79">
        <v>33868.205703</v>
      </c>
      <c r="K382" s="6"/>
      <c r="L382" s="20">
        <f>IF(ISNA(MATCH(Transactions[[#This Row],[TransType]],TransTypes[TransType],0)),1,MATCH(Transactions[[#This Row],[TransType]],TransTypes[TransType],0))</f>
        <v>3</v>
      </c>
      <c r="M382" s="80">
        <f>IF( AND( INDEX(TransTypes[],Transactions[[#This Row],[TTR]],TT_COL_GLFlag)=1, INDEX(TransTypes[],Transactions[[#This Row],[TTR]],TT_COL_LONGORSHORT)="S" ),
      Transactions[[#This Row],[PL]],
      IF(INDEX(TransTypes[],Transactions[[#This Row],[TTR]],TT_COL_LONGORSHORT)="S",0,Transactions[[#This Row],[CalCashImpact]])
)</f>
        <v>33868.205703</v>
      </c>
      <c r="N382" s="81">
        <f>IF(VLOOKUP(Transactions[[#This Row],[Symbol]],Symbols[],COLUMN(Symbols[Currency])-COLUMN(Symbols[])+1,FALSE)=
       VLOOKUP(Transactions[[#This Row],[Account]],Accounts[],COLUMN(Accounts[Currency])-COLUMN(Accounts[])+1,FALSE),
     Transactions[[#This Row],[OrigCashImpact]],
     0
)</f>
        <v>33868.205703</v>
      </c>
      <c r="O38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-32508.548805789847</v>
      </c>
      <c r="P38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38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v>
      </c>
      <c r="R382" s="41">
        <f>ROW()</f>
        <v>382</v>
      </c>
      <c r="S3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-31106.84403669725</v>
      </c>
      <c r="T3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31106.844036697243</v>
      </c>
      <c r="U38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382" s="86">
        <f>IF(INDEX(TransTypes[],Transactions[[#This Row],[TTR]],TT_COL_GLFlag)=1,Transactions[[#This Row],[CalCashImpact]]+Transactions[[#This Row],[CostImpact]],0)</f>
        <v>2761.3616663027497</v>
      </c>
      <c r="W382" s="87">
        <f>Transactions[[#This Row],[Amount]]*INDEX(TransTypes[],Transactions[[#This Row],[TTR]],TT_COL_AmntSign)</f>
        <v>33868.205703</v>
      </c>
      <c r="X382" s="87">
        <f>IF(INDEX(TransTypes[],Transactions[[#This Row],[TTR]],TT_COL_LONGORSHORT)="S",
      IF( OR(INDEX(TransTypes[],Transactions[[#This Row],[TTR]],TT_COL_GLFlag)=1, INDEX(TransTypes[], Transactions[[#This Row],[TTR]], TT_COL_ShareTransferFlag)=1),
            Transactions[[#This Row],[CostImpact]]*-1,
            Transactions[[#This Row],[CalCashImpact]]
      ),
     0
)</f>
        <v>0</v>
      </c>
      <c r="Y382" s="88" t="str">
        <f>VLOOKUP(Transactions[[#This Row],[Symbol]],Symbols[], COLUMN(Symbols[Currency])-COLUMN(Symbols[])+1,FALSE)</f>
        <v>USD</v>
      </c>
    </row>
    <row r="383" spans="1:25">
      <c r="A383" s="75" t="s">
        <v>65</v>
      </c>
      <c r="B383" s="76">
        <v>43139</v>
      </c>
      <c r="C383" s="75" t="s">
        <v>158</v>
      </c>
      <c r="D383" s="75"/>
      <c r="E383" s="75" t="s">
        <v>415</v>
      </c>
      <c r="F383" s="77">
        <v>4</v>
      </c>
      <c r="G383" s="78">
        <v>8.6999999999999993</v>
      </c>
      <c r="H383" s="77">
        <v>1.879588</v>
      </c>
      <c r="I383" s="77"/>
      <c r="J383" s="79">
        <v>3478.1204120000002</v>
      </c>
      <c r="K383" s="6"/>
      <c r="L383" s="20">
        <f>IF(ISNA(MATCH(Transactions[[#This Row],[TransType]],TransTypes[TransType],0)),1,MATCH(Transactions[[#This Row],[TransType]],TransTypes[TransType],0))</f>
        <v>19</v>
      </c>
      <c r="M383" s="80">
        <f>IF( AND( INDEX(TransTypes[],Transactions[[#This Row],[TTR]],TT_COL_GLFlag)=1, INDEX(TransTypes[],Transactions[[#This Row],[TTR]],TT_COL_LONGORSHORT)="S" ),
      Transactions[[#This Row],[PL]],
      IF(INDEX(TransTypes[],Transactions[[#This Row],[TTR]],TT_COL_LONGORSHORT)="S",0,Transactions[[#This Row],[CalCashImpact]])
)</f>
        <v>0</v>
      </c>
      <c r="N383" s="81">
        <f>IF(VLOOKUP(Transactions[[#This Row],[Symbol]],Symbols[],COLUMN(Symbols[Currency])-COLUMN(Symbols[])+1,FALSE)=
       VLOOKUP(Transactions[[#This Row],[Account]],Accounts[],COLUMN(Accounts[Currency])-COLUMN(Accounts[])+1,FALSE),
     Transactions[[#This Row],[OrigCashImpact]],
     0
)</f>
        <v>0</v>
      </c>
      <c r="O38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-32508.548805789847</v>
      </c>
      <c r="P38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38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v>
      </c>
      <c r="R383" s="41">
        <f>ROW()</f>
        <v>383</v>
      </c>
      <c r="S3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-3478.1204120000002</v>
      </c>
      <c r="T3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-3478.1204120000002</v>
      </c>
      <c r="U38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383" s="86">
        <f>IF(INDEX(TransTypes[],Transactions[[#This Row],[TTR]],TT_COL_GLFlag)=1,Transactions[[#This Row],[CalCashImpact]]+Transactions[[#This Row],[CostImpact]],0)</f>
        <v>0</v>
      </c>
      <c r="W383" s="87">
        <f>Transactions[[#This Row],[Amount]]*INDEX(TransTypes[],Transactions[[#This Row],[TTR]],TT_COL_AmntSign)</f>
        <v>3478.1204120000002</v>
      </c>
      <c r="X383" s="87">
        <f>IF(INDEX(TransTypes[],Transactions[[#This Row],[TTR]],TT_COL_LONGORSHORT)="S",
      IF( OR(INDEX(TransTypes[],Transactions[[#This Row],[TTR]],TT_COL_GLFlag)=1, INDEX(TransTypes[], Transactions[[#This Row],[TTR]], TT_COL_ShareTransferFlag)=1),
            Transactions[[#This Row],[CostImpact]]*-1,
            Transactions[[#This Row],[CalCashImpact]]
      ),
     0
)</f>
        <v>3478.1204120000002</v>
      </c>
      <c r="Y383" s="88" t="str">
        <f>VLOOKUP(Transactions[[#This Row],[Symbol]],Symbols[], COLUMN(Symbols[Currency])-COLUMN(Symbols[])+1,FALSE)</f>
        <v>USD</v>
      </c>
    </row>
    <row r="384" spans="1:25">
      <c r="A384" s="75" t="s">
        <v>65</v>
      </c>
      <c r="B384" s="76">
        <v>43139</v>
      </c>
      <c r="C384" s="75" t="s">
        <v>160</v>
      </c>
      <c r="D384" s="75"/>
      <c r="E384" s="75" t="s">
        <v>415</v>
      </c>
      <c r="F384" s="77">
        <v>4</v>
      </c>
      <c r="G384" s="78">
        <v>12.15</v>
      </c>
      <c r="H384" s="77">
        <v>4.6512000000000002</v>
      </c>
      <c r="I384" s="77"/>
      <c r="J384" s="79">
        <v>4864.6512000000002</v>
      </c>
      <c r="K384" s="6"/>
      <c r="L384" s="20">
        <f>IF(ISNA(MATCH(Transactions[[#This Row],[TransType]],TransTypes[TransType],0)),1,MATCH(Transactions[[#This Row],[TransType]],TransTypes[TransType],0))</f>
        <v>20</v>
      </c>
      <c r="M384" s="80">
        <f>IF( AND( INDEX(TransTypes[],Transactions[[#This Row],[TTR]],TT_COL_GLFlag)=1, INDEX(TransTypes[],Transactions[[#This Row],[TTR]],TT_COL_LONGORSHORT)="S" ),
      Transactions[[#This Row],[PL]],
      IF(INDEX(TransTypes[],Transactions[[#This Row],[TTR]],TT_COL_LONGORSHORT)="S",0,Transactions[[#This Row],[CalCashImpact]])
)</f>
        <v>-1386.530788</v>
      </c>
      <c r="N384" s="81">
        <f>IF(VLOOKUP(Transactions[[#This Row],[Symbol]],Symbols[],COLUMN(Symbols[Currency])-COLUMN(Symbols[])+1,FALSE)=
       VLOOKUP(Transactions[[#This Row],[Account]],Accounts[],COLUMN(Accounts[Currency])-COLUMN(Accounts[])+1,FALSE),
     Transactions[[#This Row],[OrigCashImpact]],
     0
)</f>
        <v>-1386.530788</v>
      </c>
      <c r="O38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-33895.079593789844</v>
      </c>
      <c r="P38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38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84" s="41">
        <f>ROW()</f>
        <v>384</v>
      </c>
      <c r="S3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3478.1204120000002</v>
      </c>
      <c r="T3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8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384" s="86">
        <f>IF(INDEX(TransTypes[],Transactions[[#This Row],[TTR]],TT_COL_GLFlag)=1,Transactions[[#This Row],[CalCashImpact]]+Transactions[[#This Row],[CostImpact]],0)</f>
        <v>-1386.530788</v>
      </c>
      <c r="W384" s="87">
        <f>Transactions[[#This Row],[Amount]]*INDEX(TransTypes[],Transactions[[#This Row],[TTR]],TT_COL_AmntSign)</f>
        <v>-4864.6512000000002</v>
      </c>
      <c r="X384" s="87">
        <f>IF(INDEX(TransTypes[],Transactions[[#This Row],[TTR]],TT_COL_LONGORSHORT)="S",
      IF( OR(INDEX(TransTypes[],Transactions[[#This Row],[TTR]],TT_COL_GLFlag)=1, INDEX(TransTypes[], Transactions[[#This Row],[TTR]], TT_COL_ShareTransferFlag)=1),
            Transactions[[#This Row],[CostImpact]]*-1,
            Transactions[[#This Row],[CalCashImpact]]
      ),
     0
)</f>
        <v>-3478.1204120000002</v>
      </c>
      <c r="Y384" s="88" t="str">
        <f>VLOOKUP(Transactions[[#This Row],[Symbol]],Symbols[], COLUMN(Symbols[Currency])-COLUMN(Symbols[])+1,FALSE)</f>
        <v>USD</v>
      </c>
    </row>
    <row r="385" spans="1:25">
      <c r="A385" s="75" t="s">
        <v>65</v>
      </c>
      <c r="B385" s="76">
        <v>43139</v>
      </c>
      <c r="C385" s="75" t="s">
        <v>158</v>
      </c>
      <c r="D385" s="75"/>
      <c r="E385" s="75" t="s">
        <v>416</v>
      </c>
      <c r="F385" s="77">
        <v>1</v>
      </c>
      <c r="G385" s="78">
        <v>30312</v>
      </c>
      <c r="H385" s="77">
        <v>30</v>
      </c>
      <c r="I385" s="77"/>
      <c r="J385" s="79">
        <v>1515570</v>
      </c>
      <c r="K385" s="6"/>
      <c r="L385" s="20">
        <f>IF(ISNA(MATCH(Transactions[[#This Row],[TransType]],TransTypes[TransType],0)),1,MATCH(Transactions[[#This Row],[TransType]],TransTypes[TransType],0))</f>
        <v>19</v>
      </c>
      <c r="M385" s="80">
        <f>IF( AND( INDEX(TransTypes[],Transactions[[#This Row],[TTR]],TT_COL_GLFlag)=1, INDEX(TransTypes[],Transactions[[#This Row],[TTR]],TT_COL_LONGORSHORT)="S" ),
      Transactions[[#This Row],[PL]],
      IF(INDEX(TransTypes[],Transactions[[#This Row],[TTR]],TT_COL_LONGORSHORT)="S",0,Transactions[[#This Row],[CalCashImpact]])
)</f>
        <v>0</v>
      </c>
      <c r="N385" s="81">
        <f>IF(VLOOKUP(Transactions[[#This Row],[Symbol]],Symbols[],COLUMN(Symbols[Currency])-COLUMN(Symbols[])+1,FALSE)=
       VLOOKUP(Transactions[[#This Row],[Account]],Accounts[],COLUMN(Accounts[Currency])-COLUMN(Accounts[])+1,FALSE),
     Transactions[[#This Row],[OrigCashImpact]],
     0
)</f>
        <v>0</v>
      </c>
      <c r="O38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-33895.079593789844</v>
      </c>
      <c r="P38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8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v>
      </c>
      <c r="R385" s="41">
        <f>ROW()</f>
        <v>385</v>
      </c>
      <c r="S3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-1515570</v>
      </c>
      <c r="T3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-1515570</v>
      </c>
      <c r="U38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385" s="86">
        <f>IF(INDEX(TransTypes[],Transactions[[#This Row],[TTR]],TT_COL_GLFlag)=1,Transactions[[#This Row],[CalCashImpact]]+Transactions[[#This Row],[CostImpact]],0)</f>
        <v>0</v>
      </c>
      <c r="W385" s="87">
        <f>Transactions[[#This Row],[Amount]]*INDEX(TransTypes[],Transactions[[#This Row],[TTR]],TT_COL_AmntSign)</f>
        <v>1515570</v>
      </c>
      <c r="X385" s="87">
        <f>IF(INDEX(TransTypes[],Transactions[[#This Row],[TTR]],TT_COL_LONGORSHORT)="S",
      IF( OR(INDEX(TransTypes[],Transactions[[#This Row],[TTR]],TT_COL_GLFlag)=1, INDEX(TransTypes[], Transactions[[#This Row],[TTR]], TT_COL_ShareTransferFlag)=1),
            Transactions[[#This Row],[CostImpact]]*-1,
            Transactions[[#This Row],[CalCashImpact]]
      ),
     0
)</f>
        <v>1515570</v>
      </c>
      <c r="Y385" s="88" t="str">
        <f>VLOOKUP(Transactions[[#This Row],[Symbol]],Symbols[], COLUMN(Symbols[Currency])-COLUMN(Symbols[])+1,FALSE)</f>
        <v>HKD</v>
      </c>
    </row>
    <row r="386" spans="1:25">
      <c r="A386" s="75" t="s">
        <v>65</v>
      </c>
      <c r="B386" s="76">
        <v>43139</v>
      </c>
      <c r="C386" s="75" t="s">
        <v>158</v>
      </c>
      <c r="D386" s="75"/>
      <c r="E386" s="75" t="s">
        <v>418</v>
      </c>
      <c r="F386" s="77">
        <v>2</v>
      </c>
      <c r="G386" s="78">
        <v>6467.25</v>
      </c>
      <c r="H386" s="77">
        <v>4.0999999999999996</v>
      </c>
      <c r="I386" s="77"/>
      <c r="J386" s="79">
        <v>258685.9</v>
      </c>
      <c r="K386" s="6"/>
      <c r="L386" s="20">
        <f>IF(ISNA(MATCH(Transactions[[#This Row],[TransType]],TransTypes[TransType],0)),1,MATCH(Transactions[[#This Row],[TransType]],TransTypes[TransType],0))</f>
        <v>19</v>
      </c>
      <c r="M386" s="80">
        <f>IF( AND( INDEX(TransTypes[],Transactions[[#This Row],[TTR]],TT_COL_GLFlag)=1, INDEX(TransTypes[],Transactions[[#This Row],[TTR]],TT_COL_LONGORSHORT)="S" ),
      Transactions[[#This Row],[PL]],
      IF(INDEX(TransTypes[],Transactions[[#This Row],[TTR]],TT_COL_LONGORSHORT)="S",0,Transactions[[#This Row],[CalCashImpact]])
)</f>
        <v>0</v>
      </c>
      <c r="N386" s="81">
        <f>IF(VLOOKUP(Transactions[[#This Row],[Symbol]],Symbols[],COLUMN(Symbols[Currency])-COLUMN(Symbols[])+1,FALSE)=
       VLOOKUP(Transactions[[#This Row],[Account]],Accounts[],COLUMN(Accounts[Currency])-COLUMN(Accounts[])+1,FALSE),
     Transactions[[#This Row],[OrigCashImpact]],
     0
)</f>
        <v>0</v>
      </c>
      <c r="O38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-33895.079593789844</v>
      </c>
      <c r="P38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8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v>
      </c>
      <c r="R386" s="41">
        <f>ROW()</f>
        <v>386</v>
      </c>
      <c r="S3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-258685.9</v>
      </c>
      <c r="T3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-258685.9</v>
      </c>
      <c r="U38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386" s="86">
        <f>IF(INDEX(TransTypes[],Transactions[[#This Row],[TTR]],TT_COL_GLFlag)=1,Transactions[[#This Row],[CalCashImpact]]+Transactions[[#This Row],[CostImpact]],0)</f>
        <v>0</v>
      </c>
      <c r="W386" s="87">
        <f>Transactions[[#This Row],[Amount]]*INDEX(TransTypes[],Transactions[[#This Row],[TTR]],TT_COL_AmntSign)</f>
        <v>258685.9</v>
      </c>
      <c r="X386" s="87">
        <f>IF(INDEX(TransTypes[],Transactions[[#This Row],[TTR]],TT_COL_LONGORSHORT)="S",
      IF( OR(INDEX(TransTypes[],Transactions[[#This Row],[TTR]],TT_COL_GLFlag)=1, INDEX(TransTypes[], Transactions[[#This Row],[TTR]], TT_COL_ShareTransferFlag)=1),
            Transactions[[#This Row],[CostImpact]]*-1,
            Transactions[[#This Row],[CalCashImpact]]
      ),
     0
)</f>
        <v>258685.9</v>
      </c>
      <c r="Y386" s="88" t="str">
        <f>VLOOKUP(Transactions[[#This Row],[Symbol]],Symbols[], COLUMN(Symbols[Currency])-COLUMN(Symbols[])+1,FALSE)</f>
        <v>USD</v>
      </c>
    </row>
    <row r="387" spans="1:25">
      <c r="A387" s="75" t="s">
        <v>65</v>
      </c>
      <c r="B387" s="76">
        <v>43139</v>
      </c>
      <c r="C387" s="75" t="s">
        <v>158</v>
      </c>
      <c r="D387" s="75"/>
      <c r="E387" s="75" t="s">
        <v>418</v>
      </c>
      <c r="F387" s="77">
        <v>1</v>
      </c>
      <c r="G387" s="78">
        <v>6474.75</v>
      </c>
      <c r="H387" s="77">
        <v>2.0499999999999998</v>
      </c>
      <c r="I387" s="77"/>
      <c r="J387" s="79">
        <v>129492.95</v>
      </c>
      <c r="K387" s="6"/>
      <c r="L387" s="20">
        <f>IF(ISNA(MATCH(Transactions[[#This Row],[TransType]],TransTypes[TransType],0)),1,MATCH(Transactions[[#This Row],[TransType]],TransTypes[TransType],0))</f>
        <v>19</v>
      </c>
      <c r="M387" s="80">
        <f>IF( AND( INDEX(TransTypes[],Transactions[[#This Row],[TTR]],TT_COL_GLFlag)=1, INDEX(TransTypes[],Transactions[[#This Row],[TTR]],TT_COL_LONGORSHORT)="S" ),
      Transactions[[#This Row],[PL]],
      IF(INDEX(TransTypes[],Transactions[[#This Row],[TTR]],TT_COL_LONGORSHORT)="S",0,Transactions[[#This Row],[CalCashImpact]])
)</f>
        <v>0</v>
      </c>
      <c r="N387" s="81">
        <f>IF(VLOOKUP(Transactions[[#This Row],[Symbol]],Symbols[],COLUMN(Symbols[Currency])-COLUMN(Symbols[])+1,FALSE)=
       VLOOKUP(Transactions[[#This Row],[Account]],Accounts[],COLUMN(Accounts[Currency])-COLUMN(Accounts[])+1,FALSE),
     Transactions[[#This Row],[OrigCashImpact]],
     0
)</f>
        <v>0</v>
      </c>
      <c r="O38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-33895.079593789844</v>
      </c>
      <c r="P38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8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v>
      </c>
      <c r="R387" s="41">
        <f>ROW()</f>
        <v>387</v>
      </c>
      <c r="S3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-129492.95</v>
      </c>
      <c r="T3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-388178.85</v>
      </c>
      <c r="U38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v>
      </c>
      <c r="V387" s="86">
        <f>IF(INDEX(TransTypes[],Transactions[[#This Row],[TTR]],TT_COL_GLFlag)=1,Transactions[[#This Row],[CalCashImpact]]+Transactions[[#This Row],[CostImpact]],0)</f>
        <v>0</v>
      </c>
      <c r="W387" s="87">
        <f>Transactions[[#This Row],[Amount]]*INDEX(TransTypes[],Transactions[[#This Row],[TTR]],TT_COL_AmntSign)</f>
        <v>129492.95</v>
      </c>
      <c r="X387" s="87">
        <f>IF(INDEX(TransTypes[],Transactions[[#This Row],[TTR]],TT_COL_LONGORSHORT)="S",
      IF( OR(INDEX(TransTypes[],Transactions[[#This Row],[TTR]],TT_COL_GLFlag)=1, INDEX(TransTypes[], Transactions[[#This Row],[TTR]], TT_COL_ShareTransferFlag)=1),
            Transactions[[#This Row],[CostImpact]]*-1,
            Transactions[[#This Row],[CalCashImpact]]
      ),
     0
)</f>
        <v>129492.95</v>
      </c>
      <c r="Y387" s="88" t="str">
        <f>VLOOKUP(Transactions[[#This Row],[Symbol]],Symbols[], COLUMN(Symbols[Currency])-COLUMN(Symbols[])+1,FALSE)</f>
        <v>USD</v>
      </c>
    </row>
    <row r="388" spans="1:25">
      <c r="A388" s="75" t="s">
        <v>65</v>
      </c>
      <c r="B388" s="76">
        <v>43139</v>
      </c>
      <c r="C388" s="75" t="s">
        <v>158</v>
      </c>
      <c r="D388" s="75"/>
      <c r="E388" s="75" t="s">
        <v>418</v>
      </c>
      <c r="F388" s="77">
        <v>1</v>
      </c>
      <c r="G388" s="78">
        <v>6496.5</v>
      </c>
      <c r="H388" s="77">
        <v>2.0499999999999998</v>
      </c>
      <c r="I388" s="77"/>
      <c r="J388" s="79">
        <v>129927.95</v>
      </c>
      <c r="K388" s="6"/>
      <c r="L388" s="20">
        <f>IF(ISNA(MATCH(Transactions[[#This Row],[TransType]],TransTypes[TransType],0)),1,MATCH(Transactions[[#This Row],[TransType]],TransTypes[TransType],0))</f>
        <v>19</v>
      </c>
      <c r="M388" s="80">
        <f>IF( AND( INDEX(TransTypes[],Transactions[[#This Row],[TTR]],TT_COL_GLFlag)=1, INDEX(TransTypes[],Transactions[[#This Row],[TTR]],TT_COL_LONGORSHORT)="S" ),
      Transactions[[#This Row],[PL]],
      IF(INDEX(TransTypes[],Transactions[[#This Row],[TTR]],TT_COL_LONGORSHORT)="S",0,Transactions[[#This Row],[CalCashImpact]])
)</f>
        <v>0</v>
      </c>
      <c r="N388" s="81">
        <f>IF(VLOOKUP(Transactions[[#This Row],[Symbol]],Symbols[],COLUMN(Symbols[Currency])-COLUMN(Symbols[])+1,FALSE)=
       VLOOKUP(Transactions[[#This Row],[Account]],Accounts[],COLUMN(Accounts[Currency])-COLUMN(Accounts[])+1,FALSE),
     Transactions[[#This Row],[OrigCashImpact]],
     0
)</f>
        <v>0</v>
      </c>
      <c r="O38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-33895.079593789844</v>
      </c>
      <c r="P38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38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v>
      </c>
      <c r="R388" s="41">
        <f>ROW()</f>
        <v>388</v>
      </c>
      <c r="S3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-129927.95</v>
      </c>
      <c r="T3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-518106.8</v>
      </c>
      <c r="U38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388" s="86">
        <f>IF(INDEX(TransTypes[],Transactions[[#This Row],[TTR]],TT_COL_GLFlag)=1,Transactions[[#This Row],[CalCashImpact]]+Transactions[[#This Row],[CostImpact]],0)</f>
        <v>0</v>
      </c>
      <c r="W388" s="87">
        <f>Transactions[[#This Row],[Amount]]*INDEX(TransTypes[],Transactions[[#This Row],[TTR]],TT_COL_AmntSign)</f>
        <v>129927.95</v>
      </c>
      <c r="X388" s="87">
        <f>IF(INDEX(TransTypes[],Transactions[[#This Row],[TTR]],TT_COL_LONGORSHORT)="S",
      IF( OR(INDEX(TransTypes[],Transactions[[#This Row],[TTR]],TT_COL_GLFlag)=1, INDEX(TransTypes[], Transactions[[#This Row],[TTR]], TT_COL_ShareTransferFlag)=1),
            Transactions[[#This Row],[CostImpact]]*-1,
            Transactions[[#This Row],[CalCashImpact]]
      ),
     0
)</f>
        <v>129927.95</v>
      </c>
      <c r="Y388" s="88" t="str">
        <f>VLOOKUP(Transactions[[#This Row],[Symbol]],Symbols[], COLUMN(Symbols[Currency])-COLUMN(Symbols[])+1,FALSE)</f>
        <v>USD</v>
      </c>
    </row>
    <row r="389" spans="1:25">
      <c r="A389" s="75" t="s">
        <v>65</v>
      </c>
      <c r="B389" s="76">
        <v>43139</v>
      </c>
      <c r="C389" s="75" t="s">
        <v>158</v>
      </c>
      <c r="D389" s="75"/>
      <c r="E389" s="75" t="s">
        <v>418</v>
      </c>
      <c r="F389" s="77">
        <v>2</v>
      </c>
      <c r="G389" s="78">
        <v>6443</v>
      </c>
      <c r="H389" s="77">
        <v>4.0999999999999996</v>
      </c>
      <c r="I389" s="77"/>
      <c r="J389" s="79">
        <v>257715.9</v>
      </c>
      <c r="K389" s="6"/>
      <c r="L389" s="20">
        <f>IF(ISNA(MATCH(Transactions[[#This Row],[TransType]],TransTypes[TransType],0)),1,MATCH(Transactions[[#This Row],[TransType]],TransTypes[TransType],0))</f>
        <v>19</v>
      </c>
      <c r="M389" s="80">
        <f>IF( AND( INDEX(TransTypes[],Transactions[[#This Row],[TTR]],TT_COL_GLFlag)=1, INDEX(TransTypes[],Transactions[[#This Row],[TTR]],TT_COL_LONGORSHORT)="S" ),
      Transactions[[#This Row],[PL]],
      IF(INDEX(TransTypes[],Transactions[[#This Row],[TTR]],TT_COL_LONGORSHORT)="S",0,Transactions[[#This Row],[CalCashImpact]])
)</f>
        <v>0</v>
      </c>
      <c r="N389" s="81">
        <f>IF(VLOOKUP(Transactions[[#This Row],[Symbol]],Symbols[],COLUMN(Symbols[Currency])-COLUMN(Symbols[])+1,FALSE)=
       VLOOKUP(Transactions[[#This Row],[Account]],Accounts[],COLUMN(Accounts[Currency])-COLUMN(Accounts[])+1,FALSE),
     Transactions[[#This Row],[OrigCashImpact]],
     0
)</f>
        <v>0</v>
      </c>
      <c r="O38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-33895.079593789844</v>
      </c>
      <c r="P38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8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v>
      </c>
      <c r="R389" s="41">
        <f>ROW()</f>
        <v>389</v>
      </c>
      <c r="S3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-257715.9</v>
      </c>
      <c r="T3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-775822.7</v>
      </c>
      <c r="U38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v>
      </c>
      <c r="V389" s="86">
        <f>IF(INDEX(TransTypes[],Transactions[[#This Row],[TTR]],TT_COL_GLFlag)=1,Transactions[[#This Row],[CalCashImpact]]+Transactions[[#This Row],[CostImpact]],0)</f>
        <v>0</v>
      </c>
      <c r="W389" s="87">
        <f>Transactions[[#This Row],[Amount]]*INDEX(TransTypes[],Transactions[[#This Row],[TTR]],TT_COL_AmntSign)</f>
        <v>257715.9</v>
      </c>
      <c r="X389" s="87">
        <f>IF(INDEX(TransTypes[],Transactions[[#This Row],[TTR]],TT_COL_LONGORSHORT)="S",
      IF( OR(INDEX(TransTypes[],Transactions[[#This Row],[TTR]],TT_COL_GLFlag)=1, INDEX(TransTypes[], Transactions[[#This Row],[TTR]], TT_COL_ShareTransferFlag)=1),
            Transactions[[#This Row],[CostImpact]]*-1,
            Transactions[[#This Row],[CalCashImpact]]
      ),
     0
)</f>
        <v>257715.9</v>
      </c>
      <c r="Y389" s="88" t="str">
        <f>VLOOKUP(Transactions[[#This Row],[Symbol]],Symbols[], COLUMN(Symbols[Currency])-COLUMN(Symbols[])+1,FALSE)</f>
        <v>USD</v>
      </c>
    </row>
    <row r="390" spans="1:25">
      <c r="A390" s="75" t="s">
        <v>65</v>
      </c>
      <c r="B390" s="76">
        <v>43139</v>
      </c>
      <c r="C390" s="75" t="s">
        <v>158</v>
      </c>
      <c r="D390" s="75"/>
      <c r="E390" s="75" t="s">
        <v>418</v>
      </c>
      <c r="F390" s="77">
        <v>2</v>
      </c>
      <c r="G390" s="78">
        <v>6435.5</v>
      </c>
      <c r="H390" s="77">
        <v>4.0999999999999996</v>
      </c>
      <c r="I390" s="77"/>
      <c r="J390" s="79">
        <v>257415.9</v>
      </c>
      <c r="K390" s="6"/>
      <c r="L390" s="20">
        <f>IF(ISNA(MATCH(Transactions[[#This Row],[TransType]],TransTypes[TransType],0)),1,MATCH(Transactions[[#This Row],[TransType]],TransTypes[TransType],0))</f>
        <v>19</v>
      </c>
      <c r="M390" s="80">
        <f>IF( AND( INDEX(TransTypes[],Transactions[[#This Row],[TTR]],TT_COL_GLFlag)=1, INDEX(TransTypes[],Transactions[[#This Row],[TTR]],TT_COL_LONGORSHORT)="S" ),
      Transactions[[#This Row],[PL]],
      IF(INDEX(TransTypes[],Transactions[[#This Row],[TTR]],TT_COL_LONGORSHORT)="S",0,Transactions[[#This Row],[CalCashImpact]])
)</f>
        <v>0</v>
      </c>
      <c r="N390" s="81">
        <f>IF(VLOOKUP(Transactions[[#This Row],[Symbol]],Symbols[],COLUMN(Symbols[Currency])-COLUMN(Symbols[])+1,FALSE)=
       VLOOKUP(Transactions[[#This Row],[Account]],Accounts[],COLUMN(Accounts[Currency])-COLUMN(Accounts[])+1,FALSE),
     Transactions[[#This Row],[OrigCashImpact]],
     0
)</f>
        <v>0</v>
      </c>
      <c r="O39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-33895.079593789844</v>
      </c>
      <c r="P39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9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v>
      </c>
      <c r="R390" s="41">
        <f>ROW()</f>
        <v>390</v>
      </c>
      <c r="S3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-257415.9</v>
      </c>
      <c r="T3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-1033238.6</v>
      </c>
      <c r="U39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v>
      </c>
      <c r="V390" s="86">
        <f>IF(INDEX(TransTypes[],Transactions[[#This Row],[TTR]],TT_COL_GLFlag)=1,Transactions[[#This Row],[CalCashImpact]]+Transactions[[#This Row],[CostImpact]],0)</f>
        <v>0</v>
      </c>
      <c r="W390" s="87">
        <f>Transactions[[#This Row],[Amount]]*INDEX(TransTypes[],Transactions[[#This Row],[TTR]],TT_COL_AmntSign)</f>
        <v>257415.9</v>
      </c>
      <c r="X390" s="87">
        <f>IF(INDEX(TransTypes[],Transactions[[#This Row],[TTR]],TT_COL_LONGORSHORT)="S",
      IF( OR(INDEX(TransTypes[],Transactions[[#This Row],[TTR]],TT_COL_GLFlag)=1, INDEX(TransTypes[], Transactions[[#This Row],[TTR]], TT_COL_ShareTransferFlag)=1),
            Transactions[[#This Row],[CostImpact]]*-1,
            Transactions[[#This Row],[CalCashImpact]]
      ),
     0
)</f>
        <v>257415.9</v>
      </c>
      <c r="Y390" s="88" t="str">
        <f>VLOOKUP(Transactions[[#This Row],[Symbol]],Symbols[], COLUMN(Symbols[Currency])-COLUMN(Symbols[])+1,FALSE)</f>
        <v>USD</v>
      </c>
    </row>
    <row r="391" spans="1:25">
      <c r="A391" s="75" t="s">
        <v>65</v>
      </c>
      <c r="B391" s="76">
        <v>43139</v>
      </c>
      <c r="C391" s="75" t="s">
        <v>158</v>
      </c>
      <c r="D391" s="75"/>
      <c r="E391" s="75" t="s">
        <v>418</v>
      </c>
      <c r="F391" s="77">
        <v>2</v>
      </c>
      <c r="G391" s="78">
        <v>6479</v>
      </c>
      <c r="H391" s="77">
        <v>4.0999999999999996</v>
      </c>
      <c r="I391" s="77"/>
      <c r="J391" s="79">
        <v>259155.9</v>
      </c>
      <c r="K391" s="6"/>
      <c r="L391" s="20">
        <f>IF(ISNA(MATCH(Transactions[[#This Row],[TransType]],TransTypes[TransType],0)),1,MATCH(Transactions[[#This Row],[TransType]],TransTypes[TransType],0))</f>
        <v>19</v>
      </c>
      <c r="M391" s="80">
        <f>IF( AND( INDEX(TransTypes[],Transactions[[#This Row],[TTR]],TT_COL_GLFlag)=1, INDEX(TransTypes[],Transactions[[#This Row],[TTR]],TT_COL_LONGORSHORT)="S" ),
      Transactions[[#This Row],[PL]],
      IF(INDEX(TransTypes[],Transactions[[#This Row],[TTR]],TT_COL_LONGORSHORT)="S",0,Transactions[[#This Row],[CalCashImpact]])
)</f>
        <v>0</v>
      </c>
      <c r="N391" s="81">
        <f>IF(VLOOKUP(Transactions[[#This Row],[Symbol]],Symbols[],COLUMN(Symbols[Currency])-COLUMN(Symbols[])+1,FALSE)=
       VLOOKUP(Transactions[[#This Row],[Account]],Accounts[],COLUMN(Accounts[Currency])-COLUMN(Accounts[])+1,FALSE),
     Transactions[[#This Row],[OrigCashImpact]],
     0
)</f>
        <v>0</v>
      </c>
      <c r="O39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-33895.079593789844</v>
      </c>
      <c r="P39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9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v>
      </c>
      <c r="R391" s="41">
        <f>ROW()</f>
        <v>391</v>
      </c>
      <c r="S3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-259155.9</v>
      </c>
      <c r="T3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-1292394.5</v>
      </c>
      <c r="U39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v>
      </c>
      <c r="V391" s="86">
        <f>IF(INDEX(TransTypes[],Transactions[[#This Row],[TTR]],TT_COL_GLFlag)=1,Transactions[[#This Row],[CalCashImpact]]+Transactions[[#This Row],[CostImpact]],0)</f>
        <v>0</v>
      </c>
      <c r="W391" s="87">
        <f>Transactions[[#This Row],[Amount]]*INDEX(TransTypes[],Transactions[[#This Row],[TTR]],TT_COL_AmntSign)</f>
        <v>259155.9</v>
      </c>
      <c r="X391" s="87">
        <f>IF(INDEX(TransTypes[],Transactions[[#This Row],[TTR]],TT_COL_LONGORSHORT)="S",
      IF( OR(INDEX(TransTypes[],Transactions[[#This Row],[TTR]],TT_COL_GLFlag)=1, INDEX(TransTypes[], Transactions[[#This Row],[TTR]], TT_COL_ShareTransferFlag)=1),
            Transactions[[#This Row],[CostImpact]]*-1,
            Transactions[[#This Row],[CalCashImpact]]
      ),
     0
)</f>
        <v>259155.9</v>
      </c>
      <c r="Y391" s="88" t="str">
        <f>VLOOKUP(Transactions[[#This Row],[Symbol]],Symbols[], COLUMN(Symbols[Currency])-COLUMN(Symbols[])+1,FALSE)</f>
        <v>USD</v>
      </c>
    </row>
    <row r="392" spans="1:25">
      <c r="A392" s="75" t="s">
        <v>65</v>
      </c>
      <c r="B392" s="76">
        <v>43139</v>
      </c>
      <c r="C392" s="75" t="s">
        <v>160</v>
      </c>
      <c r="D392" s="75"/>
      <c r="E392" s="75" t="s">
        <v>418</v>
      </c>
      <c r="F392" s="77">
        <v>2</v>
      </c>
      <c r="G392" s="78">
        <v>6452.75</v>
      </c>
      <c r="H392" s="77">
        <v>4.0999999999999996</v>
      </c>
      <c r="I392" s="77"/>
      <c r="J392" s="79">
        <v>258114.1</v>
      </c>
      <c r="K392" s="6"/>
      <c r="L392" s="20">
        <f>IF(ISNA(MATCH(Transactions[[#This Row],[TransType]],TransTypes[TransType],0)),1,MATCH(Transactions[[#This Row],[TransType]],TransTypes[TransType],0))</f>
        <v>20</v>
      </c>
      <c r="M392" s="80">
        <f>IF( AND( INDEX(TransTypes[],Transactions[[#This Row],[TTR]],TT_COL_GLFlag)=1, INDEX(TransTypes[],Transactions[[#This Row],[TTR]],TT_COL_LONGORSHORT)="S" ),
      Transactions[[#This Row],[PL]],
      IF(INDEX(TransTypes[],Transactions[[#This Row],[TTR]],TT_COL_LONGORSHORT)="S",0,Transactions[[#This Row],[CalCashImpact]])
)</f>
        <v>364.79999999998836</v>
      </c>
      <c r="N392" s="81">
        <f>IF(VLOOKUP(Transactions[[#This Row],[Symbol]],Symbols[],COLUMN(Symbols[Currency])-COLUMN(Symbols[])+1,FALSE)=
       VLOOKUP(Transactions[[#This Row],[Account]],Accounts[],COLUMN(Accounts[Currency])-COLUMN(Accounts[])+1,FALSE),
     Transactions[[#This Row],[OrigCashImpact]],
     0
)</f>
        <v>364.79999999998836</v>
      </c>
      <c r="O39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-33530.279593789855</v>
      </c>
      <c r="P39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9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v>
      </c>
      <c r="R392" s="41">
        <f>ROW()</f>
        <v>392</v>
      </c>
      <c r="S3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258478.9</v>
      </c>
      <c r="T3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-1033915.6</v>
      </c>
      <c r="U39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v>
      </c>
      <c r="V392" s="86">
        <f>IF(INDEX(TransTypes[],Transactions[[#This Row],[TTR]],TT_COL_GLFlag)=1,Transactions[[#This Row],[CalCashImpact]]+Transactions[[#This Row],[CostImpact]],0)</f>
        <v>364.79999999998836</v>
      </c>
      <c r="W392" s="87">
        <f>Transactions[[#This Row],[Amount]]*INDEX(TransTypes[],Transactions[[#This Row],[TTR]],TT_COL_AmntSign)</f>
        <v>-258114.1</v>
      </c>
      <c r="X392" s="87">
        <f>IF(INDEX(TransTypes[],Transactions[[#This Row],[TTR]],TT_COL_LONGORSHORT)="S",
      IF( OR(INDEX(TransTypes[],Transactions[[#This Row],[TTR]],TT_COL_GLFlag)=1, INDEX(TransTypes[], Transactions[[#This Row],[TTR]], TT_COL_ShareTransferFlag)=1),
            Transactions[[#This Row],[CostImpact]]*-1,
            Transactions[[#This Row],[CalCashImpact]]
      ),
     0
)</f>
        <v>-258478.9</v>
      </c>
      <c r="Y392" s="88" t="str">
        <f>VLOOKUP(Transactions[[#This Row],[Symbol]],Symbols[], COLUMN(Symbols[Currency])-COLUMN(Symbols[])+1,FALSE)</f>
        <v>USD</v>
      </c>
    </row>
    <row r="393" spans="1:25">
      <c r="A393" s="75" t="s">
        <v>65</v>
      </c>
      <c r="B393" s="76">
        <v>43139</v>
      </c>
      <c r="C393" s="75" t="s">
        <v>160</v>
      </c>
      <c r="D393" s="75"/>
      <c r="E393" s="75" t="s">
        <v>418</v>
      </c>
      <c r="F393" s="77">
        <v>2</v>
      </c>
      <c r="G393" s="78">
        <v>6435.75</v>
      </c>
      <c r="H393" s="77">
        <v>4.0999999999999996</v>
      </c>
      <c r="I393" s="77"/>
      <c r="J393" s="79">
        <v>257434.1</v>
      </c>
      <c r="K393" s="6"/>
      <c r="L393" s="20">
        <f>IF(ISNA(MATCH(Transactions[[#This Row],[TransType]],TransTypes[TransType],0)),1,MATCH(Transactions[[#This Row],[TransType]],TransTypes[TransType],0))</f>
        <v>20</v>
      </c>
      <c r="M393" s="80">
        <f>IF( AND( INDEX(TransTypes[],Transactions[[#This Row],[TTR]],TT_COL_GLFlag)=1, INDEX(TransTypes[],Transactions[[#This Row],[TTR]],TT_COL_LONGORSHORT)="S" ),
      Transactions[[#This Row],[PL]],
      IF(INDEX(TransTypes[],Transactions[[#This Row],[TTR]],TT_COL_LONGORSHORT)="S",0,Transactions[[#This Row],[CalCashImpact]])
)</f>
        <v>1044.7999999999884</v>
      </c>
      <c r="N393" s="81">
        <f>IF(VLOOKUP(Transactions[[#This Row],[Symbol]],Symbols[],COLUMN(Symbols[Currency])-COLUMN(Symbols[])+1,FALSE)=
       VLOOKUP(Transactions[[#This Row],[Account]],Accounts[],COLUMN(Accounts[Currency])-COLUMN(Accounts[])+1,FALSE),
     Transactions[[#This Row],[OrigCashImpact]],
     0
)</f>
        <v>1044.7999999999884</v>
      </c>
      <c r="O39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-32485.479593789867</v>
      </c>
      <c r="P39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9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v>
      </c>
      <c r="R393" s="41">
        <f>ROW()</f>
        <v>393</v>
      </c>
      <c r="S3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258478.9</v>
      </c>
      <c r="T3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-775436.7</v>
      </c>
      <c r="U39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v>
      </c>
      <c r="V393" s="86">
        <f>IF(INDEX(TransTypes[],Transactions[[#This Row],[TTR]],TT_COL_GLFlag)=1,Transactions[[#This Row],[CalCashImpact]]+Transactions[[#This Row],[CostImpact]],0)</f>
        <v>1044.7999999999884</v>
      </c>
      <c r="W393" s="87">
        <f>Transactions[[#This Row],[Amount]]*INDEX(TransTypes[],Transactions[[#This Row],[TTR]],TT_COL_AmntSign)</f>
        <v>-257434.1</v>
      </c>
      <c r="X393" s="87">
        <f>IF(INDEX(TransTypes[],Transactions[[#This Row],[TTR]],TT_COL_LONGORSHORT)="S",
      IF( OR(INDEX(TransTypes[],Transactions[[#This Row],[TTR]],TT_COL_GLFlag)=1, INDEX(TransTypes[], Transactions[[#This Row],[TTR]], TT_COL_ShareTransferFlag)=1),
            Transactions[[#This Row],[CostImpact]]*-1,
            Transactions[[#This Row],[CalCashImpact]]
      ),
     0
)</f>
        <v>-258478.9</v>
      </c>
      <c r="Y393" s="88" t="str">
        <f>VLOOKUP(Transactions[[#This Row],[Symbol]],Symbols[], COLUMN(Symbols[Currency])-COLUMN(Symbols[])+1,FALSE)</f>
        <v>USD</v>
      </c>
    </row>
    <row r="394" spans="1:25">
      <c r="A394" s="75" t="s">
        <v>65</v>
      </c>
      <c r="B394" s="76">
        <v>43139</v>
      </c>
      <c r="C394" s="75" t="s">
        <v>156</v>
      </c>
      <c r="D394" s="75"/>
      <c r="E394" s="75" t="s">
        <v>210</v>
      </c>
      <c r="F394" s="77">
        <v>68546</v>
      </c>
      <c r="G394" s="78">
        <v>7.8201099999999997</v>
      </c>
      <c r="H394" s="77"/>
      <c r="I394" s="77"/>
      <c r="J394" s="79">
        <v>536037.26006</v>
      </c>
      <c r="K394" s="6"/>
      <c r="L394" s="20">
        <f>IF(ISNA(MATCH(Transactions[[#This Row],[TransType]],TransTypes[TransType],0)),1,MATCH(Transactions[[#This Row],[TransType]],TransTypes[TransType],0))</f>
        <v>17</v>
      </c>
      <c r="M394" s="80">
        <f>IF( AND( INDEX(TransTypes[],Transactions[[#This Row],[TTR]],TT_COL_GLFlag)=1, INDEX(TransTypes[],Transactions[[#This Row],[TTR]],TT_COL_LONGORSHORT)="S" ),
      Transactions[[#This Row],[PL]],
      IF(INDEX(TransTypes[],Transactions[[#This Row],[TTR]],TT_COL_LONGORSHORT)="S",0,Transactions[[#This Row],[CalCashImpact]])
)</f>
        <v>-536037.26006</v>
      </c>
      <c r="N394" s="81">
        <f>IF(VLOOKUP(Transactions[[#This Row],[Symbol]],Symbols[],COLUMN(Symbols[Currency])-COLUMN(Symbols[])+1,FALSE)=
       VLOOKUP(Transactions[[#This Row],[Account]],Accounts[],COLUMN(Accounts[Currency])-COLUMN(Accounts[])+1,FALSE),
     Transactions[[#This Row],[OrigCashImpact]],
     0
)</f>
        <v>0</v>
      </c>
      <c r="O39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-32485.479593789867</v>
      </c>
      <c r="P39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9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94" s="41">
        <f>ROW()</f>
        <v>394</v>
      </c>
      <c r="S3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9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94" s="86">
        <f>IF(INDEX(TransTypes[],Transactions[[#This Row],[TTR]],TT_COL_GLFlag)=1,Transactions[[#This Row],[CalCashImpact]]+Transactions[[#This Row],[CostImpact]],0)</f>
        <v>0</v>
      </c>
      <c r="W394" s="87">
        <f>Transactions[[#This Row],[Amount]]*INDEX(TransTypes[],Transactions[[#This Row],[TTR]],TT_COL_AmntSign)</f>
        <v>-536037.26006</v>
      </c>
      <c r="X394" s="87">
        <f>IF(INDEX(TransTypes[],Transactions[[#This Row],[TTR]],TT_COL_LONGORSHORT)="S",
      IF( OR(INDEX(TransTypes[],Transactions[[#This Row],[TTR]],TT_COL_GLFlag)=1, INDEX(TransTypes[], Transactions[[#This Row],[TTR]], TT_COL_ShareTransferFlag)=1),
            Transactions[[#This Row],[CostImpact]]*-1,
            Transactions[[#This Row],[CalCashImpact]]
      ),
     0
)</f>
        <v>0</v>
      </c>
      <c r="Y394" s="88" t="str">
        <f>VLOOKUP(Transactions[[#This Row],[Symbol]],Symbols[], COLUMN(Symbols[Currency])-COLUMN(Symbols[])+1,FALSE)</f>
        <v>HKD</v>
      </c>
    </row>
    <row r="395" spans="1:25">
      <c r="A395" s="75" t="s">
        <v>65</v>
      </c>
      <c r="B395" s="76">
        <v>43139</v>
      </c>
      <c r="C395" s="75" t="s">
        <v>239</v>
      </c>
      <c r="D395" s="75"/>
      <c r="E395" s="75" t="s">
        <v>208</v>
      </c>
      <c r="F395" s="77">
        <v>68546</v>
      </c>
      <c r="G395" s="78">
        <v>1</v>
      </c>
      <c r="H395" s="77">
        <v>2</v>
      </c>
      <c r="I395" s="77"/>
      <c r="J395" s="79">
        <v>68548</v>
      </c>
      <c r="K395" s="6" t="s">
        <v>442</v>
      </c>
      <c r="L395" s="20">
        <f>IF(ISNA(MATCH(Transactions[[#This Row],[TransType]],TransTypes[TransType],0)),1,MATCH(Transactions[[#This Row],[TransType]],TransTypes[TransType],0))</f>
        <v>18</v>
      </c>
      <c r="M395" s="80">
        <f>IF( AND( INDEX(TransTypes[],Transactions[[#This Row],[TTR]],TT_COL_GLFlag)=1, INDEX(TransTypes[],Transactions[[#This Row],[TTR]],TT_COL_LONGORSHORT)="S" ),
      Transactions[[#This Row],[PL]],
      IF(INDEX(TransTypes[],Transactions[[#This Row],[TTR]],TT_COL_LONGORSHORT)="S",0,Transactions[[#This Row],[CalCashImpact]])
)</f>
        <v>68548</v>
      </c>
      <c r="N395" s="81">
        <f>IF(VLOOKUP(Transactions[[#This Row],[Symbol]],Symbols[],COLUMN(Symbols[Currency])-COLUMN(Symbols[])+1,FALSE)=
       VLOOKUP(Transactions[[#This Row],[Account]],Accounts[],COLUMN(Accounts[Currency])-COLUMN(Accounts[])+1,FALSE),
     Transactions[[#This Row],[OrigCashImpact]],
     0
)</f>
        <v>68548</v>
      </c>
      <c r="O39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36062.520406210126</v>
      </c>
      <c r="P39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39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95" s="41">
        <f>ROW()</f>
        <v>395</v>
      </c>
      <c r="S3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3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9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395" s="86">
        <f>IF(INDEX(TransTypes[],Transactions[[#This Row],[TTR]],TT_COL_GLFlag)=1,Transactions[[#This Row],[CalCashImpact]]+Transactions[[#This Row],[CostImpact]],0)</f>
        <v>0</v>
      </c>
      <c r="W395" s="87">
        <f>Transactions[[#This Row],[Amount]]*INDEX(TransTypes[],Transactions[[#This Row],[TTR]],TT_COL_AmntSign)</f>
        <v>68548</v>
      </c>
      <c r="X395" s="87">
        <f>IF(INDEX(TransTypes[],Transactions[[#This Row],[TTR]],TT_COL_LONGORSHORT)="S",
      IF( OR(INDEX(TransTypes[],Transactions[[#This Row],[TTR]],TT_COL_GLFlag)=1, INDEX(TransTypes[], Transactions[[#This Row],[TTR]], TT_COL_ShareTransferFlag)=1),
            Transactions[[#This Row],[CostImpact]]*-1,
            Transactions[[#This Row],[CalCashImpact]]
      ),
     0
)</f>
        <v>0</v>
      </c>
      <c r="Y395" s="88" t="str">
        <f>VLOOKUP(Transactions[[#This Row],[Symbol]],Symbols[], COLUMN(Symbols[Currency])-COLUMN(Symbols[])+1,FALSE)</f>
        <v>USD</v>
      </c>
    </row>
    <row r="396" spans="1:25">
      <c r="A396" s="75" t="s">
        <v>65</v>
      </c>
      <c r="B396" s="76">
        <v>43140</v>
      </c>
      <c r="C396" s="75" t="s">
        <v>115</v>
      </c>
      <c r="D396" s="75"/>
      <c r="E396" s="75" t="s">
        <v>263</v>
      </c>
      <c r="F396" s="77">
        <v>6000</v>
      </c>
      <c r="G396" s="78">
        <v>78.3</v>
      </c>
      <c r="H396" s="77">
        <v>1347.20919999999</v>
      </c>
      <c r="I396" s="77"/>
      <c r="J396" s="79">
        <v>468452.79080000002</v>
      </c>
      <c r="K396" s="6"/>
      <c r="L396" s="20">
        <f>IF(ISNA(MATCH(Transactions[[#This Row],[TransType]],TransTypes[TransType],0)),1,MATCH(Transactions[[#This Row],[TransType]],TransTypes[TransType],0))</f>
        <v>3</v>
      </c>
      <c r="M396" s="80">
        <f>IF( AND( INDEX(TransTypes[],Transactions[[#This Row],[TTR]],TT_COL_GLFlag)=1, INDEX(TransTypes[],Transactions[[#This Row],[TTR]],TT_COL_LONGORSHORT)="S" ),
      Transactions[[#This Row],[PL]],
      IF(INDEX(TransTypes[],Transactions[[#This Row],[TTR]],TT_COL_LONGORSHORT)="S",0,Transactions[[#This Row],[CalCashImpact]])
)</f>
        <v>468452.79080000002</v>
      </c>
      <c r="N396" s="81">
        <f>IF(VLOOKUP(Transactions[[#This Row],[Symbol]],Symbols[],COLUMN(Symbols[Currency])-COLUMN(Symbols[])+1,FALSE)=
       VLOOKUP(Transactions[[#This Row],[Account]],Accounts[],COLUMN(Accounts[Currency])-COLUMN(Accounts[])+1,FALSE),
     Transactions[[#This Row],[OrigCashImpact]],
     0
)</f>
        <v>0</v>
      </c>
      <c r="O39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36062.520406210126</v>
      </c>
      <c r="P39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39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96" s="41">
        <f>ROW()</f>
        <v>396</v>
      </c>
      <c r="S3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-487423.06962000002</v>
      </c>
      <c r="T3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9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396" s="86">
        <f>IF(INDEX(TransTypes[],Transactions[[#This Row],[TTR]],TT_COL_GLFlag)=1,Transactions[[#This Row],[CalCashImpact]]+Transactions[[#This Row],[CostImpact]],0)</f>
        <v>-18970.278820000007</v>
      </c>
      <c r="W396" s="87">
        <f>Transactions[[#This Row],[Amount]]*INDEX(TransTypes[],Transactions[[#This Row],[TTR]],TT_COL_AmntSign)</f>
        <v>468452.79080000002</v>
      </c>
      <c r="X396" s="87">
        <f>IF(INDEX(TransTypes[],Transactions[[#This Row],[TTR]],TT_COL_LONGORSHORT)="S",
      IF( OR(INDEX(TransTypes[],Transactions[[#This Row],[TTR]],TT_COL_GLFlag)=1, INDEX(TransTypes[], Transactions[[#This Row],[TTR]], TT_COL_ShareTransferFlag)=1),
            Transactions[[#This Row],[CostImpact]]*-1,
            Transactions[[#This Row],[CalCashImpact]]
      ),
     0
)</f>
        <v>0</v>
      </c>
      <c r="Y396" s="88" t="str">
        <f>VLOOKUP(Transactions[[#This Row],[Symbol]],Symbols[], COLUMN(Symbols[Currency])-COLUMN(Symbols[])+1,FALSE)</f>
        <v>HKD</v>
      </c>
    </row>
    <row r="397" spans="1:25">
      <c r="A397" s="75" t="s">
        <v>65</v>
      </c>
      <c r="B397" s="76">
        <v>43140</v>
      </c>
      <c r="C397" s="75" t="s">
        <v>115</v>
      </c>
      <c r="D397" s="75"/>
      <c r="E397" s="75" t="s">
        <v>403</v>
      </c>
      <c r="F397" s="77">
        <v>84000</v>
      </c>
      <c r="G397" s="78">
        <v>7.65</v>
      </c>
      <c r="H397" s="77">
        <v>1836.7804000000001</v>
      </c>
      <c r="I397" s="77"/>
      <c r="J397" s="79">
        <v>640763.21959999995</v>
      </c>
      <c r="K397" s="6"/>
      <c r="L397" s="20">
        <f>IF(ISNA(MATCH(Transactions[[#This Row],[TransType]],TransTypes[TransType],0)),1,MATCH(Transactions[[#This Row],[TransType]],TransTypes[TransType],0))</f>
        <v>3</v>
      </c>
      <c r="M397" s="80">
        <f>IF( AND( INDEX(TransTypes[],Transactions[[#This Row],[TTR]],TT_COL_GLFlag)=1, INDEX(TransTypes[],Transactions[[#This Row],[TTR]],TT_COL_LONGORSHORT)="S" ),
      Transactions[[#This Row],[PL]],
      IF(INDEX(TransTypes[],Transactions[[#This Row],[TTR]],TT_COL_LONGORSHORT)="S",0,Transactions[[#This Row],[CalCashImpact]])
)</f>
        <v>640763.21959999995</v>
      </c>
      <c r="N397" s="81">
        <f>IF(VLOOKUP(Transactions[[#This Row],[Symbol]],Symbols[],COLUMN(Symbols[Currency])-COLUMN(Symbols[])+1,FALSE)=
       VLOOKUP(Transactions[[#This Row],[Account]],Accounts[],COLUMN(Accounts[Currency])-COLUMN(Accounts[])+1,FALSE),
     Transactions[[#This Row],[OrigCashImpact]],
     0
)</f>
        <v>0</v>
      </c>
      <c r="O39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36062.520406210126</v>
      </c>
      <c r="P39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-84000</v>
      </c>
      <c r="Q39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397" s="41">
        <f>ROW()</f>
        <v>397</v>
      </c>
      <c r="S3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-712174.45955999999</v>
      </c>
      <c r="T3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39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84000</v>
      </c>
      <c r="V397" s="86">
        <f>IF(INDEX(TransTypes[],Transactions[[#This Row],[TTR]],TT_COL_GLFlag)=1,Transactions[[#This Row],[CalCashImpact]]+Transactions[[#This Row],[CostImpact]],0)</f>
        <v>-71411.239960000035</v>
      </c>
      <c r="W397" s="87">
        <f>Transactions[[#This Row],[Amount]]*INDEX(TransTypes[],Transactions[[#This Row],[TTR]],TT_COL_AmntSign)</f>
        <v>640763.21959999995</v>
      </c>
      <c r="X397" s="87">
        <f>IF(INDEX(TransTypes[],Transactions[[#This Row],[TTR]],TT_COL_LONGORSHORT)="S",
      IF( OR(INDEX(TransTypes[],Transactions[[#This Row],[TTR]],TT_COL_GLFlag)=1, INDEX(TransTypes[], Transactions[[#This Row],[TTR]], TT_COL_ShareTransferFlag)=1),
            Transactions[[#This Row],[CostImpact]]*-1,
            Transactions[[#This Row],[CalCashImpact]]
      ),
     0
)</f>
        <v>0</v>
      </c>
      <c r="Y397" s="88" t="str">
        <f>VLOOKUP(Transactions[[#This Row],[Symbol]],Symbols[], COLUMN(Symbols[Currency])-COLUMN(Symbols[])+1,FALSE)</f>
        <v>HKD</v>
      </c>
    </row>
    <row r="398" spans="1:25">
      <c r="A398" s="75" t="s">
        <v>65</v>
      </c>
      <c r="B398" s="76">
        <v>43140</v>
      </c>
      <c r="C398" s="75" t="s">
        <v>113</v>
      </c>
      <c r="D398" s="75"/>
      <c r="E398" s="75" t="s">
        <v>7</v>
      </c>
      <c r="F398" s="77">
        <v>10</v>
      </c>
      <c r="G398" s="78">
        <v>1034.83</v>
      </c>
      <c r="H398" s="77">
        <v>1</v>
      </c>
      <c r="I398" s="77"/>
      <c r="J398" s="79">
        <v>10349.299999999999</v>
      </c>
      <c r="K398" s="6"/>
      <c r="L398" s="20">
        <f>IF(ISNA(MATCH(Transactions[[#This Row],[TransType]],TransTypes[TransType],0)),1,MATCH(Transactions[[#This Row],[TransType]],TransTypes[TransType],0))</f>
        <v>2</v>
      </c>
      <c r="M398" s="80">
        <f>IF( AND( INDEX(TransTypes[],Transactions[[#This Row],[TTR]],TT_COL_GLFlag)=1, INDEX(TransTypes[],Transactions[[#This Row],[TTR]],TT_COL_LONGORSHORT)="S" ),
      Transactions[[#This Row],[PL]],
      IF(INDEX(TransTypes[],Transactions[[#This Row],[TTR]],TT_COL_LONGORSHORT)="S",0,Transactions[[#This Row],[CalCashImpact]])
)</f>
        <v>-10349.299999999999</v>
      </c>
      <c r="N398" s="81">
        <f>IF(VLOOKUP(Transactions[[#This Row],[Symbol]],Symbols[],COLUMN(Symbols[Currency])-COLUMN(Symbols[])+1,FALSE)=
       VLOOKUP(Transactions[[#This Row],[Account]],Accounts[],COLUMN(Accounts[Currency])-COLUMN(Accounts[])+1,FALSE),
     Transactions[[#This Row],[OrigCashImpact]],
     0
)</f>
        <v>-10349.299999999999</v>
      </c>
      <c r="O39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25713.220406210126</v>
      </c>
      <c r="P39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v>
      </c>
      <c r="Q39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v>
      </c>
      <c r="R398" s="41">
        <f>ROW()</f>
        <v>398</v>
      </c>
      <c r="S3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10349.299999999999</v>
      </c>
      <c r="T3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171887.50399999999</v>
      </c>
      <c r="U39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v>
      </c>
      <c r="V398" s="86">
        <f>IF(INDEX(TransTypes[],Transactions[[#This Row],[TTR]],TT_COL_GLFlag)=1,Transactions[[#This Row],[CalCashImpact]]+Transactions[[#This Row],[CostImpact]],0)</f>
        <v>0</v>
      </c>
      <c r="W398" s="87">
        <f>Transactions[[#This Row],[Amount]]*INDEX(TransTypes[],Transactions[[#This Row],[TTR]],TT_COL_AmntSign)</f>
        <v>-10349.299999999999</v>
      </c>
      <c r="X398" s="87">
        <f>IF(INDEX(TransTypes[],Transactions[[#This Row],[TTR]],TT_COL_LONGORSHORT)="S",
      IF( OR(INDEX(TransTypes[],Transactions[[#This Row],[TTR]],TT_COL_GLFlag)=1, INDEX(TransTypes[], Transactions[[#This Row],[TTR]], TT_COL_ShareTransferFlag)=1),
            Transactions[[#This Row],[CostImpact]]*-1,
            Transactions[[#This Row],[CalCashImpact]]
      ),
     0
)</f>
        <v>0</v>
      </c>
      <c r="Y398" s="88" t="str">
        <f>VLOOKUP(Transactions[[#This Row],[Symbol]],Symbols[], COLUMN(Symbols[Currency])-COLUMN(Symbols[])+1,FALSE)</f>
        <v>USD</v>
      </c>
    </row>
    <row r="399" spans="1:25">
      <c r="A399" s="75" t="s">
        <v>65</v>
      </c>
      <c r="B399" s="76">
        <v>43140</v>
      </c>
      <c r="C399" s="75" t="s">
        <v>160</v>
      </c>
      <c r="D399" s="75"/>
      <c r="E399" s="75" t="s">
        <v>418</v>
      </c>
      <c r="F399" s="77">
        <v>2</v>
      </c>
      <c r="G399" s="78">
        <v>6355.375</v>
      </c>
      <c r="H399" s="77">
        <v>4.0999999999999996</v>
      </c>
      <c r="I399" s="77"/>
      <c r="J399" s="79">
        <v>254219.1</v>
      </c>
      <c r="K399" s="6"/>
      <c r="L399" s="20">
        <f>IF(ISNA(MATCH(Transactions[[#This Row],[TransType]],TransTypes[TransType],0)),1,MATCH(Transactions[[#This Row],[TransType]],TransTypes[TransType],0))</f>
        <v>20</v>
      </c>
      <c r="M399" s="80">
        <f>IF( AND( INDEX(TransTypes[],Transactions[[#This Row],[TTR]],TT_COL_GLFlag)=1, INDEX(TransTypes[],Transactions[[#This Row],[TTR]],TT_COL_LONGORSHORT)="S" ),
      Transactions[[#This Row],[PL]],
      IF(INDEX(TransTypes[],Transactions[[#This Row],[TTR]],TT_COL_LONGORSHORT)="S",0,Transactions[[#This Row],[CalCashImpact]])
)</f>
        <v>4259.7999999999884</v>
      </c>
      <c r="N399" s="81">
        <f>IF(VLOOKUP(Transactions[[#This Row],[Symbol]],Symbols[],COLUMN(Symbols[Currency])-COLUMN(Symbols[])+1,FALSE)=
       VLOOKUP(Transactions[[#This Row],[Account]],Accounts[],COLUMN(Accounts[Currency])-COLUMN(Accounts[])+1,FALSE),
     Transactions[[#This Row],[OrigCashImpact]],
     0
)</f>
        <v>4259.7999999999884</v>
      </c>
      <c r="O39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29973.020406210115</v>
      </c>
      <c r="P39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39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v>
      </c>
      <c r="R399" s="41">
        <f>ROW()</f>
        <v>399</v>
      </c>
      <c r="S3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258478.9</v>
      </c>
      <c r="T3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-516957.79999999993</v>
      </c>
      <c r="U39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v>
      </c>
      <c r="V399" s="86">
        <f>IF(INDEX(TransTypes[],Transactions[[#This Row],[TTR]],TT_COL_GLFlag)=1,Transactions[[#This Row],[CalCashImpact]]+Transactions[[#This Row],[CostImpact]],0)</f>
        <v>4259.7999999999884</v>
      </c>
      <c r="W399" s="87">
        <f>Transactions[[#This Row],[Amount]]*INDEX(TransTypes[],Transactions[[#This Row],[TTR]],TT_COL_AmntSign)</f>
        <v>-254219.1</v>
      </c>
      <c r="X399" s="87">
        <f>IF(INDEX(TransTypes[],Transactions[[#This Row],[TTR]],TT_COL_LONGORSHORT)="S",
      IF( OR(INDEX(TransTypes[],Transactions[[#This Row],[TTR]],TT_COL_GLFlag)=1, INDEX(TransTypes[], Transactions[[#This Row],[TTR]], TT_COL_ShareTransferFlag)=1),
            Transactions[[#This Row],[CostImpact]]*-1,
            Transactions[[#This Row],[CalCashImpact]]
      ),
     0
)</f>
        <v>-258478.9</v>
      </c>
      <c r="Y399" s="88" t="str">
        <f>VLOOKUP(Transactions[[#This Row],[Symbol]],Symbols[], COLUMN(Symbols[Currency])-COLUMN(Symbols[])+1,FALSE)</f>
        <v>USD</v>
      </c>
    </row>
    <row r="400" spans="1:25">
      <c r="A400" s="75" t="s">
        <v>65</v>
      </c>
      <c r="B400" s="76">
        <v>43142</v>
      </c>
      <c r="C400" s="75" t="s">
        <v>113</v>
      </c>
      <c r="D400" s="75"/>
      <c r="E400" s="75" t="s">
        <v>199</v>
      </c>
      <c r="F400" s="77">
        <v>1000</v>
      </c>
      <c r="G400" s="78">
        <v>414.4</v>
      </c>
      <c r="H400" s="77">
        <v>1183.8976</v>
      </c>
      <c r="I400" s="77"/>
      <c r="J400" s="79">
        <v>415583.89760000003</v>
      </c>
      <c r="K400" s="6"/>
      <c r="L400" s="20">
        <f>IF(ISNA(MATCH(Transactions[[#This Row],[TransType]],TransTypes[TransType],0)),1,MATCH(Transactions[[#This Row],[TransType]],TransTypes[TransType],0))</f>
        <v>2</v>
      </c>
      <c r="M400" s="80">
        <f>IF( AND( INDEX(TransTypes[],Transactions[[#This Row],[TTR]],TT_COL_GLFlag)=1, INDEX(TransTypes[],Transactions[[#This Row],[TTR]],TT_COL_LONGORSHORT)="S" ),
      Transactions[[#This Row],[PL]],
      IF(INDEX(TransTypes[],Transactions[[#This Row],[TTR]],TT_COL_LONGORSHORT)="S",0,Transactions[[#This Row],[CalCashImpact]])
)</f>
        <v>-415583.89760000003</v>
      </c>
      <c r="N400" s="81">
        <f>IF(VLOOKUP(Transactions[[#This Row],[Symbol]],Symbols[],COLUMN(Symbols[Currency])-COLUMN(Symbols[])+1,FALSE)=
       VLOOKUP(Transactions[[#This Row],[Account]],Accounts[],COLUMN(Accounts[Currency])-COLUMN(Accounts[])+1,FALSE),
     Transactions[[#This Row],[OrigCashImpact]],
     0
)</f>
        <v>0</v>
      </c>
      <c r="O40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29973.020406210115</v>
      </c>
      <c r="P40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40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4500</v>
      </c>
      <c r="R400" s="41">
        <f>ROW()</f>
        <v>400</v>
      </c>
      <c r="S4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415583.89760000003</v>
      </c>
      <c r="T4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1717712.0241808002</v>
      </c>
      <c r="U40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4500</v>
      </c>
      <c r="V400" s="86">
        <f>IF(INDEX(TransTypes[],Transactions[[#This Row],[TTR]],TT_COL_GLFlag)=1,Transactions[[#This Row],[CalCashImpact]]+Transactions[[#This Row],[CostImpact]],0)</f>
        <v>0</v>
      </c>
      <c r="W400" s="87">
        <f>Transactions[[#This Row],[Amount]]*INDEX(TransTypes[],Transactions[[#This Row],[TTR]],TT_COL_AmntSign)</f>
        <v>-415583.89760000003</v>
      </c>
      <c r="X400" s="87">
        <f>IF(INDEX(TransTypes[],Transactions[[#This Row],[TTR]],TT_COL_LONGORSHORT)="S",
      IF( OR(INDEX(TransTypes[],Transactions[[#This Row],[TTR]],TT_COL_GLFlag)=1, INDEX(TransTypes[], Transactions[[#This Row],[TTR]], TT_COL_ShareTransferFlag)=1),
            Transactions[[#This Row],[CostImpact]]*-1,
            Transactions[[#This Row],[CalCashImpact]]
      ),
     0
)</f>
        <v>0</v>
      </c>
      <c r="Y400" s="88" t="str">
        <f>VLOOKUP(Transactions[[#This Row],[Symbol]],Symbols[], COLUMN(Symbols[Currency])-COLUMN(Symbols[])+1,FALSE)</f>
        <v>HKD</v>
      </c>
    </row>
    <row r="401" spans="1:25">
      <c r="A401" s="75" t="s">
        <v>65</v>
      </c>
      <c r="B401" s="76">
        <v>43142</v>
      </c>
      <c r="C401" s="75" t="s">
        <v>160</v>
      </c>
      <c r="D401" s="75"/>
      <c r="E401" s="75" t="s">
        <v>416</v>
      </c>
      <c r="F401" s="77">
        <v>1</v>
      </c>
      <c r="G401" s="78">
        <v>29617</v>
      </c>
      <c r="H401" s="77">
        <v>30</v>
      </c>
      <c r="I401" s="77"/>
      <c r="J401" s="79">
        <v>1480880</v>
      </c>
      <c r="K401" s="6"/>
      <c r="L401" s="20">
        <f>IF(ISNA(MATCH(Transactions[[#This Row],[TransType]],TransTypes[TransType],0)),1,MATCH(Transactions[[#This Row],[TransType]],TransTypes[TransType],0))</f>
        <v>20</v>
      </c>
      <c r="M401" s="80">
        <f>IF( AND( INDEX(TransTypes[],Transactions[[#This Row],[TTR]],TT_COL_GLFlag)=1, INDEX(TransTypes[],Transactions[[#This Row],[TTR]],TT_COL_LONGORSHORT)="S" ),
      Transactions[[#This Row],[PL]],
      IF(INDEX(TransTypes[],Transactions[[#This Row],[TTR]],TT_COL_LONGORSHORT)="S",0,Transactions[[#This Row],[CalCashImpact]])
)</f>
        <v>34690</v>
      </c>
      <c r="N401" s="81">
        <f>IF(VLOOKUP(Transactions[[#This Row],[Symbol]],Symbols[],COLUMN(Symbols[Currency])-COLUMN(Symbols[])+1,FALSE)=
       VLOOKUP(Transactions[[#This Row],[Account]],Accounts[],COLUMN(Accounts[Currency])-COLUMN(Accounts[])+1,FALSE),
     Transactions[[#This Row],[OrigCashImpact]],
     0
)</f>
        <v>0</v>
      </c>
      <c r="O40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29973.020406210115</v>
      </c>
      <c r="P40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40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01" s="41">
        <f>ROW()</f>
        <v>401</v>
      </c>
      <c r="S4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1515570</v>
      </c>
      <c r="T4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0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v>
      </c>
      <c r="V401" s="86">
        <f>IF(INDEX(TransTypes[],Transactions[[#This Row],[TTR]],TT_COL_GLFlag)=1,Transactions[[#This Row],[CalCashImpact]]+Transactions[[#This Row],[CostImpact]],0)</f>
        <v>34690</v>
      </c>
      <c r="W401" s="87">
        <f>Transactions[[#This Row],[Amount]]*INDEX(TransTypes[],Transactions[[#This Row],[TTR]],TT_COL_AmntSign)</f>
        <v>-1480880</v>
      </c>
      <c r="X401" s="87">
        <f>IF(INDEX(TransTypes[],Transactions[[#This Row],[TTR]],TT_COL_LONGORSHORT)="S",
      IF( OR(INDEX(TransTypes[],Transactions[[#This Row],[TTR]],TT_COL_GLFlag)=1, INDEX(TransTypes[], Transactions[[#This Row],[TTR]], TT_COL_ShareTransferFlag)=1),
            Transactions[[#This Row],[CostImpact]]*-1,
            Transactions[[#This Row],[CalCashImpact]]
      ),
     0
)</f>
        <v>-1515570</v>
      </c>
      <c r="Y401" s="88" t="str">
        <f>VLOOKUP(Transactions[[#This Row],[Symbol]],Symbols[], COLUMN(Symbols[Currency])-COLUMN(Symbols[])+1,FALSE)</f>
        <v>HKD</v>
      </c>
    </row>
    <row r="402" spans="1:25">
      <c r="A402" s="75" t="s">
        <v>65</v>
      </c>
      <c r="B402" s="76">
        <v>43142</v>
      </c>
      <c r="C402" s="75" t="s">
        <v>160</v>
      </c>
      <c r="D402" s="75"/>
      <c r="E402" s="75" t="s">
        <v>418</v>
      </c>
      <c r="F402" s="77">
        <v>4</v>
      </c>
      <c r="G402" s="78">
        <v>6443.75</v>
      </c>
      <c r="H402" s="77">
        <v>8.1999999999999993</v>
      </c>
      <c r="I402" s="77"/>
      <c r="J402" s="79">
        <v>515508.2</v>
      </c>
      <c r="K402" s="6"/>
      <c r="L402" s="20">
        <f>IF(ISNA(MATCH(Transactions[[#This Row],[TransType]],TransTypes[TransType],0)),1,MATCH(Transactions[[#This Row],[TransType]],TransTypes[TransType],0))</f>
        <v>20</v>
      </c>
      <c r="M402" s="80">
        <f>IF( AND( INDEX(TransTypes[],Transactions[[#This Row],[TTR]],TT_COL_GLFlag)=1, INDEX(TransTypes[],Transactions[[#This Row],[TTR]],TT_COL_LONGORSHORT)="S" ),
      Transactions[[#This Row],[PL]],
      IF(INDEX(TransTypes[],Transactions[[#This Row],[TTR]],TT_COL_LONGORSHORT)="S",0,Transactions[[#This Row],[CalCashImpact]])
)</f>
        <v>1449.5999999999185</v>
      </c>
      <c r="N402" s="81">
        <f>IF(VLOOKUP(Transactions[[#This Row],[Symbol]],Symbols[],COLUMN(Symbols[Currency])-COLUMN(Symbols[])+1,FALSE)=
       VLOOKUP(Transactions[[#This Row],[Account]],Accounts[],COLUMN(Accounts[Currency])-COLUMN(Accounts[])+1,FALSE),
     Transactions[[#This Row],[OrigCashImpact]],
     0
)</f>
        <v>1449.5999999999185</v>
      </c>
      <c r="O40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31422.620406210033</v>
      </c>
      <c r="P40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40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02" s="41">
        <f>ROW()</f>
        <v>402</v>
      </c>
      <c r="S4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516957.79999999993</v>
      </c>
      <c r="T4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0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402" s="86">
        <f>IF(INDEX(TransTypes[],Transactions[[#This Row],[TTR]],TT_COL_GLFlag)=1,Transactions[[#This Row],[CalCashImpact]]+Transactions[[#This Row],[CostImpact]],0)</f>
        <v>1449.5999999999185</v>
      </c>
      <c r="W402" s="87">
        <f>Transactions[[#This Row],[Amount]]*INDEX(TransTypes[],Transactions[[#This Row],[TTR]],TT_COL_AmntSign)</f>
        <v>-515508.2</v>
      </c>
      <c r="X402" s="87">
        <f>IF(INDEX(TransTypes[],Transactions[[#This Row],[TTR]],TT_COL_LONGORSHORT)="S",
      IF( OR(INDEX(TransTypes[],Transactions[[#This Row],[TTR]],TT_COL_GLFlag)=1, INDEX(TransTypes[], Transactions[[#This Row],[TTR]], TT_COL_ShareTransferFlag)=1),
            Transactions[[#This Row],[CostImpact]]*-1,
            Transactions[[#This Row],[CalCashImpact]]
      ),
     0
)</f>
        <v>-516957.79999999993</v>
      </c>
      <c r="Y402" s="88" t="str">
        <f>VLOOKUP(Transactions[[#This Row],[Symbol]],Symbols[], COLUMN(Symbols[Currency])-COLUMN(Symbols[])+1,FALSE)</f>
        <v>USD</v>
      </c>
    </row>
    <row r="403" spans="1:25">
      <c r="A403" s="75" t="s">
        <v>65</v>
      </c>
      <c r="B403" s="76">
        <v>43143</v>
      </c>
      <c r="C403" s="75" t="s">
        <v>113</v>
      </c>
      <c r="D403" s="75"/>
      <c r="E403" s="75" t="s">
        <v>278</v>
      </c>
      <c r="F403" s="77">
        <v>20</v>
      </c>
      <c r="G403" s="78">
        <v>1377.5</v>
      </c>
      <c r="H403" s="77">
        <v>1</v>
      </c>
      <c r="I403" s="77"/>
      <c r="J403" s="79">
        <v>27551</v>
      </c>
      <c r="K403" s="6"/>
      <c r="L403" s="20">
        <f>IF(ISNA(MATCH(Transactions[[#This Row],[TransType]],TransTypes[TransType],0)),1,MATCH(Transactions[[#This Row],[TransType]],TransTypes[TransType],0))</f>
        <v>2</v>
      </c>
      <c r="M403" s="80">
        <f>IF( AND( INDEX(TransTypes[],Transactions[[#This Row],[TTR]],TT_COL_GLFlag)=1, INDEX(TransTypes[],Transactions[[#This Row],[TTR]],TT_COL_LONGORSHORT)="S" ),
      Transactions[[#This Row],[PL]],
      IF(INDEX(TransTypes[],Transactions[[#This Row],[TTR]],TT_COL_LONGORSHORT)="S",0,Transactions[[#This Row],[CalCashImpact]])
)</f>
        <v>-27551</v>
      </c>
      <c r="N403" s="81">
        <f>IF(VLOOKUP(Transactions[[#This Row],[Symbol]],Symbols[],COLUMN(Symbols[Currency])-COLUMN(Symbols[])+1,FALSE)=
       VLOOKUP(Transactions[[#This Row],[Account]],Accounts[],COLUMN(Accounts[Currency])-COLUMN(Accounts[])+1,FALSE),
     Transactions[[#This Row],[OrigCashImpact]],
     0
)</f>
        <v>-27551</v>
      </c>
      <c r="O40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3871.6204062100333</v>
      </c>
      <c r="P40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v>
      </c>
      <c r="Q40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v>
      </c>
      <c r="R403" s="41">
        <f>ROW()</f>
        <v>403</v>
      </c>
      <c r="S4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27551</v>
      </c>
      <c r="T4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193938.19999999998</v>
      </c>
      <c r="U40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v>
      </c>
      <c r="V403" s="86">
        <f>IF(INDEX(TransTypes[],Transactions[[#This Row],[TTR]],TT_COL_GLFlag)=1,Transactions[[#This Row],[CalCashImpact]]+Transactions[[#This Row],[CostImpact]],0)</f>
        <v>0</v>
      </c>
      <c r="W403" s="87">
        <f>Transactions[[#This Row],[Amount]]*INDEX(TransTypes[],Transactions[[#This Row],[TTR]],TT_COL_AmntSign)</f>
        <v>-27551</v>
      </c>
      <c r="X403" s="87">
        <f>IF(INDEX(TransTypes[],Transactions[[#This Row],[TTR]],TT_COL_LONGORSHORT)="S",
      IF( OR(INDEX(TransTypes[],Transactions[[#This Row],[TTR]],TT_COL_GLFlag)=1, INDEX(TransTypes[], Transactions[[#This Row],[TTR]], TT_COL_ShareTransferFlag)=1),
            Transactions[[#This Row],[CostImpact]]*-1,
            Transactions[[#This Row],[CalCashImpact]]
      ),
     0
)</f>
        <v>0</v>
      </c>
      <c r="Y403" s="88" t="str">
        <f>VLOOKUP(Transactions[[#This Row],[Symbol]],Symbols[], COLUMN(Symbols[Currency])-COLUMN(Symbols[])+1,FALSE)</f>
        <v>USD</v>
      </c>
    </row>
    <row r="404" spans="1:25">
      <c r="A404" s="75" t="s">
        <v>65</v>
      </c>
      <c r="B404" s="76">
        <v>43143</v>
      </c>
      <c r="C404" s="75" t="s">
        <v>113</v>
      </c>
      <c r="D404" s="75"/>
      <c r="E404" s="75" t="s">
        <v>311</v>
      </c>
      <c r="F404" s="77">
        <v>1000</v>
      </c>
      <c r="G404" s="78">
        <v>28.419879999999999</v>
      </c>
      <c r="H404" s="77">
        <v>4.0999999999999996</v>
      </c>
      <c r="I404" s="77"/>
      <c r="J404" s="79">
        <v>28423.98</v>
      </c>
      <c r="K404" s="6"/>
      <c r="L404" s="20">
        <f>IF(ISNA(MATCH(Transactions[[#This Row],[TransType]],TransTypes[TransType],0)),1,MATCH(Transactions[[#This Row],[TransType]],TransTypes[TransType],0))</f>
        <v>2</v>
      </c>
      <c r="M404" s="80">
        <f>IF( AND( INDEX(TransTypes[],Transactions[[#This Row],[TTR]],TT_COL_GLFlag)=1, INDEX(TransTypes[],Transactions[[#This Row],[TTR]],TT_COL_LONGORSHORT)="S" ),
      Transactions[[#This Row],[PL]],
      IF(INDEX(TransTypes[],Transactions[[#This Row],[TTR]],TT_COL_LONGORSHORT)="S",0,Transactions[[#This Row],[CalCashImpact]])
)</f>
        <v>-28423.98</v>
      </c>
      <c r="N404" s="81">
        <f>IF(VLOOKUP(Transactions[[#This Row],[Symbol]],Symbols[],COLUMN(Symbols[Currency])-COLUMN(Symbols[])+1,FALSE)=
       VLOOKUP(Transactions[[#This Row],[Account]],Accounts[],COLUMN(Accounts[Currency])-COLUMN(Accounts[])+1,FALSE),
     Transactions[[#This Row],[OrigCashImpact]],
     0
)</f>
        <v>-28423.98</v>
      </c>
      <c r="O40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-24552.359593789963</v>
      </c>
      <c r="P40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40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404" s="41">
        <f>ROW()</f>
        <v>404</v>
      </c>
      <c r="S4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28423.98</v>
      </c>
      <c r="T4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66608.247299999974</v>
      </c>
      <c r="U40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v>
      </c>
      <c r="V404" s="86">
        <f>IF(INDEX(TransTypes[],Transactions[[#This Row],[TTR]],TT_COL_GLFlag)=1,Transactions[[#This Row],[CalCashImpact]]+Transactions[[#This Row],[CostImpact]],0)</f>
        <v>0</v>
      </c>
      <c r="W404" s="87">
        <f>Transactions[[#This Row],[Amount]]*INDEX(TransTypes[],Transactions[[#This Row],[TTR]],TT_COL_AmntSign)</f>
        <v>-28423.98</v>
      </c>
      <c r="X404" s="87">
        <f>IF(INDEX(TransTypes[],Transactions[[#This Row],[TTR]],TT_COL_LONGORSHORT)="S",
      IF( OR(INDEX(TransTypes[],Transactions[[#This Row],[TTR]],TT_COL_GLFlag)=1, INDEX(TransTypes[], Transactions[[#This Row],[TTR]], TT_COL_ShareTransferFlag)=1),
            Transactions[[#This Row],[CostImpact]]*-1,
            Transactions[[#This Row],[CalCashImpact]]
      ),
     0
)</f>
        <v>0</v>
      </c>
      <c r="Y404" s="88" t="str">
        <f>VLOOKUP(Transactions[[#This Row],[Symbol]],Symbols[], COLUMN(Symbols[Currency])-COLUMN(Symbols[])+1,FALSE)</f>
        <v>USD</v>
      </c>
    </row>
    <row r="405" spans="1:25">
      <c r="A405" s="75" t="s">
        <v>65</v>
      </c>
      <c r="B405" s="76">
        <v>43143</v>
      </c>
      <c r="C405" s="75" t="s">
        <v>113</v>
      </c>
      <c r="D405" s="75"/>
      <c r="E405" s="75" t="s">
        <v>405</v>
      </c>
      <c r="F405" s="77">
        <v>300</v>
      </c>
      <c r="G405" s="78">
        <v>89.009900000000002</v>
      </c>
      <c r="H405" s="77">
        <v>1.2</v>
      </c>
      <c r="I405" s="77"/>
      <c r="J405" s="79">
        <v>26704.17</v>
      </c>
      <c r="K405" s="6"/>
      <c r="L405" s="20">
        <f>IF(ISNA(MATCH(Transactions[[#This Row],[TransType]],TransTypes[TransType],0)),1,MATCH(Transactions[[#This Row],[TransType]],TransTypes[TransType],0))</f>
        <v>2</v>
      </c>
      <c r="M405" s="80">
        <f>IF( AND( INDEX(TransTypes[],Transactions[[#This Row],[TTR]],TT_COL_GLFlag)=1, INDEX(TransTypes[],Transactions[[#This Row],[TTR]],TT_COL_LONGORSHORT)="S" ),
      Transactions[[#This Row],[PL]],
      IF(INDEX(TransTypes[],Transactions[[#This Row],[TTR]],TT_COL_LONGORSHORT)="S",0,Transactions[[#This Row],[CalCashImpact]])
)</f>
        <v>-26704.17</v>
      </c>
      <c r="N405" s="81">
        <f>IF(VLOOKUP(Transactions[[#This Row],[Symbol]],Symbols[],COLUMN(Symbols[Currency])-COLUMN(Symbols[])+1,FALSE)=
       VLOOKUP(Transactions[[#This Row],[Account]],Accounts[],COLUMN(Accounts[Currency])-COLUMN(Accounts[])+1,FALSE),
     Transactions[[#This Row],[OrigCashImpact]],
     0
)</f>
        <v>-26704.17</v>
      </c>
      <c r="O40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-51256.529593789965</v>
      </c>
      <c r="P40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40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405" s="41">
        <f>ROW()</f>
        <v>405</v>
      </c>
      <c r="S4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26704.17</v>
      </c>
      <c r="T4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72080.67</v>
      </c>
      <c r="U40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405" s="86">
        <f>IF(INDEX(TransTypes[],Transactions[[#This Row],[TTR]],TT_COL_GLFlag)=1,Transactions[[#This Row],[CalCashImpact]]+Transactions[[#This Row],[CostImpact]],0)</f>
        <v>0</v>
      </c>
      <c r="W405" s="87">
        <f>Transactions[[#This Row],[Amount]]*INDEX(TransTypes[],Transactions[[#This Row],[TTR]],TT_COL_AmntSign)</f>
        <v>-26704.17</v>
      </c>
      <c r="X405" s="87">
        <f>IF(INDEX(TransTypes[],Transactions[[#This Row],[TTR]],TT_COL_LONGORSHORT)="S",
      IF( OR(INDEX(TransTypes[],Transactions[[#This Row],[TTR]],TT_COL_GLFlag)=1, INDEX(TransTypes[], Transactions[[#This Row],[TTR]], TT_COL_ShareTransferFlag)=1),
            Transactions[[#This Row],[CostImpact]]*-1,
            Transactions[[#This Row],[CalCashImpact]]
      ),
     0
)</f>
        <v>0</v>
      </c>
      <c r="Y405" s="88" t="str">
        <f>VLOOKUP(Transactions[[#This Row],[Symbol]],Symbols[], COLUMN(Symbols[Currency])-COLUMN(Symbols[])+1,FALSE)</f>
        <v>USD</v>
      </c>
    </row>
    <row r="406" spans="1:25">
      <c r="A406" s="75" t="s">
        <v>65</v>
      </c>
      <c r="B406" s="76">
        <v>43143</v>
      </c>
      <c r="C406" s="75" t="s">
        <v>115</v>
      </c>
      <c r="D406" s="75"/>
      <c r="E406" s="75" t="s">
        <v>20</v>
      </c>
      <c r="F406" s="77">
        <v>300</v>
      </c>
      <c r="G406" s="78">
        <v>118.44</v>
      </c>
      <c r="H406" s="77">
        <v>2.3564892</v>
      </c>
      <c r="I406" s="77"/>
      <c r="J406" s="79">
        <v>35529.643510800001</v>
      </c>
      <c r="K406" s="6"/>
      <c r="L406" s="20">
        <f>IF(ISNA(MATCH(Transactions[[#This Row],[TransType]],TransTypes[TransType],0)),1,MATCH(Transactions[[#This Row],[TransType]],TransTypes[TransType],0))</f>
        <v>3</v>
      </c>
      <c r="M406" s="80">
        <f>IF( AND( INDEX(TransTypes[],Transactions[[#This Row],[TTR]],TT_COL_GLFlag)=1, INDEX(TransTypes[],Transactions[[#This Row],[TTR]],TT_COL_LONGORSHORT)="S" ),
      Transactions[[#This Row],[PL]],
      IF(INDEX(TransTypes[],Transactions[[#This Row],[TTR]],TT_COL_LONGORSHORT)="S",0,Transactions[[#This Row],[CalCashImpact]])
)</f>
        <v>35529.643510800001</v>
      </c>
      <c r="N406" s="81">
        <f>IF(VLOOKUP(Transactions[[#This Row],[Symbol]],Symbols[],COLUMN(Symbols[Currency])-COLUMN(Symbols[])+1,FALSE)=
       VLOOKUP(Transactions[[#This Row],[Account]],Accounts[],COLUMN(Accounts[Currency])-COLUMN(Accounts[])+1,FALSE),
     Transactions[[#This Row],[OrigCashImpact]],
     0
)</f>
        <v>35529.643510800001</v>
      </c>
      <c r="O40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-15726.88608298996</v>
      </c>
      <c r="P40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40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2448</v>
      </c>
      <c r="R406" s="41">
        <f>ROW()</f>
        <v>406</v>
      </c>
      <c r="S4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-36887.34973007199</v>
      </c>
      <c r="T4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301000.77379738749</v>
      </c>
      <c r="U40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2748</v>
      </c>
      <c r="V406" s="86">
        <f>IF(INDEX(TransTypes[],Transactions[[#This Row],[TTR]],TT_COL_GLFlag)=1,Transactions[[#This Row],[CalCashImpact]]+Transactions[[#This Row],[CostImpact]],0)</f>
        <v>-1357.7062192719895</v>
      </c>
      <c r="W406" s="87">
        <f>Transactions[[#This Row],[Amount]]*INDEX(TransTypes[],Transactions[[#This Row],[TTR]],TT_COL_AmntSign)</f>
        <v>35529.643510800001</v>
      </c>
      <c r="X406" s="87">
        <f>IF(INDEX(TransTypes[],Transactions[[#This Row],[TTR]],TT_COL_LONGORSHORT)="S",
      IF( OR(INDEX(TransTypes[],Transactions[[#This Row],[TTR]],TT_COL_GLFlag)=1, INDEX(TransTypes[], Transactions[[#This Row],[TTR]], TT_COL_ShareTransferFlag)=1),
            Transactions[[#This Row],[CostImpact]]*-1,
            Transactions[[#This Row],[CalCashImpact]]
      ),
     0
)</f>
        <v>0</v>
      </c>
      <c r="Y406" s="88" t="str">
        <f>VLOOKUP(Transactions[[#This Row],[Symbol]],Symbols[], COLUMN(Symbols[Currency])-COLUMN(Symbols[])+1,FALSE)</f>
        <v>USD</v>
      </c>
    </row>
    <row r="407" spans="1:25">
      <c r="A407" s="75" t="s">
        <v>65</v>
      </c>
      <c r="B407" s="76">
        <v>43143</v>
      </c>
      <c r="C407" s="75" t="s">
        <v>156</v>
      </c>
      <c r="D407" s="75"/>
      <c r="E407" s="75" t="s">
        <v>210</v>
      </c>
      <c r="F407" s="77">
        <v>13485</v>
      </c>
      <c r="G407" s="78">
        <v>7.8203800000000001</v>
      </c>
      <c r="H407" s="77"/>
      <c r="I407" s="77"/>
      <c r="J407" s="79">
        <v>105457.82429999999</v>
      </c>
      <c r="K407" s="6"/>
      <c r="L407" s="20">
        <f>IF(ISNA(MATCH(Transactions[[#This Row],[TransType]],TransTypes[TransType],0)),1,MATCH(Transactions[[#This Row],[TransType]],TransTypes[TransType],0))</f>
        <v>17</v>
      </c>
      <c r="M407" s="80">
        <f>IF( AND( INDEX(TransTypes[],Transactions[[#This Row],[TTR]],TT_COL_GLFlag)=1, INDEX(TransTypes[],Transactions[[#This Row],[TTR]],TT_COL_LONGORSHORT)="S" ),
      Transactions[[#This Row],[PL]],
      IF(INDEX(TransTypes[],Transactions[[#This Row],[TTR]],TT_COL_LONGORSHORT)="S",0,Transactions[[#This Row],[CalCashImpact]])
)</f>
        <v>-105457.82429999999</v>
      </c>
      <c r="N407" s="81">
        <f>IF(VLOOKUP(Transactions[[#This Row],[Symbol]],Symbols[],COLUMN(Symbols[Currency])-COLUMN(Symbols[])+1,FALSE)=
       VLOOKUP(Transactions[[#This Row],[Account]],Accounts[],COLUMN(Accounts[Currency])-COLUMN(Accounts[])+1,FALSE),
     Transactions[[#This Row],[OrigCashImpact]],
     0
)</f>
        <v>0</v>
      </c>
      <c r="O40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-15726.88608298996</v>
      </c>
      <c r="P40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0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07" s="41">
        <f>ROW()</f>
        <v>407</v>
      </c>
      <c r="S4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0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07" s="86">
        <f>IF(INDEX(TransTypes[],Transactions[[#This Row],[TTR]],TT_COL_GLFlag)=1,Transactions[[#This Row],[CalCashImpact]]+Transactions[[#This Row],[CostImpact]],0)</f>
        <v>0</v>
      </c>
      <c r="W407" s="87">
        <f>Transactions[[#This Row],[Amount]]*INDEX(TransTypes[],Transactions[[#This Row],[TTR]],TT_COL_AmntSign)</f>
        <v>-105457.82429999999</v>
      </c>
      <c r="X407" s="87">
        <f>IF(INDEX(TransTypes[],Transactions[[#This Row],[TTR]],TT_COL_LONGORSHORT)="S",
      IF( OR(INDEX(TransTypes[],Transactions[[#This Row],[TTR]],TT_COL_GLFlag)=1, INDEX(TransTypes[], Transactions[[#This Row],[TTR]], TT_COL_ShareTransferFlag)=1),
            Transactions[[#This Row],[CostImpact]]*-1,
            Transactions[[#This Row],[CalCashImpact]]
      ),
     0
)</f>
        <v>0</v>
      </c>
      <c r="Y407" s="88" t="str">
        <f>VLOOKUP(Transactions[[#This Row],[Symbol]],Symbols[], COLUMN(Symbols[Currency])-COLUMN(Symbols[])+1,FALSE)</f>
        <v>HKD</v>
      </c>
    </row>
    <row r="408" spans="1:25">
      <c r="A408" s="75" t="s">
        <v>65</v>
      </c>
      <c r="B408" s="76">
        <v>43143</v>
      </c>
      <c r="C408" s="75" t="s">
        <v>239</v>
      </c>
      <c r="D408" s="75"/>
      <c r="E408" s="75" t="s">
        <v>208</v>
      </c>
      <c r="F408" s="77">
        <v>13485</v>
      </c>
      <c r="G408" s="78">
        <v>1</v>
      </c>
      <c r="H408" s="77">
        <v>2</v>
      </c>
      <c r="I408" s="77"/>
      <c r="J408" s="79">
        <v>13487</v>
      </c>
      <c r="K408" s="6" t="s">
        <v>443</v>
      </c>
      <c r="L408" s="20">
        <f>IF(ISNA(MATCH(Transactions[[#This Row],[TransType]],TransTypes[TransType],0)),1,MATCH(Transactions[[#This Row],[TransType]],TransTypes[TransType],0))</f>
        <v>18</v>
      </c>
      <c r="M408" s="80">
        <f>IF( AND( INDEX(TransTypes[],Transactions[[#This Row],[TTR]],TT_COL_GLFlag)=1, INDEX(TransTypes[],Transactions[[#This Row],[TTR]],TT_COL_LONGORSHORT)="S" ),
      Transactions[[#This Row],[PL]],
      IF(INDEX(TransTypes[],Transactions[[#This Row],[TTR]],TT_COL_LONGORSHORT)="S",0,Transactions[[#This Row],[CalCashImpact]])
)</f>
        <v>13487</v>
      </c>
      <c r="N408" s="81">
        <f>IF(VLOOKUP(Transactions[[#This Row],[Symbol]],Symbols[],COLUMN(Symbols[Currency])-COLUMN(Symbols[])+1,FALSE)=
       VLOOKUP(Transactions[[#This Row],[Account]],Accounts[],COLUMN(Accounts[Currency])-COLUMN(Accounts[])+1,FALSE),
     Transactions[[#This Row],[OrigCashImpact]],
     0
)</f>
        <v>13487</v>
      </c>
      <c r="O40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-2239.8860829899604</v>
      </c>
      <c r="P40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0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08" s="41">
        <f>ROW()</f>
        <v>408</v>
      </c>
      <c r="S4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0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08" s="86">
        <f>IF(INDEX(TransTypes[],Transactions[[#This Row],[TTR]],TT_COL_GLFlag)=1,Transactions[[#This Row],[CalCashImpact]]+Transactions[[#This Row],[CostImpact]],0)</f>
        <v>0</v>
      </c>
      <c r="W408" s="87">
        <f>Transactions[[#This Row],[Amount]]*INDEX(TransTypes[],Transactions[[#This Row],[TTR]],TT_COL_AmntSign)</f>
        <v>13487</v>
      </c>
      <c r="X408" s="87">
        <f>IF(INDEX(TransTypes[],Transactions[[#This Row],[TTR]],TT_COL_LONGORSHORT)="S",
      IF( OR(INDEX(TransTypes[],Transactions[[#This Row],[TTR]],TT_COL_GLFlag)=1, INDEX(TransTypes[], Transactions[[#This Row],[TTR]], TT_COL_ShareTransferFlag)=1),
            Transactions[[#This Row],[CostImpact]]*-1,
            Transactions[[#This Row],[CalCashImpact]]
      ),
     0
)</f>
        <v>0</v>
      </c>
      <c r="Y408" s="88" t="str">
        <f>VLOOKUP(Transactions[[#This Row],[Symbol]],Symbols[], COLUMN(Symbols[Currency])-COLUMN(Symbols[])+1,FALSE)</f>
        <v>USD</v>
      </c>
    </row>
    <row r="409" spans="1:25">
      <c r="A409" s="75" t="s">
        <v>65</v>
      </c>
      <c r="B409" s="76">
        <v>43145</v>
      </c>
      <c r="C409" s="75" t="s">
        <v>113</v>
      </c>
      <c r="D409" s="75"/>
      <c r="E409" s="75" t="s">
        <v>275</v>
      </c>
      <c r="F409" s="77">
        <v>100</v>
      </c>
      <c r="G409" s="78">
        <v>195.06450000000001</v>
      </c>
      <c r="H409" s="77">
        <v>1</v>
      </c>
      <c r="I409" s="77"/>
      <c r="J409" s="79">
        <v>19507.45</v>
      </c>
      <c r="K409" s="6"/>
      <c r="L409" s="20">
        <f>IF(ISNA(MATCH(Transactions[[#This Row],[TransType]],TransTypes[TransType],0)),1,MATCH(Transactions[[#This Row],[TransType]],TransTypes[TransType],0))</f>
        <v>2</v>
      </c>
      <c r="M409" s="80">
        <f>IF( AND( INDEX(TransTypes[],Transactions[[#This Row],[TTR]],TT_COL_GLFlag)=1, INDEX(TransTypes[],Transactions[[#This Row],[TTR]],TT_COL_LONGORSHORT)="S" ),
      Transactions[[#This Row],[PL]],
      IF(INDEX(TransTypes[],Transactions[[#This Row],[TTR]],TT_COL_LONGORSHORT)="S",0,Transactions[[#This Row],[CalCashImpact]])
)</f>
        <v>-19507.45</v>
      </c>
      <c r="N409" s="81">
        <f>IF(VLOOKUP(Transactions[[#This Row],[Symbol]],Symbols[],COLUMN(Symbols[Currency])-COLUMN(Symbols[])+1,FALSE)=
       VLOOKUP(Transactions[[#This Row],[Account]],Accounts[],COLUMN(Accounts[Currency])-COLUMN(Accounts[])+1,FALSE),
     Transactions[[#This Row],[OrigCashImpact]],
     0
)</f>
        <v>-19507.45</v>
      </c>
      <c r="O40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-21747.336082989965</v>
      </c>
      <c r="P40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40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409" s="41">
        <f>ROW()</f>
        <v>409</v>
      </c>
      <c r="S4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19507.45</v>
      </c>
      <c r="T4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36692.449999999997</v>
      </c>
      <c r="U40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409" s="86">
        <f>IF(INDEX(TransTypes[],Transactions[[#This Row],[TTR]],TT_COL_GLFlag)=1,Transactions[[#This Row],[CalCashImpact]]+Transactions[[#This Row],[CostImpact]],0)</f>
        <v>0</v>
      </c>
      <c r="W409" s="87">
        <f>Transactions[[#This Row],[Amount]]*INDEX(TransTypes[],Transactions[[#This Row],[TTR]],TT_COL_AmntSign)</f>
        <v>-19507.45</v>
      </c>
      <c r="X409" s="87">
        <f>IF(INDEX(TransTypes[],Transactions[[#This Row],[TTR]],TT_COL_LONGORSHORT)="S",
      IF( OR(INDEX(TransTypes[],Transactions[[#This Row],[TTR]],TT_COL_GLFlag)=1, INDEX(TransTypes[], Transactions[[#This Row],[TTR]], TT_COL_ShareTransferFlag)=1),
            Transactions[[#This Row],[CostImpact]]*-1,
            Transactions[[#This Row],[CalCashImpact]]
      ),
     0
)</f>
        <v>0</v>
      </c>
      <c r="Y409" s="88" t="str">
        <f>VLOOKUP(Transactions[[#This Row],[Symbol]],Symbols[], COLUMN(Symbols[Currency])-COLUMN(Symbols[])+1,FALSE)</f>
        <v>USD</v>
      </c>
    </row>
    <row r="410" spans="1:25">
      <c r="A410" s="75" t="s">
        <v>65</v>
      </c>
      <c r="B410" s="76">
        <v>43145</v>
      </c>
      <c r="C410" s="75" t="s">
        <v>113</v>
      </c>
      <c r="D410" s="75"/>
      <c r="E410" s="75" t="s">
        <v>287</v>
      </c>
      <c r="F410" s="77">
        <v>400</v>
      </c>
      <c r="G410" s="78">
        <v>177.52</v>
      </c>
      <c r="H410" s="77">
        <v>2</v>
      </c>
      <c r="I410" s="77"/>
      <c r="J410" s="79">
        <v>71010</v>
      </c>
      <c r="K410" s="6"/>
      <c r="L410" s="20">
        <f>IF(ISNA(MATCH(Transactions[[#This Row],[TransType]],TransTypes[TransType],0)),1,MATCH(Transactions[[#This Row],[TransType]],TransTypes[TransType],0))</f>
        <v>2</v>
      </c>
      <c r="M410" s="80">
        <f>IF( AND( INDEX(TransTypes[],Transactions[[#This Row],[TTR]],TT_COL_GLFlag)=1, INDEX(TransTypes[],Transactions[[#This Row],[TTR]],TT_COL_LONGORSHORT)="S" ),
      Transactions[[#This Row],[PL]],
      IF(INDEX(TransTypes[],Transactions[[#This Row],[TTR]],TT_COL_LONGORSHORT)="S",0,Transactions[[#This Row],[CalCashImpact]])
)</f>
        <v>-71010</v>
      </c>
      <c r="N410" s="81">
        <f>IF(VLOOKUP(Transactions[[#This Row],[Symbol]],Symbols[],COLUMN(Symbols[Currency])-COLUMN(Symbols[])+1,FALSE)=
       VLOOKUP(Transactions[[#This Row],[Account]],Accounts[],COLUMN(Accounts[Currency])-COLUMN(Accounts[])+1,FALSE),
     Transactions[[#This Row],[OrigCashImpact]],
     0
)</f>
        <v>-71010</v>
      </c>
      <c r="O41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-92757.336082989961</v>
      </c>
      <c r="P41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41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1702</v>
      </c>
      <c r="R410" s="41">
        <f>ROW()</f>
        <v>410</v>
      </c>
      <c r="S4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71010</v>
      </c>
      <c r="T4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306818.87</v>
      </c>
      <c r="U41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1702</v>
      </c>
      <c r="V410" s="86">
        <f>IF(INDEX(TransTypes[],Transactions[[#This Row],[TTR]],TT_COL_GLFlag)=1,Transactions[[#This Row],[CalCashImpact]]+Transactions[[#This Row],[CostImpact]],0)</f>
        <v>0</v>
      </c>
      <c r="W410" s="87">
        <f>Transactions[[#This Row],[Amount]]*INDEX(TransTypes[],Transactions[[#This Row],[TTR]],TT_COL_AmntSign)</f>
        <v>-71010</v>
      </c>
      <c r="X410" s="87">
        <f>IF(INDEX(TransTypes[],Transactions[[#This Row],[TTR]],TT_COL_LONGORSHORT)="S",
      IF( OR(INDEX(TransTypes[],Transactions[[#This Row],[TTR]],TT_COL_GLFlag)=1, INDEX(TransTypes[], Transactions[[#This Row],[TTR]], TT_COL_ShareTransferFlag)=1),
            Transactions[[#This Row],[CostImpact]]*-1,
            Transactions[[#This Row],[CalCashImpact]]
      ),
     0
)</f>
        <v>0</v>
      </c>
      <c r="Y410" s="88" t="str">
        <f>VLOOKUP(Transactions[[#This Row],[Symbol]],Symbols[], COLUMN(Symbols[Currency])-COLUMN(Symbols[])+1,FALSE)</f>
        <v>USD</v>
      </c>
    </row>
    <row r="411" spans="1:25">
      <c r="A411" s="75" t="s">
        <v>65</v>
      </c>
      <c r="B411" s="76">
        <v>43145</v>
      </c>
      <c r="C411" s="75" t="s">
        <v>113</v>
      </c>
      <c r="D411" s="75"/>
      <c r="E411" s="75" t="s">
        <v>7</v>
      </c>
      <c r="F411" s="77">
        <v>20</v>
      </c>
      <c r="G411" s="78">
        <v>1070.93</v>
      </c>
      <c r="H411" s="77">
        <v>1</v>
      </c>
      <c r="I411" s="77"/>
      <c r="J411" s="79">
        <v>21419.599999999999</v>
      </c>
      <c r="K411" s="6"/>
      <c r="L411" s="20">
        <f>IF(ISNA(MATCH(Transactions[[#This Row],[TransType]],TransTypes[TransType],0)),1,MATCH(Transactions[[#This Row],[TransType]],TransTypes[TransType],0))</f>
        <v>2</v>
      </c>
      <c r="M411" s="80">
        <f>IF( AND( INDEX(TransTypes[],Transactions[[#This Row],[TTR]],TT_COL_GLFlag)=1, INDEX(TransTypes[],Transactions[[#This Row],[TTR]],TT_COL_LONGORSHORT)="S" ),
      Transactions[[#This Row],[PL]],
      IF(INDEX(TransTypes[],Transactions[[#This Row],[TTR]],TT_COL_LONGORSHORT)="S",0,Transactions[[#This Row],[CalCashImpact]])
)</f>
        <v>-21419.599999999999</v>
      </c>
      <c r="N411" s="81">
        <f>IF(VLOOKUP(Transactions[[#This Row],[Symbol]],Symbols[],COLUMN(Symbols[Currency])-COLUMN(Symbols[])+1,FALSE)=
       VLOOKUP(Transactions[[#This Row],[Account]],Accounts[],COLUMN(Accounts[Currency])-COLUMN(Accounts[])+1,FALSE),
     Transactions[[#This Row],[OrigCashImpact]],
     0
)</f>
        <v>-21419.599999999999</v>
      </c>
      <c r="O41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-114176.93608298995</v>
      </c>
      <c r="P41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v>
      </c>
      <c r="Q41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v>
      </c>
      <c r="R411" s="41">
        <f>ROW()</f>
        <v>411</v>
      </c>
      <c r="S4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21419.599999999999</v>
      </c>
      <c r="T4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193307.10399999999</v>
      </c>
      <c r="U41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v>
      </c>
      <c r="V411" s="86">
        <f>IF(INDEX(TransTypes[],Transactions[[#This Row],[TTR]],TT_COL_GLFlag)=1,Transactions[[#This Row],[CalCashImpact]]+Transactions[[#This Row],[CostImpact]],0)</f>
        <v>0</v>
      </c>
      <c r="W411" s="87">
        <f>Transactions[[#This Row],[Amount]]*INDEX(TransTypes[],Transactions[[#This Row],[TTR]],TT_COL_AmntSign)</f>
        <v>-21419.599999999999</v>
      </c>
      <c r="X411" s="87">
        <f>IF(INDEX(TransTypes[],Transactions[[#This Row],[TTR]],TT_COL_LONGORSHORT)="S",
      IF( OR(INDEX(TransTypes[],Transactions[[#This Row],[TTR]],TT_COL_GLFlag)=1, INDEX(TransTypes[], Transactions[[#This Row],[TTR]], TT_COL_ShareTransferFlag)=1),
            Transactions[[#This Row],[CostImpact]]*-1,
            Transactions[[#This Row],[CalCashImpact]]
      ),
     0
)</f>
        <v>0</v>
      </c>
      <c r="Y411" s="88" t="str">
        <f>VLOOKUP(Transactions[[#This Row],[Symbol]],Symbols[], COLUMN(Symbols[Currency])-COLUMN(Symbols[])+1,FALSE)</f>
        <v>USD</v>
      </c>
    </row>
    <row r="412" spans="1:25">
      <c r="A412" s="75" t="s">
        <v>65</v>
      </c>
      <c r="B412" s="76">
        <v>43145</v>
      </c>
      <c r="C412" s="75" t="s">
        <v>113</v>
      </c>
      <c r="D412" s="75"/>
      <c r="E412" s="75" t="s">
        <v>295</v>
      </c>
      <c r="F412" s="77">
        <v>200</v>
      </c>
      <c r="G412" s="78">
        <v>404.48</v>
      </c>
      <c r="H412" s="77">
        <v>1</v>
      </c>
      <c r="I412" s="77"/>
      <c r="J412" s="79">
        <v>80897</v>
      </c>
      <c r="K412" s="6"/>
      <c r="L412" s="20">
        <f>IF(ISNA(MATCH(Transactions[[#This Row],[TransType]],TransTypes[TransType],0)),1,MATCH(Transactions[[#This Row],[TransType]],TransTypes[TransType],0))</f>
        <v>2</v>
      </c>
      <c r="M412" s="80">
        <f>IF( AND( INDEX(TransTypes[],Transactions[[#This Row],[TTR]],TT_COL_GLFlag)=1, INDEX(TransTypes[],Transactions[[#This Row],[TTR]],TT_COL_LONGORSHORT)="S" ),
      Transactions[[#This Row],[PL]],
      IF(INDEX(TransTypes[],Transactions[[#This Row],[TTR]],TT_COL_LONGORSHORT)="S",0,Transactions[[#This Row],[CalCashImpact]])
)</f>
        <v>-80897</v>
      </c>
      <c r="N412" s="81">
        <f>IF(VLOOKUP(Transactions[[#This Row],[Symbol]],Symbols[],COLUMN(Symbols[Currency])-COLUMN(Symbols[])+1,FALSE)=
       VLOOKUP(Transactions[[#This Row],[Account]],Accounts[],COLUMN(Accounts[Currency])-COLUMN(Accounts[])+1,FALSE),
     Transactions[[#This Row],[OrigCashImpact]],
     0
)</f>
        <v>-80897</v>
      </c>
      <c r="O41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-195073.93608298997</v>
      </c>
      <c r="P41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41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412" s="41">
        <f>ROW()</f>
        <v>412</v>
      </c>
      <c r="S4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80897</v>
      </c>
      <c r="T4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80897</v>
      </c>
      <c r="U41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412" s="86">
        <f>IF(INDEX(TransTypes[],Transactions[[#This Row],[TTR]],TT_COL_GLFlag)=1,Transactions[[#This Row],[CalCashImpact]]+Transactions[[#This Row],[CostImpact]],0)</f>
        <v>0</v>
      </c>
      <c r="W412" s="87">
        <f>Transactions[[#This Row],[Amount]]*INDEX(TransTypes[],Transactions[[#This Row],[TTR]],TT_COL_AmntSign)</f>
        <v>-80897</v>
      </c>
      <c r="X412" s="87">
        <f>IF(INDEX(TransTypes[],Transactions[[#This Row],[TTR]],TT_COL_LONGORSHORT)="S",
      IF( OR(INDEX(TransTypes[],Transactions[[#This Row],[TTR]],TT_COL_GLFlag)=1, INDEX(TransTypes[], Transactions[[#This Row],[TTR]], TT_COL_ShareTransferFlag)=1),
            Transactions[[#This Row],[CostImpact]]*-1,
            Transactions[[#This Row],[CalCashImpact]]
      ),
     0
)</f>
        <v>0</v>
      </c>
      <c r="Y412" s="88" t="str">
        <f>VLOOKUP(Transactions[[#This Row],[Symbol]],Symbols[], COLUMN(Symbols[Currency])-COLUMN(Symbols[])+1,FALSE)</f>
        <v>USD</v>
      </c>
    </row>
    <row r="413" spans="1:25">
      <c r="A413" s="75" t="s">
        <v>65</v>
      </c>
      <c r="B413" s="76">
        <v>43145</v>
      </c>
      <c r="C413" s="75" t="s">
        <v>113</v>
      </c>
      <c r="D413" s="75"/>
      <c r="E413" s="75" t="s">
        <v>298</v>
      </c>
      <c r="F413" s="77">
        <v>1000</v>
      </c>
      <c r="G413" s="78">
        <v>46.529600000000002</v>
      </c>
      <c r="H413" s="77">
        <v>4</v>
      </c>
      <c r="I413" s="77"/>
      <c r="J413" s="79">
        <v>46533.599999999999</v>
      </c>
      <c r="K413" s="6"/>
      <c r="L413" s="20">
        <f>IF(ISNA(MATCH(Transactions[[#This Row],[TransType]],TransTypes[TransType],0)),1,MATCH(Transactions[[#This Row],[TransType]],TransTypes[TransType],0))</f>
        <v>2</v>
      </c>
      <c r="M413" s="80">
        <f>IF( AND( INDEX(TransTypes[],Transactions[[#This Row],[TTR]],TT_COL_GLFlag)=1, INDEX(TransTypes[],Transactions[[#This Row],[TTR]],TT_COL_LONGORSHORT)="S" ),
      Transactions[[#This Row],[PL]],
      IF(INDEX(TransTypes[],Transactions[[#This Row],[TTR]],TT_COL_LONGORSHORT)="S",0,Transactions[[#This Row],[CalCashImpact]])
)</f>
        <v>-46533.599999999999</v>
      </c>
      <c r="N413" s="81">
        <f>IF(VLOOKUP(Transactions[[#This Row],[Symbol]],Symbols[],COLUMN(Symbols[Currency])-COLUMN(Symbols[])+1,FALSE)=
       VLOOKUP(Transactions[[#This Row],[Account]],Accounts[],COLUMN(Accounts[Currency])-COLUMN(Accounts[])+1,FALSE),
     Transactions[[#This Row],[OrigCashImpact]],
     0
)</f>
        <v>-46533.599999999999</v>
      </c>
      <c r="O41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-241607.53608298994</v>
      </c>
      <c r="P41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41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413" s="41">
        <f>ROW()</f>
        <v>413</v>
      </c>
      <c r="S4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46533.599999999999</v>
      </c>
      <c r="T4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46533.599999999999</v>
      </c>
      <c r="U41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413" s="86">
        <f>IF(INDEX(TransTypes[],Transactions[[#This Row],[TTR]],TT_COL_GLFlag)=1,Transactions[[#This Row],[CalCashImpact]]+Transactions[[#This Row],[CostImpact]],0)</f>
        <v>0</v>
      </c>
      <c r="W413" s="87">
        <f>Transactions[[#This Row],[Amount]]*INDEX(TransTypes[],Transactions[[#This Row],[TTR]],TT_COL_AmntSign)</f>
        <v>-46533.599999999999</v>
      </c>
      <c r="X413" s="87">
        <f>IF(INDEX(TransTypes[],Transactions[[#This Row],[TTR]],TT_COL_LONGORSHORT)="S",
      IF( OR(INDEX(TransTypes[],Transactions[[#This Row],[TTR]],TT_COL_GLFlag)=1, INDEX(TransTypes[], Transactions[[#This Row],[TTR]], TT_COL_ShareTransferFlag)=1),
            Transactions[[#This Row],[CostImpact]]*-1,
            Transactions[[#This Row],[CalCashImpact]]
      ),
     0
)</f>
        <v>0</v>
      </c>
      <c r="Y413" s="88" t="str">
        <f>VLOOKUP(Transactions[[#This Row],[Symbol]],Symbols[], COLUMN(Symbols[Currency])-COLUMN(Symbols[])+1,FALSE)</f>
        <v>USD</v>
      </c>
    </row>
    <row r="414" spans="1:25">
      <c r="A414" s="75" t="s">
        <v>65</v>
      </c>
      <c r="B414" s="76">
        <v>43145</v>
      </c>
      <c r="C414" s="75" t="s">
        <v>156</v>
      </c>
      <c r="D414" s="75"/>
      <c r="E414" s="75" t="s">
        <v>210</v>
      </c>
      <c r="F414" s="77">
        <v>77888</v>
      </c>
      <c r="G414" s="78">
        <v>7.8215700000000004</v>
      </c>
      <c r="H414" s="77"/>
      <c r="I414" s="77"/>
      <c r="J414" s="79">
        <v>609206.44415999996</v>
      </c>
      <c r="K414" s="6"/>
      <c r="L414" s="20">
        <f>IF(ISNA(MATCH(Transactions[[#This Row],[TransType]],TransTypes[TransType],0)),1,MATCH(Transactions[[#This Row],[TransType]],TransTypes[TransType],0))</f>
        <v>17</v>
      </c>
      <c r="M414" s="80">
        <f>IF( AND( INDEX(TransTypes[],Transactions[[#This Row],[TTR]],TT_COL_GLFlag)=1, INDEX(TransTypes[],Transactions[[#This Row],[TTR]],TT_COL_LONGORSHORT)="S" ),
      Transactions[[#This Row],[PL]],
      IF(INDEX(TransTypes[],Transactions[[#This Row],[TTR]],TT_COL_LONGORSHORT)="S",0,Transactions[[#This Row],[CalCashImpact]])
)</f>
        <v>-609206.44415999996</v>
      </c>
      <c r="N414" s="81">
        <f>IF(VLOOKUP(Transactions[[#This Row],[Symbol]],Symbols[],COLUMN(Symbols[Currency])-COLUMN(Symbols[])+1,FALSE)=
       VLOOKUP(Transactions[[#This Row],[Account]],Accounts[],COLUMN(Accounts[Currency])-COLUMN(Accounts[])+1,FALSE),
     Transactions[[#This Row],[OrigCashImpact]],
     0
)</f>
        <v>0</v>
      </c>
      <c r="O41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-241607.53608298994</v>
      </c>
      <c r="P41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1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14" s="41">
        <f>ROW()</f>
        <v>414</v>
      </c>
      <c r="S4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1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14" s="86">
        <f>IF(INDEX(TransTypes[],Transactions[[#This Row],[TTR]],TT_COL_GLFlag)=1,Transactions[[#This Row],[CalCashImpact]]+Transactions[[#This Row],[CostImpact]],0)</f>
        <v>0</v>
      </c>
      <c r="W414" s="87">
        <f>Transactions[[#This Row],[Amount]]*INDEX(TransTypes[],Transactions[[#This Row],[TTR]],TT_COL_AmntSign)</f>
        <v>-609206.44415999996</v>
      </c>
      <c r="X414" s="87">
        <f>IF(INDEX(TransTypes[],Transactions[[#This Row],[TTR]],TT_COL_LONGORSHORT)="S",
      IF( OR(INDEX(TransTypes[],Transactions[[#This Row],[TTR]],TT_COL_GLFlag)=1, INDEX(TransTypes[], Transactions[[#This Row],[TTR]], TT_COL_ShareTransferFlag)=1),
            Transactions[[#This Row],[CostImpact]]*-1,
            Transactions[[#This Row],[CalCashImpact]]
      ),
     0
)</f>
        <v>0</v>
      </c>
      <c r="Y414" s="88" t="str">
        <f>VLOOKUP(Transactions[[#This Row],[Symbol]],Symbols[], COLUMN(Symbols[Currency])-COLUMN(Symbols[])+1,FALSE)</f>
        <v>HKD</v>
      </c>
    </row>
    <row r="415" spans="1:25">
      <c r="A415" s="75" t="s">
        <v>65</v>
      </c>
      <c r="B415" s="76">
        <v>43145</v>
      </c>
      <c r="C415" s="75" t="s">
        <v>239</v>
      </c>
      <c r="D415" s="75"/>
      <c r="E415" s="75" t="s">
        <v>208</v>
      </c>
      <c r="F415" s="77">
        <v>77888</v>
      </c>
      <c r="G415" s="78">
        <v>1</v>
      </c>
      <c r="H415" s="77">
        <v>2</v>
      </c>
      <c r="I415" s="77"/>
      <c r="J415" s="79">
        <v>77890</v>
      </c>
      <c r="K415" s="6" t="s">
        <v>444</v>
      </c>
      <c r="L415" s="20">
        <f>IF(ISNA(MATCH(Transactions[[#This Row],[TransType]],TransTypes[TransType],0)),1,MATCH(Transactions[[#This Row],[TransType]],TransTypes[TransType],0))</f>
        <v>18</v>
      </c>
      <c r="M415" s="80">
        <f>IF( AND( INDEX(TransTypes[],Transactions[[#This Row],[TTR]],TT_COL_GLFlag)=1, INDEX(TransTypes[],Transactions[[#This Row],[TTR]],TT_COL_LONGORSHORT)="S" ),
      Transactions[[#This Row],[PL]],
      IF(INDEX(TransTypes[],Transactions[[#This Row],[TTR]],TT_COL_LONGORSHORT)="S",0,Transactions[[#This Row],[CalCashImpact]])
)</f>
        <v>77890</v>
      </c>
      <c r="N415" s="81">
        <f>IF(VLOOKUP(Transactions[[#This Row],[Symbol]],Symbols[],COLUMN(Symbols[Currency])-COLUMN(Symbols[])+1,FALSE)=
       VLOOKUP(Transactions[[#This Row],[Account]],Accounts[],COLUMN(Accounts[Currency])-COLUMN(Accounts[])+1,FALSE),
     Transactions[[#This Row],[OrigCashImpact]],
     0
)</f>
        <v>77890</v>
      </c>
      <c r="O41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-163717.53608298994</v>
      </c>
      <c r="P41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1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15" s="41">
        <f>ROW()</f>
        <v>415</v>
      </c>
      <c r="S4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1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15" s="86">
        <f>IF(INDEX(TransTypes[],Transactions[[#This Row],[TTR]],TT_COL_GLFlag)=1,Transactions[[#This Row],[CalCashImpact]]+Transactions[[#This Row],[CostImpact]],0)</f>
        <v>0</v>
      </c>
      <c r="W415" s="87">
        <f>Transactions[[#This Row],[Amount]]*INDEX(TransTypes[],Transactions[[#This Row],[TTR]],TT_COL_AmntSign)</f>
        <v>77890</v>
      </c>
      <c r="X415" s="87">
        <f>IF(INDEX(TransTypes[],Transactions[[#This Row],[TTR]],TT_COL_LONGORSHORT)="S",
      IF( OR(INDEX(TransTypes[],Transactions[[#This Row],[TTR]],TT_COL_GLFlag)=1, INDEX(TransTypes[], Transactions[[#This Row],[TTR]], TT_COL_ShareTransferFlag)=1),
            Transactions[[#This Row],[CostImpact]]*-1,
            Transactions[[#This Row],[CalCashImpact]]
      ),
     0
)</f>
        <v>0</v>
      </c>
      <c r="Y415" s="88" t="str">
        <f>VLOOKUP(Transactions[[#This Row],[Symbol]],Symbols[], COLUMN(Symbols[Currency])-COLUMN(Symbols[])+1,FALSE)</f>
        <v>USD</v>
      </c>
    </row>
    <row r="416" spans="1:25">
      <c r="A416" s="75" t="s">
        <v>65</v>
      </c>
      <c r="B416" s="76">
        <v>43147</v>
      </c>
      <c r="C416" s="75" t="s">
        <v>160</v>
      </c>
      <c r="D416" s="75" t="s">
        <v>378</v>
      </c>
      <c r="E416" s="75" t="s">
        <v>410</v>
      </c>
      <c r="F416" s="77">
        <v>10</v>
      </c>
      <c r="G416" s="78">
        <v>0</v>
      </c>
      <c r="H416" s="77">
        <v>0</v>
      </c>
      <c r="I416" s="77"/>
      <c r="J416" s="79">
        <v>0</v>
      </c>
      <c r="K416" s="6"/>
      <c r="L416" s="20">
        <f>IF(ISNA(MATCH(Transactions[[#This Row],[TransType]],TransTypes[TransType],0)),1,MATCH(Transactions[[#This Row],[TransType]],TransTypes[TransType],0))</f>
        <v>20</v>
      </c>
      <c r="M416" s="80">
        <f>IF( AND( INDEX(TransTypes[],Transactions[[#This Row],[TTR]],TT_COL_GLFlag)=1, INDEX(TransTypes[],Transactions[[#This Row],[TTR]],TT_COL_LONGORSHORT)="S" ),
      Transactions[[#This Row],[PL]],
      IF(INDEX(TransTypes[],Transactions[[#This Row],[TTR]],TT_COL_LONGORSHORT)="S",0,Transactions[[#This Row],[CalCashImpact]])
)</f>
        <v>2362.0102529999999</v>
      </c>
      <c r="N416" s="81">
        <f>IF(VLOOKUP(Transactions[[#This Row],[Symbol]],Symbols[],COLUMN(Symbols[Currency])-COLUMN(Symbols[])+1,FALSE)=
       VLOOKUP(Transactions[[#This Row],[Account]],Accounts[],COLUMN(Accounts[Currency])-COLUMN(Accounts[])+1,FALSE),
     Transactions[[#This Row],[OrigCashImpact]],
     0
)</f>
        <v>2362.0102529999999</v>
      </c>
      <c r="O41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-161355.52582998999</v>
      </c>
      <c r="P41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v>
      </c>
      <c r="Q41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16" s="41">
        <f>ROW()</f>
        <v>416</v>
      </c>
      <c r="S4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2362.0102529999999</v>
      </c>
      <c r="T4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1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v>
      </c>
      <c r="V416" s="86">
        <f>IF(INDEX(TransTypes[],Transactions[[#This Row],[TTR]],TT_COL_GLFlag)=1,Transactions[[#This Row],[CalCashImpact]]+Transactions[[#This Row],[CostImpact]],0)</f>
        <v>2362.0102529999999</v>
      </c>
      <c r="W416" s="87">
        <f>Transactions[[#This Row],[Amount]]*INDEX(TransTypes[],Transactions[[#This Row],[TTR]],TT_COL_AmntSign)</f>
        <v>0</v>
      </c>
      <c r="X416" s="87">
        <f>IF(INDEX(TransTypes[],Transactions[[#This Row],[TTR]],TT_COL_LONGORSHORT)="S",
      IF( OR(INDEX(TransTypes[],Transactions[[#This Row],[TTR]],TT_COL_GLFlag)=1, INDEX(TransTypes[], Transactions[[#This Row],[TTR]], TT_COL_ShareTransferFlag)=1),
            Transactions[[#This Row],[CostImpact]]*-1,
            Transactions[[#This Row],[CalCashImpact]]
      ),
     0
)</f>
        <v>-2362.0102529999999</v>
      </c>
      <c r="Y416" s="88" t="str">
        <f>VLOOKUP(Transactions[[#This Row],[Symbol]],Symbols[], COLUMN(Symbols[Currency])-COLUMN(Symbols[])+1,FALSE)</f>
        <v>USD</v>
      </c>
    </row>
    <row r="417" spans="1:25">
      <c r="A417" s="75" t="s">
        <v>65</v>
      </c>
      <c r="B417" s="76">
        <v>43147</v>
      </c>
      <c r="C417" s="75" t="s">
        <v>152</v>
      </c>
      <c r="D417" s="75"/>
      <c r="E417" s="75" t="s">
        <v>210</v>
      </c>
      <c r="F417" s="77">
        <v>0.52039999999999997</v>
      </c>
      <c r="G417" s="78">
        <v>7.8221499999999997</v>
      </c>
      <c r="H417" s="77"/>
      <c r="I417" s="77"/>
      <c r="J417" s="79">
        <v>4.0706468600000001</v>
      </c>
      <c r="K417" s="6"/>
      <c r="L417" s="20">
        <f>IF(ISNA(MATCH(Transactions[[#This Row],[TransType]],TransTypes[TransType],0)),1,MATCH(Transactions[[#This Row],[TransType]],TransTypes[TransType],0))</f>
        <v>15</v>
      </c>
      <c r="M417" s="80">
        <f>IF( AND( INDEX(TransTypes[],Transactions[[#This Row],[TTR]],TT_COL_GLFlag)=1, INDEX(TransTypes[],Transactions[[#This Row],[TTR]],TT_COL_LONGORSHORT)="S" ),
      Transactions[[#This Row],[PL]],
      IF(INDEX(TransTypes[],Transactions[[#This Row],[TTR]],TT_COL_LONGORSHORT)="S",0,Transactions[[#This Row],[CalCashImpact]])
)</f>
        <v>4.0706468600000001</v>
      </c>
      <c r="N417" s="81">
        <f>IF(VLOOKUP(Transactions[[#This Row],[Symbol]],Symbols[],COLUMN(Symbols[Currency])-COLUMN(Symbols[])+1,FALSE)=
       VLOOKUP(Transactions[[#This Row],[Account]],Accounts[],COLUMN(Accounts[Currency])-COLUMN(Accounts[])+1,FALSE),
     Transactions[[#This Row],[OrigCashImpact]],
     0
)</f>
        <v>0</v>
      </c>
      <c r="O41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-161355.52582998999</v>
      </c>
      <c r="P41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1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17" s="41">
        <f>ROW()</f>
        <v>417</v>
      </c>
      <c r="S4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1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17" s="86">
        <f>IF(INDEX(TransTypes[],Transactions[[#This Row],[TTR]],TT_COL_GLFlag)=1,Transactions[[#This Row],[CalCashImpact]]+Transactions[[#This Row],[CostImpact]],0)</f>
        <v>0</v>
      </c>
      <c r="W417" s="87">
        <f>Transactions[[#This Row],[Amount]]*INDEX(TransTypes[],Transactions[[#This Row],[TTR]],TT_COL_AmntSign)</f>
        <v>4.0706468600000001</v>
      </c>
      <c r="X417" s="87">
        <f>IF(INDEX(TransTypes[],Transactions[[#This Row],[TTR]],TT_COL_LONGORSHORT)="S",
      IF( OR(INDEX(TransTypes[],Transactions[[#This Row],[TTR]],TT_COL_GLFlag)=1, INDEX(TransTypes[], Transactions[[#This Row],[TTR]], TT_COL_ShareTransferFlag)=1),
            Transactions[[#This Row],[CostImpact]]*-1,
            Transactions[[#This Row],[CalCashImpact]]
      ),
     0
)</f>
        <v>0</v>
      </c>
      <c r="Y417" s="88" t="str">
        <f>VLOOKUP(Transactions[[#This Row],[Symbol]],Symbols[], COLUMN(Symbols[Currency])-COLUMN(Symbols[])+1,FALSE)</f>
        <v>HKD</v>
      </c>
    </row>
    <row r="418" spans="1:25">
      <c r="A418" s="75" t="s">
        <v>65</v>
      </c>
      <c r="B418" s="76">
        <v>43147</v>
      </c>
      <c r="C418" s="75" t="s">
        <v>238</v>
      </c>
      <c r="D418" s="75"/>
      <c r="E418" s="75" t="s">
        <v>208</v>
      </c>
      <c r="F418" s="77">
        <v>0.52039999999999997</v>
      </c>
      <c r="G418" s="78">
        <v>1</v>
      </c>
      <c r="H418" s="77">
        <v>0</v>
      </c>
      <c r="I418" s="77"/>
      <c r="J418" s="79">
        <v>0.52039999999999997</v>
      </c>
      <c r="K418" s="6" t="s">
        <v>445</v>
      </c>
      <c r="L418" s="20">
        <f>IF(ISNA(MATCH(Transactions[[#This Row],[TransType]],TransTypes[TransType],0)),1,MATCH(Transactions[[#This Row],[TransType]],TransTypes[TransType],0))</f>
        <v>16</v>
      </c>
      <c r="M418" s="80">
        <f>IF( AND( INDEX(TransTypes[],Transactions[[#This Row],[TTR]],TT_COL_GLFlag)=1, INDEX(TransTypes[],Transactions[[#This Row],[TTR]],TT_COL_LONGORSHORT)="S" ),
      Transactions[[#This Row],[PL]],
      IF(INDEX(TransTypes[],Transactions[[#This Row],[TTR]],TT_COL_LONGORSHORT)="S",0,Transactions[[#This Row],[CalCashImpact]])
)</f>
        <v>-0.52039999999999997</v>
      </c>
      <c r="N418" s="81">
        <f>IF(VLOOKUP(Transactions[[#This Row],[Symbol]],Symbols[],COLUMN(Symbols[Currency])-COLUMN(Symbols[])+1,FALSE)=
       VLOOKUP(Transactions[[#This Row],[Account]],Accounts[],COLUMN(Accounts[Currency])-COLUMN(Accounts[])+1,FALSE),
     Transactions[[#This Row],[OrigCashImpact]],
     0
)</f>
        <v>-0.52039999999999997</v>
      </c>
      <c r="O41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-161356.04622998997</v>
      </c>
      <c r="P41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1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18" s="41">
        <f>ROW()</f>
        <v>418</v>
      </c>
      <c r="S4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1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18" s="86">
        <f>IF(INDEX(TransTypes[],Transactions[[#This Row],[TTR]],TT_COL_GLFlag)=1,Transactions[[#This Row],[CalCashImpact]]+Transactions[[#This Row],[CostImpact]],0)</f>
        <v>0</v>
      </c>
      <c r="W418" s="87">
        <f>Transactions[[#This Row],[Amount]]*INDEX(TransTypes[],Transactions[[#This Row],[TTR]],TT_COL_AmntSign)</f>
        <v>-0.52039999999999997</v>
      </c>
      <c r="X418" s="87">
        <f>IF(INDEX(TransTypes[],Transactions[[#This Row],[TTR]],TT_COL_LONGORSHORT)="S",
      IF( OR(INDEX(TransTypes[],Transactions[[#This Row],[TTR]],TT_COL_GLFlag)=1, INDEX(TransTypes[], Transactions[[#This Row],[TTR]], TT_COL_ShareTransferFlag)=1),
            Transactions[[#This Row],[CostImpact]]*-1,
            Transactions[[#This Row],[CalCashImpact]]
      ),
     0
)</f>
        <v>0</v>
      </c>
      <c r="Y418" s="88" t="str">
        <f>VLOOKUP(Transactions[[#This Row],[Symbol]],Symbols[], COLUMN(Symbols[Currency])-COLUMN(Symbols[])+1,FALSE)</f>
        <v>USD</v>
      </c>
    </row>
    <row r="419" spans="1:25">
      <c r="A419" s="75" t="s">
        <v>65</v>
      </c>
      <c r="B419" s="76">
        <v>43152</v>
      </c>
      <c r="C419" s="75" t="s">
        <v>115</v>
      </c>
      <c r="D419" s="75"/>
      <c r="E419" s="75" t="s">
        <v>278</v>
      </c>
      <c r="F419" s="77">
        <v>20</v>
      </c>
      <c r="G419" s="78">
        <v>1484.471</v>
      </c>
      <c r="H419" s="77">
        <v>1.688205602</v>
      </c>
      <c r="I419" s="77"/>
      <c r="J419" s="79">
        <v>29687.7317943979</v>
      </c>
      <c r="K419" s="6"/>
      <c r="L419" s="20">
        <f>IF(ISNA(MATCH(Transactions[[#This Row],[TransType]],TransTypes[TransType],0)),1,MATCH(Transactions[[#This Row],[TransType]],TransTypes[TransType],0))</f>
        <v>3</v>
      </c>
      <c r="M419" s="80">
        <f>IF( AND( INDEX(TransTypes[],Transactions[[#This Row],[TTR]],TT_COL_GLFlag)=1, INDEX(TransTypes[],Transactions[[#This Row],[TTR]],TT_COL_LONGORSHORT)="S" ),
      Transactions[[#This Row],[PL]],
      IF(INDEX(TransTypes[],Transactions[[#This Row],[TTR]],TT_COL_LONGORSHORT)="S",0,Transactions[[#This Row],[CalCashImpact]])
)</f>
        <v>29687.7317943979</v>
      </c>
      <c r="N419" s="81">
        <f>IF(VLOOKUP(Transactions[[#This Row],[Symbol]],Symbols[],COLUMN(Symbols[Currency])-COLUMN(Symbols[])+1,FALSE)=
       VLOOKUP(Transactions[[#This Row],[Account]],Accounts[],COLUMN(Accounts[Currency])-COLUMN(Accounts[])+1,FALSE),
     Transactions[[#This Row],[OrigCashImpact]],
     0
)</f>
        <v>29687.7317943979</v>
      </c>
      <c r="O41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-131668.3144355921</v>
      </c>
      <c r="P41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v>
      </c>
      <c r="Q41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v>
      </c>
      <c r="R419" s="41">
        <f>ROW()</f>
        <v>419</v>
      </c>
      <c r="S4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-24242.275000000001</v>
      </c>
      <c r="T4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169695.92499999999</v>
      </c>
      <c r="U41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v>
      </c>
      <c r="V419" s="86">
        <f>IF(INDEX(TransTypes[],Transactions[[#This Row],[TTR]],TT_COL_GLFlag)=1,Transactions[[#This Row],[CalCashImpact]]+Transactions[[#This Row],[CostImpact]],0)</f>
        <v>5445.4567943978982</v>
      </c>
      <c r="W419" s="87">
        <f>Transactions[[#This Row],[Amount]]*INDEX(TransTypes[],Transactions[[#This Row],[TTR]],TT_COL_AmntSign)</f>
        <v>29687.7317943979</v>
      </c>
      <c r="X419" s="87">
        <f>IF(INDEX(TransTypes[],Transactions[[#This Row],[TTR]],TT_COL_LONGORSHORT)="S",
      IF( OR(INDEX(TransTypes[],Transactions[[#This Row],[TTR]],TT_COL_GLFlag)=1, INDEX(TransTypes[], Transactions[[#This Row],[TTR]], TT_COL_ShareTransferFlag)=1),
            Transactions[[#This Row],[CostImpact]]*-1,
            Transactions[[#This Row],[CalCashImpact]]
      ),
     0
)</f>
        <v>0</v>
      </c>
      <c r="Y419" s="88" t="str">
        <f>VLOOKUP(Transactions[[#This Row],[Symbol]],Symbols[], COLUMN(Symbols[Currency])-COLUMN(Symbols[])+1,FALSE)</f>
        <v>USD</v>
      </c>
    </row>
    <row r="420" spans="1:25">
      <c r="A420" s="75" t="s">
        <v>65</v>
      </c>
      <c r="B420" s="76">
        <v>43152</v>
      </c>
      <c r="C420" s="75" t="s">
        <v>115</v>
      </c>
      <c r="D420" s="75"/>
      <c r="E420" s="75" t="s">
        <v>287</v>
      </c>
      <c r="F420" s="77">
        <v>400</v>
      </c>
      <c r="G420" s="78">
        <v>178.43</v>
      </c>
      <c r="H420" s="77">
        <v>3.6962931999999999</v>
      </c>
      <c r="I420" s="77"/>
      <c r="J420" s="79">
        <v>71368.303706799998</v>
      </c>
      <c r="K420" s="6"/>
      <c r="L420" s="20">
        <f>IF(ISNA(MATCH(Transactions[[#This Row],[TransType]],TransTypes[TransType],0)),1,MATCH(Transactions[[#This Row],[TransType]],TransTypes[TransType],0))</f>
        <v>3</v>
      </c>
      <c r="M420" s="80">
        <f>IF( AND( INDEX(TransTypes[],Transactions[[#This Row],[TTR]],TT_COL_GLFlag)=1, INDEX(TransTypes[],Transactions[[#This Row],[TTR]],TT_COL_LONGORSHORT)="S" ),
      Transactions[[#This Row],[PL]],
      IF(INDEX(TransTypes[],Transactions[[#This Row],[TTR]],TT_COL_LONGORSHORT)="S",0,Transactions[[#This Row],[CalCashImpact]])
)</f>
        <v>71368.303706799998</v>
      </c>
      <c r="N420" s="81">
        <f>IF(VLOOKUP(Transactions[[#This Row],[Symbol]],Symbols[],COLUMN(Symbols[Currency])-COLUMN(Symbols[])+1,FALSE)=
       VLOOKUP(Transactions[[#This Row],[Account]],Accounts[],COLUMN(Accounts[Currency])-COLUMN(Accounts[])+1,FALSE),
     Transactions[[#This Row],[OrigCashImpact]],
     0
)</f>
        <v>71368.303706799998</v>
      </c>
      <c r="O42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-60300.010728792098</v>
      </c>
      <c r="P42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42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1302</v>
      </c>
      <c r="R420" s="41">
        <f>ROW()</f>
        <v>420</v>
      </c>
      <c r="S4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-72107.842538190365</v>
      </c>
      <c r="T4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234711.02746180963</v>
      </c>
      <c r="U42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1702</v>
      </c>
      <c r="V420" s="86">
        <f>IF(INDEX(TransTypes[],Transactions[[#This Row],[TTR]],TT_COL_GLFlag)=1,Transactions[[#This Row],[CalCashImpact]]+Transactions[[#This Row],[CostImpact]],0)</f>
        <v>-739.5388313903677</v>
      </c>
      <c r="W420" s="87">
        <f>Transactions[[#This Row],[Amount]]*INDEX(TransTypes[],Transactions[[#This Row],[TTR]],TT_COL_AmntSign)</f>
        <v>71368.303706799998</v>
      </c>
      <c r="X420" s="87">
        <f>IF(INDEX(TransTypes[],Transactions[[#This Row],[TTR]],TT_COL_LONGORSHORT)="S",
      IF( OR(INDEX(TransTypes[],Transactions[[#This Row],[TTR]],TT_COL_GLFlag)=1, INDEX(TransTypes[], Transactions[[#This Row],[TTR]], TT_COL_ShareTransferFlag)=1),
            Transactions[[#This Row],[CostImpact]]*-1,
            Transactions[[#This Row],[CalCashImpact]]
      ),
     0
)</f>
        <v>0</v>
      </c>
      <c r="Y420" s="88" t="str">
        <f>VLOOKUP(Transactions[[#This Row],[Symbol]],Symbols[], COLUMN(Symbols[Currency])-COLUMN(Symbols[])+1,FALSE)</f>
        <v>USD</v>
      </c>
    </row>
    <row r="421" spans="1:25">
      <c r="A421" s="75" t="s">
        <v>65</v>
      </c>
      <c r="B421" s="76">
        <v>43152</v>
      </c>
      <c r="C421" s="75" t="s">
        <v>115</v>
      </c>
      <c r="D421" s="75"/>
      <c r="E421" s="75" t="s">
        <v>7</v>
      </c>
      <c r="F421" s="77">
        <v>10</v>
      </c>
      <c r="G421" s="78">
        <v>1119.52</v>
      </c>
      <c r="H421" s="77">
        <v>1.2597991200000001</v>
      </c>
      <c r="I421" s="77"/>
      <c r="J421" s="79">
        <v>11193.940200880001</v>
      </c>
      <c r="K421" s="6"/>
      <c r="L421" s="20">
        <f>IF(ISNA(MATCH(Transactions[[#This Row],[TransType]],TransTypes[TransType],0)),1,MATCH(Transactions[[#This Row],[TransType]],TransTypes[TransType],0))</f>
        <v>3</v>
      </c>
      <c r="M421" s="80">
        <f>IF( AND( INDEX(TransTypes[],Transactions[[#This Row],[TTR]],TT_COL_GLFlag)=1, INDEX(TransTypes[],Transactions[[#This Row],[TTR]],TT_COL_LONGORSHORT)="S" ),
      Transactions[[#This Row],[PL]],
      IF(INDEX(TransTypes[],Transactions[[#This Row],[TTR]],TT_COL_LONGORSHORT)="S",0,Transactions[[#This Row],[CalCashImpact]])
)</f>
        <v>11193.940200880001</v>
      </c>
      <c r="N421" s="81">
        <f>IF(VLOOKUP(Transactions[[#This Row],[Symbol]],Symbols[],COLUMN(Symbols[Currency])-COLUMN(Symbols[])+1,FALSE)=
       VLOOKUP(Transactions[[#This Row],[Account]],Accounts[],COLUMN(Accounts[Currency])-COLUMN(Accounts[])+1,FALSE),
     Transactions[[#This Row],[OrigCashImpact]],
     0
)</f>
        <v>11193.940200880001</v>
      </c>
      <c r="O42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-49106.070527912103</v>
      </c>
      <c r="P42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v>
      </c>
      <c r="Q42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170</v>
      </c>
      <c r="R421" s="41">
        <f>ROW()</f>
        <v>421</v>
      </c>
      <c r="S4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-10739.283555555556</v>
      </c>
      <c r="T4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182567.82044444443</v>
      </c>
      <c r="U42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v>
      </c>
      <c r="V421" s="86">
        <f>IF(INDEX(TransTypes[],Transactions[[#This Row],[TTR]],TT_COL_GLFlag)=1,Transactions[[#This Row],[CalCashImpact]]+Transactions[[#This Row],[CostImpact]],0)</f>
        <v>454.65664532444498</v>
      </c>
      <c r="W421" s="87">
        <f>Transactions[[#This Row],[Amount]]*INDEX(TransTypes[],Transactions[[#This Row],[TTR]],TT_COL_AmntSign)</f>
        <v>11193.940200880001</v>
      </c>
      <c r="X421" s="87">
        <f>IF(INDEX(TransTypes[],Transactions[[#This Row],[TTR]],TT_COL_LONGORSHORT)="S",
      IF( OR(INDEX(TransTypes[],Transactions[[#This Row],[TTR]],TT_COL_GLFlag)=1, INDEX(TransTypes[], Transactions[[#This Row],[TTR]], TT_COL_ShareTransferFlag)=1),
            Transactions[[#This Row],[CostImpact]]*-1,
            Transactions[[#This Row],[CalCashImpact]]
      ),
     0
)</f>
        <v>0</v>
      </c>
      <c r="Y421" s="88" t="str">
        <f>VLOOKUP(Transactions[[#This Row],[Symbol]],Symbols[], COLUMN(Symbols[Currency])-COLUMN(Symbols[])+1,FALSE)</f>
        <v>USD</v>
      </c>
    </row>
    <row r="422" spans="1:25">
      <c r="A422" s="75" t="s">
        <v>65</v>
      </c>
      <c r="B422" s="76">
        <v>43152</v>
      </c>
      <c r="C422" s="75" t="s">
        <v>115</v>
      </c>
      <c r="D422" s="75"/>
      <c r="E422" s="75" t="s">
        <v>295</v>
      </c>
      <c r="F422" s="77">
        <v>40</v>
      </c>
      <c r="G422" s="78">
        <v>421.42</v>
      </c>
      <c r="H422" s="77">
        <v>1.39415208</v>
      </c>
      <c r="I422" s="77"/>
      <c r="J422" s="79">
        <v>16855.405847919999</v>
      </c>
      <c r="K422" s="6"/>
      <c r="L422" s="20">
        <f>IF(ISNA(MATCH(Transactions[[#This Row],[TransType]],TransTypes[TransType],0)),1,MATCH(Transactions[[#This Row],[TransType]],TransTypes[TransType],0))</f>
        <v>3</v>
      </c>
      <c r="M422" s="80">
        <f>IF( AND( INDEX(TransTypes[],Transactions[[#This Row],[TTR]],TT_COL_GLFlag)=1, INDEX(TransTypes[],Transactions[[#This Row],[TTR]],TT_COL_LONGORSHORT)="S" ),
      Transactions[[#This Row],[PL]],
      IF(INDEX(TransTypes[],Transactions[[#This Row],[TTR]],TT_COL_LONGORSHORT)="S",0,Transactions[[#This Row],[CalCashImpact]])
)</f>
        <v>16855.405847919999</v>
      </c>
      <c r="N422" s="81">
        <f>IF(VLOOKUP(Transactions[[#This Row],[Symbol]],Symbols[],COLUMN(Symbols[Currency])-COLUMN(Symbols[])+1,FALSE)=
       VLOOKUP(Transactions[[#This Row],[Account]],Accounts[],COLUMN(Accounts[Currency])-COLUMN(Accounts[])+1,FALSE),
     Transactions[[#This Row],[OrigCashImpact]],
     0
)</f>
        <v>16855.405847919999</v>
      </c>
      <c r="O42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-32250.6646799921</v>
      </c>
      <c r="P42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v>
      </c>
      <c r="Q42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v>
      </c>
      <c r="R422" s="41">
        <f>ROW()</f>
        <v>422</v>
      </c>
      <c r="S4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-16179.400000000001</v>
      </c>
      <c r="T4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64717.599999999999</v>
      </c>
      <c r="U42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422" s="86">
        <f>IF(INDEX(TransTypes[],Transactions[[#This Row],[TTR]],TT_COL_GLFlag)=1,Transactions[[#This Row],[CalCashImpact]]+Transactions[[#This Row],[CostImpact]],0)</f>
        <v>676.0058479199979</v>
      </c>
      <c r="W422" s="87">
        <f>Transactions[[#This Row],[Amount]]*INDEX(TransTypes[],Transactions[[#This Row],[TTR]],TT_COL_AmntSign)</f>
        <v>16855.405847919999</v>
      </c>
      <c r="X422" s="87">
        <f>IF(INDEX(TransTypes[],Transactions[[#This Row],[TTR]],TT_COL_LONGORSHORT)="S",
      IF( OR(INDEX(TransTypes[],Transactions[[#This Row],[TTR]],TT_COL_GLFlag)=1, INDEX(TransTypes[], Transactions[[#This Row],[TTR]], TT_COL_ShareTransferFlag)=1),
            Transactions[[#This Row],[CostImpact]]*-1,
            Transactions[[#This Row],[CalCashImpact]]
      ),
     0
)</f>
        <v>0</v>
      </c>
      <c r="Y422" s="88" t="str">
        <f>VLOOKUP(Transactions[[#This Row],[Symbol]],Symbols[], COLUMN(Symbols[Currency])-COLUMN(Symbols[])+1,FALSE)</f>
        <v>USD</v>
      </c>
    </row>
    <row r="423" spans="1:25">
      <c r="A423" s="75" t="s">
        <v>65</v>
      </c>
      <c r="B423" s="76">
        <v>43152</v>
      </c>
      <c r="C423" s="75" t="s">
        <v>115</v>
      </c>
      <c r="D423" s="75"/>
      <c r="E423" s="75" t="s">
        <v>20</v>
      </c>
      <c r="F423" s="77">
        <v>400</v>
      </c>
      <c r="G423" s="78">
        <v>116.79</v>
      </c>
      <c r="H423" s="77">
        <v>3.1267396000000001</v>
      </c>
      <c r="I423" s="77"/>
      <c r="J423" s="79">
        <v>46712.873260400003</v>
      </c>
      <c r="K423" s="6"/>
      <c r="L423" s="20">
        <f>IF(ISNA(MATCH(Transactions[[#This Row],[TransType]],TransTypes[TransType],0)),1,MATCH(Transactions[[#This Row],[TransType]],TransTypes[TransType],0))</f>
        <v>3</v>
      </c>
      <c r="M423" s="80">
        <f>IF( AND( INDEX(TransTypes[],Transactions[[#This Row],[TTR]],TT_COL_GLFlag)=1, INDEX(TransTypes[],Transactions[[#This Row],[TTR]],TT_COL_LONGORSHORT)="S" ),
      Transactions[[#This Row],[PL]],
      IF(INDEX(TransTypes[],Transactions[[#This Row],[TTR]],TT_COL_LONGORSHORT)="S",0,Transactions[[#This Row],[CalCashImpact]])
)</f>
        <v>46712.873260400003</v>
      </c>
      <c r="N423" s="81">
        <f>IF(VLOOKUP(Transactions[[#This Row],[Symbol]],Symbols[],COLUMN(Symbols[Currency])-COLUMN(Symbols[])+1,FALSE)=
       VLOOKUP(Transactions[[#This Row],[Account]],Accounts[],COLUMN(Accounts[Currency])-COLUMN(Accounts[])+1,FALSE),
     Transactions[[#This Row],[OrigCashImpact]],
     0
)</f>
        <v>46712.873260400003</v>
      </c>
      <c r="O42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14462.208580407896</v>
      </c>
      <c r="P42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42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423" s="41">
        <f>ROW()</f>
        <v>423</v>
      </c>
      <c r="S4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-49183.132973429325</v>
      </c>
      <c r="T4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251817.64082395815</v>
      </c>
      <c r="U42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2448</v>
      </c>
      <c r="V423" s="86">
        <f>IF(INDEX(TransTypes[],Transactions[[#This Row],[TTR]],TT_COL_GLFlag)=1,Transactions[[#This Row],[CalCashImpact]]+Transactions[[#This Row],[CostImpact]],0)</f>
        <v>-2470.2597130293216</v>
      </c>
      <c r="W423" s="87">
        <f>Transactions[[#This Row],[Amount]]*INDEX(TransTypes[],Transactions[[#This Row],[TTR]],TT_COL_AmntSign)</f>
        <v>46712.873260400003</v>
      </c>
      <c r="X423" s="87">
        <f>IF(INDEX(TransTypes[],Transactions[[#This Row],[TTR]],TT_COL_LONGORSHORT)="S",
      IF( OR(INDEX(TransTypes[],Transactions[[#This Row],[TTR]],TT_COL_GLFlag)=1, INDEX(TransTypes[], Transactions[[#This Row],[TTR]], TT_COL_ShareTransferFlag)=1),
            Transactions[[#This Row],[CostImpact]]*-1,
            Transactions[[#This Row],[CalCashImpact]]
      ),
     0
)</f>
        <v>0</v>
      </c>
      <c r="Y423" s="88" t="str">
        <f>VLOOKUP(Transactions[[#This Row],[Symbol]],Symbols[], COLUMN(Symbols[Currency])-COLUMN(Symbols[])+1,FALSE)</f>
        <v>USD</v>
      </c>
    </row>
    <row r="424" spans="1:25">
      <c r="A424" s="75" t="s">
        <v>65</v>
      </c>
      <c r="B424" s="76">
        <v>43160</v>
      </c>
      <c r="C424" s="75" t="s">
        <v>118</v>
      </c>
      <c r="D424" s="75"/>
      <c r="E424" s="75" t="s">
        <v>313</v>
      </c>
      <c r="F424" s="77"/>
      <c r="G424" s="78"/>
      <c r="H424" s="77"/>
      <c r="I424" s="77"/>
      <c r="J424" s="79">
        <v>0.76</v>
      </c>
      <c r="K424" s="6" t="s">
        <v>446</v>
      </c>
      <c r="L424" s="20">
        <f>IF(ISNA(MATCH(Transactions[[#This Row],[TransType]],TransTypes[TransType],0)),1,MATCH(Transactions[[#This Row],[TransType]],TransTypes[TransType],0))</f>
        <v>4</v>
      </c>
      <c r="M424" s="80">
        <f>IF( AND( INDEX(TransTypes[],Transactions[[#This Row],[TTR]],TT_COL_GLFlag)=1, INDEX(TransTypes[],Transactions[[#This Row],[TTR]],TT_COL_LONGORSHORT)="S" ),
      Transactions[[#This Row],[PL]],
      IF(INDEX(TransTypes[],Transactions[[#This Row],[TTR]],TT_COL_LONGORSHORT)="S",0,Transactions[[#This Row],[CalCashImpact]])
)</f>
        <v>0.76</v>
      </c>
      <c r="N424" s="81">
        <f>IF(VLOOKUP(Transactions[[#This Row],[Symbol]],Symbols[],COLUMN(Symbols[Currency])-COLUMN(Symbols[])+1,FALSE)=
       VLOOKUP(Transactions[[#This Row],[Account]],Accounts[],COLUMN(Accounts[Currency])-COLUMN(Accounts[])+1,FALSE),
     Transactions[[#This Row],[OrigCashImpact]],
     0
)</f>
        <v>0.76</v>
      </c>
      <c r="O42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14462.968580407907</v>
      </c>
      <c r="P42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2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424" s="41">
        <f>ROW()</f>
        <v>424</v>
      </c>
      <c r="S4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42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424" s="86">
        <f>IF(INDEX(TransTypes[],Transactions[[#This Row],[TTR]],TT_COL_GLFlag)=1,Transactions[[#This Row],[CalCashImpact]]+Transactions[[#This Row],[CostImpact]],0)</f>
        <v>0</v>
      </c>
      <c r="W424" s="87">
        <f>Transactions[[#This Row],[Amount]]*INDEX(TransTypes[],Transactions[[#This Row],[TTR]],TT_COL_AmntSign)</f>
        <v>0.76</v>
      </c>
      <c r="X424" s="87">
        <f>IF(INDEX(TransTypes[],Transactions[[#This Row],[TTR]],TT_COL_LONGORSHORT)="S",
      IF( OR(INDEX(TransTypes[],Transactions[[#This Row],[TTR]],TT_COL_GLFlag)=1, INDEX(TransTypes[], Transactions[[#This Row],[TTR]], TT_COL_ShareTransferFlag)=1),
            Transactions[[#This Row],[CostImpact]]*-1,
            Transactions[[#This Row],[CalCashImpact]]
      ),
     0
)</f>
        <v>0</v>
      </c>
      <c r="Y424" s="88" t="str">
        <f>VLOOKUP(Transactions[[#This Row],[Symbol]],Symbols[], COLUMN(Symbols[Currency])-COLUMN(Symbols[])+1,FALSE)</f>
        <v>USD</v>
      </c>
    </row>
    <row r="425" spans="1:25">
      <c r="A425" s="75" t="s">
        <v>65</v>
      </c>
      <c r="B425" s="76">
        <v>43160</v>
      </c>
      <c r="C425" s="75" t="s">
        <v>118</v>
      </c>
      <c r="D425" s="75"/>
      <c r="E425" s="75" t="s">
        <v>313</v>
      </c>
      <c r="F425" s="77"/>
      <c r="G425" s="78"/>
      <c r="H425" s="77"/>
      <c r="I425" s="77"/>
      <c r="J425" s="79">
        <v>661.58</v>
      </c>
      <c r="K425" s="6" t="s">
        <v>344</v>
      </c>
      <c r="L425" s="20">
        <f>IF(ISNA(MATCH(Transactions[[#This Row],[TransType]],TransTypes[TransType],0)),1,MATCH(Transactions[[#This Row],[TransType]],TransTypes[TransType],0))</f>
        <v>4</v>
      </c>
      <c r="M425" s="80">
        <f>IF( AND( INDEX(TransTypes[],Transactions[[#This Row],[TTR]],TT_COL_GLFlag)=1, INDEX(TransTypes[],Transactions[[#This Row],[TTR]],TT_COL_LONGORSHORT)="S" ),
      Transactions[[#This Row],[PL]],
      IF(INDEX(TransTypes[],Transactions[[#This Row],[TTR]],TT_COL_LONGORSHORT)="S",0,Transactions[[#This Row],[CalCashImpact]])
)</f>
        <v>661.58</v>
      </c>
      <c r="N425" s="81">
        <f>IF(VLOOKUP(Transactions[[#This Row],[Symbol]],Symbols[],COLUMN(Symbols[Currency])-COLUMN(Symbols[])+1,FALSE)=
       VLOOKUP(Transactions[[#This Row],[Account]],Accounts[],COLUMN(Accounts[Currency])-COLUMN(Accounts[])+1,FALSE),
     Transactions[[#This Row],[OrigCashImpact]],
     0
)</f>
        <v>661.58</v>
      </c>
      <c r="O42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15124.548580407907</v>
      </c>
      <c r="P42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2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425" s="41">
        <f>ROW()</f>
        <v>425</v>
      </c>
      <c r="S4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42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425" s="86">
        <f>IF(INDEX(TransTypes[],Transactions[[#This Row],[TTR]],TT_COL_GLFlag)=1,Transactions[[#This Row],[CalCashImpact]]+Transactions[[#This Row],[CostImpact]],0)</f>
        <v>0</v>
      </c>
      <c r="W425" s="87">
        <f>Transactions[[#This Row],[Amount]]*INDEX(TransTypes[],Transactions[[#This Row],[TTR]],TT_COL_AmntSign)</f>
        <v>661.58</v>
      </c>
      <c r="X425" s="87">
        <f>IF(INDEX(TransTypes[],Transactions[[#This Row],[TTR]],TT_COL_LONGORSHORT)="S",
      IF( OR(INDEX(TransTypes[],Transactions[[#This Row],[TTR]],TT_COL_GLFlag)=1, INDEX(TransTypes[], Transactions[[#This Row],[TTR]], TT_COL_ShareTransferFlag)=1),
            Transactions[[#This Row],[CostImpact]]*-1,
            Transactions[[#This Row],[CalCashImpact]]
      ),
     0
)</f>
        <v>0</v>
      </c>
      <c r="Y425" s="88" t="str">
        <f>VLOOKUP(Transactions[[#This Row],[Symbol]],Symbols[], COLUMN(Symbols[Currency])-COLUMN(Symbols[])+1,FALSE)</f>
        <v>USD</v>
      </c>
    </row>
    <row r="426" spans="1:25">
      <c r="A426" s="75" t="s">
        <v>65</v>
      </c>
      <c r="B426" s="76">
        <v>43160</v>
      </c>
      <c r="C426" s="75" t="s">
        <v>123</v>
      </c>
      <c r="D426" s="75"/>
      <c r="E426" s="75" t="s">
        <v>313</v>
      </c>
      <c r="F426" s="77"/>
      <c r="G426" s="78"/>
      <c r="H426" s="77"/>
      <c r="I426" s="77"/>
      <c r="J426" s="79">
        <v>0.11</v>
      </c>
      <c r="K426" s="6" t="s">
        <v>447</v>
      </c>
      <c r="L426" s="20">
        <f>IF(ISNA(MATCH(Transactions[[#This Row],[TransType]],TransTypes[TransType],0)),1,MATCH(Transactions[[#This Row],[TransType]],TransTypes[TransType],0))</f>
        <v>7</v>
      </c>
      <c r="M426" s="80">
        <f>IF( AND( INDEX(TransTypes[],Transactions[[#This Row],[TTR]],TT_COL_GLFlag)=1, INDEX(TransTypes[],Transactions[[#This Row],[TTR]],TT_COL_LONGORSHORT)="S" ),
      Transactions[[#This Row],[PL]],
      IF(INDEX(TransTypes[],Transactions[[#This Row],[TTR]],TT_COL_LONGORSHORT)="S",0,Transactions[[#This Row],[CalCashImpact]])
)</f>
        <v>-0.11</v>
      </c>
      <c r="N426" s="81">
        <f>IF(VLOOKUP(Transactions[[#This Row],[Symbol]],Symbols[],COLUMN(Symbols[Currency])-COLUMN(Symbols[])+1,FALSE)=
       VLOOKUP(Transactions[[#This Row],[Account]],Accounts[],COLUMN(Accounts[Currency])-COLUMN(Accounts[])+1,FALSE),
     Transactions[[#This Row],[OrigCashImpact]],
     0
)</f>
        <v>-0.11</v>
      </c>
      <c r="O42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15124.438580407907</v>
      </c>
      <c r="P42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2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426" s="41">
        <f>ROW()</f>
        <v>426</v>
      </c>
      <c r="S4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42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426" s="86">
        <f>IF(INDEX(TransTypes[],Transactions[[#This Row],[TTR]],TT_COL_GLFlag)=1,Transactions[[#This Row],[CalCashImpact]]+Transactions[[#This Row],[CostImpact]],0)</f>
        <v>0</v>
      </c>
      <c r="W426" s="87">
        <f>Transactions[[#This Row],[Amount]]*INDEX(TransTypes[],Transactions[[#This Row],[TTR]],TT_COL_AmntSign)</f>
        <v>-0.11</v>
      </c>
      <c r="X426" s="87">
        <f>IF(INDEX(TransTypes[],Transactions[[#This Row],[TTR]],TT_COL_LONGORSHORT)="S",
      IF( OR(INDEX(TransTypes[],Transactions[[#This Row],[TTR]],TT_COL_GLFlag)=1, INDEX(TransTypes[], Transactions[[#This Row],[TTR]], TT_COL_ShareTransferFlag)=1),
            Transactions[[#This Row],[CostImpact]]*-1,
            Transactions[[#This Row],[CalCashImpact]]
      ),
     0
)</f>
        <v>0</v>
      </c>
      <c r="Y426" s="88" t="str">
        <f>VLOOKUP(Transactions[[#This Row],[Symbol]],Symbols[], COLUMN(Symbols[Currency])-COLUMN(Symbols[])+1,FALSE)</f>
        <v>USD</v>
      </c>
    </row>
    <row r="427" spans="1:25">
      <c r="A427" s="75" t="s">
        <v>65</v>
      </c>
      <c r="B427" s="76">
        <v>43160</v>
      </c>
      <c r="C427" s="75" t="s">
        <v>123</v>
      </c>
      <c r="D427" s="75"/>
      <c r="E427" s="75" t="s">
        <v>313</v>
      </c>
      <c r="F427" s="77"/>
      <c r="G427" s="78"/>
      <c r="H427" s="77"/>
      <c r="I427" s="77"/>
      <c r="J427" s="79">
        <v>99.24</v>
      </c>
      <c r="K427" s="6" t="s">
        <v>345</v>
      </c>
      <c r="L427" s="20">
        <f>IF(ISNA(MATCH(Transactions[[#This Row],[TransType]],TransTypes[TransType],0)),1,MATCH(Transactions[[#This Row],[TransType]],TransTypes[TransType],0))</f>
        <v>7</v>
      </c>
      <c r="M427" s="80">
        <f>IF( AND( INDEX(TransTypes[],Transactions[[#This Row],[TTR]],TT_COL_GLFlag)=1, INDEX(TransTypes[],Transactions[[#This Row],[TTR]],TT_COL_LONGORSHORT)="S" ),
      Transactions[[#This Row],[PL]],
      IF(INDEX(TransTypes[],Transactions[[#This Row],[TTR]],TT_COL_LONGORSHORT)="S",0,Transactions[[#This Row],[CalCashImpact]])
)</f>
        <v>-99.24</v>
      </c>
      <c r="N427" s="81">
        <f>IF(VLOOKUP(Transactions[[#This Row],[Symbol]],Symbols[],COLUMN(Symbols[Currency])-COLUMN(Symbols[])+1,FALSE)=
       VLOOKUP(Transactions[[#This Row],[Account]],Accounts[],COLUMN(Accounts[Currency])-COLUMN(Accounts[])+1,FALSE),
     Transactions[[#This Row],[OrigCashImpact]],
     0
)</f>
        <v>-99.24</v>
      </c>
      <c r="O42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15025.198580407907</v>
      </c>
      <c r="P42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2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427" s="41">
        <f>ROW()</f>
        <v>427</v>
      </c>
      <c r="S4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42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427" s="86">
        <f>IF(INDEX(TransTypes[],Transactions[[#This Row],[TTR]],TT_COL_GLFlag)=1,Transactions[[#This Row],[CalCashImpact]]+Transactions[[#This Row],[CostImpact]],0)</f>
        <v>0</v>
      </c>
      <c r="W427" s="87">
        <f>Transactions[[#This Row],[Amount]]*INDEX(TransTypes[],Transactions[[#This Row],[TTR]],TT_COL_AmntSign)</f>
        <v>-99.24</v>
      </c>
      <c r="X427" s="87">
        <f>IF(INDEX(TransTypes[],Transactions[[#This Row],[TTR]],TT_COL_LONGORSHORT)="S",
      IF( OR(INDEX(TransTypes[],Transactions[[#This Row],[TTR]],TT_COL_GLFlag)=1, INDEX(TransTypes[], Transactions[[#This Row],[TTR]], TT_COL_ShareTransferFlag)=1),
            Transactions[[#This Row],[CostImpact]]*-1,
            Transactions[[#This Row],[CalCashImpact]]
      ),
     0
)</f>
        <v>0</v>
      </c>
      <c r="Y427" s="88" t="str">
        <f>VLOOKUP(Transactions[[#This Row],[Symbol]],Symbols[], COLUMN(Symbols[Currency])-COLUMN(Symbols[])+1,FALSE)</f>
        <v>USD</v>
      </c>
    </row>
    <row r="428" spans="1:25">
      <c r="A428" s="75" t="s">
        <v>65</v>
      </c>
      <c r="B428" s="76">
        <v>43164</v>
      </c>
      <c r="C428" s="75" t="s">
        <v>241</v>
      </c>
      <c r="D428" s="75"/>
      <c r="E428" s="75" t="s">
        <v>210</v>
      </c>
      <c r="F428" s="77"/>
      <c r="G428" s="78"/>
      <c r="H428" s="77"/>
      <c r="I428" s="77"/>
      <c r="J428" s="79">
        <v>0.94</v>
      </c>
      <c r="K428" s="6" t="s">
        <v>448</v>
      </c>
      <c r="L428" s="20">
        <f>IF(ISNA(MATCH(Transactions[[#This Row],[TransType]],TransTypes[TransType],0)),1,MATCH(Transactions[[#This Row],[TransType]],TransTypes[TransType],0))</f>
        <v>9</v>
      </c>
      <c r="M428" s="80">
        <f>IF( AND( INDEX(TransTypes[],Transactions[[#This Row],[TTR]],TT_COL_GLFlag)=1, INDEX(TransTypes[],Transactions[[#This Row],[TTR]],TT_COL_LONGORSHORT)="S" ),
      Transactions[[#This Row],[PL]],
      IF(INDEX(TransTypes[],Transactions[[#This Row],[TTR]],TT_COL_LONGORSHORT)="S",0,Transactions[[#This Row],[CalCashImpact]])
)</f>
        <v>-0.94</v>
      </c>
      <c r="N428" s="81">
        <f>IF(VLOOKUP(Transactions[[#This Row],[Symbol]],Symbols[],COLUMN(Symbols[Currency])-COLUMN(Symbols[])+1,FALSE)=
       VLOOKUP(Transactions[[#This Row],[Account]],Accounts[],COLUMN(Accounts[Currency])-COLUMN(Accounts[])+1,FALSE),
     Transactions[[#This Row],[OrigCashImpact]],
     0
)</f>
        <v>0</v>
      </c>
      <c r="O42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15025.198580407907</v>
      </c>
      <c r="P42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2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28" s="41">
        <f>ROW()</f>
        <v>428</v>
      </c>
      <c r="S4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2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28" s="86">
        <f>IF(INDEX(TransTypes[],Transactions[[#This Row],[TTR]],TT_COL_GLFlag)=1,Transactions[[#This Row],[CalCashImpact]]+Transactions[[#This Row],[CostImpact]],0)</f>
        <v>0</v>
      </c>
      <c r="W428" s="87">
        <f>Transactions[[#This Row],[Amount]]*INDEX(TransTypes[],Transactions[[#This Row],[TTR]],TT_COL_AmntSign)</f>
        <v>-0.94</v>
      </c>
      <c r="X428" s="87">
        <f>IF(INDEX(TransTypes[],Transactions[[#This Row],[TTR]],TT_COL_LONGORSHORT)="S",
      IF( OR(INDEX(TransTypes[],Transactions[[#This Row],[TTR]],TT_COL_GLFlag)=1, INDEX(TransTypes[], Transactions[[#This Row],[TTR]], TT_COL_ShareTransferFlag)=1),
            Transactions[[#This Row],[CostImpact]]*-1,
            Transactions[[#This Row],[CalCashImpact]]
      ),
     0
)</f>
        <v>0</v>
      </c>
      <c r="Y428" s="88" t="str">
        <f>VLOOKUP(Transactions[[#This Row],[Symbol]],Symbols[], COLUMN(Symbols[Currency])-COLUMN(Symbols[])+1,FALSE)</f>
        <v>HKD</v>
      </c>
    </row>
    <row r="429" spans="1:25">
      <c r="A429" s="75" t="s">
        <v>65</v>
      </c>
      <c r="B429" s="76">
        <v>43164</v>
      </c>
      <c r="C429" s="75" t="s">
        <v>240</v>
      </c>
      <c r="D429" s="75"/>
      <c r="E429" s="75" t="s">
        <v>208</v>
      </c>
      <c r="F429" s="77"/>
      <c r="G429" s="78"/>
      <c r="H429" s="77"/>
      <c r="I429" s="77"/>
      <c r="J429" s="79">
        <v>4.5599999999999996</v>
      </c>
      <c r="K429" s="6" t="s">
        <v>449</v>
      </c>
      <c r="L429" s="20">
        <f>IF(ISNA(MATCH(Transactions[[#This Row],[TransType]],TransTypes[TransType],0)),1,MATCH(Transactions[[#This Row],[TransType]],TransTypes[TransType],0))</f>
        <v>8</v>
      </c>
      <c r="M429" s="80">
        <f>IF( AND( INDEX(TransTypes[],Transactions[[#This Row],[TTR]],TT_COL_GLFlag)=1, INDEX(TransTypes[],Transactions[[#This Row],[TTR]],TT_COL_LONGORSHORT)="S" ),
      Transactions[[#This Row],[PL]],
      IF(INDEX(TransTypes[],Transactions[[#This Row],[TTR]],TT_COL_LONGORSHORT)="S",0,Transactions[[#This Row],[CalCashImpact]])
)</f>
        <v>4.5599999999999996</v>
      </c>
      <c r="N429" s="81">
        <f>IF(VLOOKUP(Transactions[[#This Row],[Symbol]],Symbols[],COLUMN(Symbols[Currency])-COLUMN(Symbols[])+1,FALSE)=
       VLOOKUP(Transactions[[#This Row],[Account]],Accounts[],COLUMN(Accounts[Currency])-COLUMN(Accounts[])+1,FALSE),
     Transactions[[#This Row],[OrigCashImpact]],
     0
)</f>
        <v>4.5599999999999996</v>
      </c>
      <c r="O42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15029.758580407906</v>
      </c>
      <c r="P42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2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29" s="41">
        <f>ROW()</f>
        <v>429</v>
      </c>
      <c r="S4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2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29" s="86">
        <f>IF(INDEX(TransTypes[],Transactions[[#This Row],[TTR]],TT_COL_GLFlag)=1,Transactions[[#This Row],[CalCashImpact]]+Transactions[[#This Row],[CostImpact]],0)</f>
        <v>0</v>
      </c>
      <c r="W429" s="87">
        <f>Transactions[[#This Row],[Amount]]*INDEX(TransTypes[],Transactions[[#This Row],[TTR]],TT_COL_AmntSign)</f>
        <v>4.5599999999999996</v>
      </c>
      <c r="X429" s="87">
        <f>IF(INDEX(TransTypes[],Transactions[[#This Row],[TTR]],TT_COL_LONGORSHORT)="S",
      IF( OR(INDEX(TransTypes[],Transactions[[#This Row],[TTR]],TT_COL_GLFlag)=1, INDEX(TransTypes[], Transactions[[#This Row],[TTR]], TT_COL_ShareTransferFlag)=1),
            Transactions[[#This Row],[CostImpact]]*-1,
            Transactions[[#This Row],[CalCashImpact]]
      ),
     0
)</f>
        <v>0</v>
      </c>
      <c r="Y429" s="88" t="str">
        <f>VLOOKUP(Transactions[[#This Row],[Symbol]],Symbols[], COLUMN(Symbols[Currency])-COLUMN(Symbols[])+1,FALSE)</f>
        <v>USD</v>
      </c>
    </row>
    <row r="430" spans="1:25">
      <c r="A430" s="75" t="s">
        <v>65</v>
      </c>
      <c r="B430" s="76">
        <v>43164</v>
      </c>
      <c r="C430" s="75" t="s">
        <v>241</v>
      </c>
      <c r="D430" s="75"/>
      <c r="E430" s="75" t="s">
        <v>208</v>
      </c>
      <c r="F430" s="77"/>
      <c r="G430" s="78"/>
      <c r="H430" s="77"/>
      <c r="I430" s="77"/>
      <c r="J430" s="79">
        <v>158.56</v>
      </c>
      <c r="K430" s="6" t="s">
        <v>450</v>
      </c>
      <c r="L430" s="20">
        <f>IF(ISNA(MATCH(Transactions[[#This Row],[TransType]],TransTypes[TransType],0)),1,MATCH(Transactions[[#This Row],[TransType]],TransTypes[TransType],0))</f>
        <v>9</v>
      </c>
      <c r="M430" s="80">
        <f>IF( AND( INDEX(TransTypes[],Transactions[[#This Row],[TTR]],TT_COL_GLFlag)=1, INDEX(TransTypes[],Transactions[[#This Row],[TTR]],TT_COL_LONGORSHORT)="S" ),
      Transactions[[#This Row],[PL]],
      IF(INDEX(TransTypes[],Transactions[[#This Row],[TTR]],TT_COL_LONGORSHORT)="S",0,Transactions[[#This Row],[CalCashImpact]])
)</f>
        <v>-158.56</v>
      </c>
      <c r="N430" s="81">
        <f>IF(VLOOKUP(Transactions[[#This Row],[Symbol]],Symbols[],COLUMN(Symbols[Currency])-COLUMN(Symbols[])+1,FALSE)=
       VLOOKUP(Transactions[[#This Row],[Account]],Accounts[],COLUMN(Accounts[Currency])-COLUMN(Accounts[])+1,FALSE),
     Transactions[[#This Row],[OrigCashImpact]],
     0
)</f>
        <v>-158.56</v>
      </c>
      <c r="O43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14871.198580407907</v>
      </c>
      <c r="P43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30" s="41">
        <f>ROW()</f>
        <v>430</v>
      </c>
      <c r="S4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3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30" s="86">
        <f>IF(INDEX(TransTypes[],Transactions[[#This Row],[TTR]],TT_COL_GLFlag)=1,Transactions[[#This Row],[CalCashImpact]]+Transactions[[#This Row],[CostImpact]],0)</f>
        <v>0</v>
      </c>
      <c r="W430" s="87">
        <f>Transactions[[#This Row],[Amount]]*INDEX(TransTypes[],Transactions[[#This Row],[TTR]],TT_COL_AmntSign)</f>
        <v>-158.56</v>
      </c>
      <c r="X430" s="87">
        <f>IF(INDEX(TransTypes[],Transactions[[#This Row],[TTR]],TT_COL_LONGORSHORT)="S",
      IF( OR(INDEX(TransTypes[],Transactions[[#This Row],[TTR]],TT_COL_GLFlag)=1, INDEX(TransTypes[], Transactions[[#This Row],[TTR]], TT_COL_ShareTransferFlag)=1),
            Transactions[[#This Row],[CostImpact]]*-1,
            Transactions[[#This Row],[CalCashImpact]]
      ),
     0
)</f>
        <v>0</v>
      </c>
      <c r="Y430" s="88" t="str">
        <f>VLOOKUP(Transactions[[#This Row],[Symbol]],Symbols[], COLUMN(Symbols[Currency])-COLUMN(Symbols[])+1,FALSE)</f>
        <v>USD</v>
      </c>
    </row>
    <row r="431" spans="1:25">
      <c r="A431" s="75" t="s">
        <v>65</v>
      </c>
      <c r="B431" s="76">
        <v>43164</v>
      </c>
      <c r="C431" s="75" t="s">
        <v>240</v>
      </c>
      <c r="D431" s="75"/>
      <c r="E431" s="75" t="s">
        <v>208</v>
      </c>
      <c r="F431" s="77"/>
      <c r="G431" s="78"/>
      <c r="H431" s="77"/>
      <c r="I431" s="77"/>
      <c r="J431" s="79">
        <v>29.04</v>
      </c>
      <c r="K431" s="6" t="s">
        <v>451</v>
      </c>
      <c r="L431" s="20">
        <f>IF(ISNA(MATCH(Transactions[[#This Row],[TransType]],TransTypes[TransType],0)),1,MATCH(Transactions[[#This Row],[TransType]],TransTypes[TransType],0))</f>
        <v>8</v>
      </c>
      <c r="M431" s="80">
        <f>IF( AND( INDEX(TransTypes[],Transactions[[#This Row],[TTR]],TT_COL_GLFlag)=1, INDEX(TransTypes[],Transactions[[#This Row],[TTR]],TT_COL_LONGORSHORT)="S" ),
      Transactions[[#This Row],[PL]],
      IF(INDEX(TransTypes[],Transactions[[#This Row],[TTR]],TT_COL_LONGORSHORT)="S",0,Transactions[[#This Row],[CalCashImpact]])
)</f>
        <v>29.04</v>
      </c>
      <c r="N431" s="81">
        <f>IF(VLOOKUP(Transactions[[#This Row],[Symbol]],Symbols[],COLUMN(Symbols[Currency])-COLUMN(Symbols[])+1,FALSE)=
       VLOOKUP(Transactions[[#This Row],[Account]],Accounts[],COLUMN(Accounts[Currency])-COLUMN(Accounts[])+1,FALSE),
     Transactions[[#This Row],[OrigCashImpact]],
     0
)</f>
        <v>29.04</v>
      </c>
      <c r="O43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14900.238580407908</v>
      </c>
      <c r="P43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31" s="41">
        <f>ROW()</f>
        <v>431</v>
      </c>
      <c r="S4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3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31" s="86">
        <f>IF(INDEX(TransTypes[],Transactions[[#This Row],[TTR]],TT_COL_GLFlag)=1,Transactions[[#This Row],[CalCashImpact]]+Transactions[[#This Row],[CostImpact]],0)</f>
        <v>0</v>
      </c>
      <c r="W431" s="87">
        <f>Transactions[[#This Row],[Amount]]*INDEX(TransTypes[],Transactions[[#This Row],[TTR]],TT_COL_AmntSign)</f>
        <v>29.04</v>
      </c>
      <c r="X431" s="87">
        <f>IF(INDEX(TransTypes[],Transactions[[#This Row],[TTR]],TT_COL_LONGORSHORT)="S",
      IF( OR(INDEX(TransTypes[],Transactions[[#This Row],[TTR]],TT_COL_GLFlag)=1, INDEX(TransTypes[], Transactions[[#This Row],[TTR]], TT_COL_ShareTransferFlag)=1),
            Transactions[[#This Row],[CostImpact]]*-1,
            Transactions[[#This Row],[CalCashImpact]]
      ),
     0
)</f>
        <v>0</v>
      </c>
      <c r="Y431" s="88" t="str">
        <f>VLOOKUP(Transactions[[#This Row],[Symbol]],Symbols[], COLUMN(Symbols[Currency])-COLUMN(Symbols[])+1,FALSE)</f>
        <v>USD</v>
      </c>
    </row>
    <row r="432" spans="1:25">
      <c r="A432" s="75" t="s">
        <v>65</v>
      </c>
      <c r="B432" s="76">
        <v>43165</v>
      </c>
      <c r="C432" s="75" t="s">
        <v>113</v>
      </c>
      <c r="D432" s="75"/>
      <c r="E432" s="75" t="s">
        <v>298</v>
      </c>
      <c r="F432" s="77">
        <v>500</v>
      </c>
      <c r="G432" s="78">
        <v>43.309440000000002</v>
      </c>
      <c r="H432" s="77">
        <v>2.1</v>
      </c>
      <c r="I432" s="77"/>
      <c r="J432" s="79">
        <v>21656.82</v>
      </c>
      <c r="K432" s="6"/>
      <c r="L432" s="20">
        <f>IF(ISNA(MATCH(Transactions[[#This Row],[TransType]],TransTypes[TransType],0)),1,MATCH(Transactions[[#This Row],[TransType]],TransTypes[TransType],0))</f>
        <v>2</v>
      </c>
      <c r="M432" s="80">
        <f>IF( AND( INDEX(TransTypes[],Transactions[[#This Row],[TTR]],TT_COL_GLFlag)=1, INDEX(TransTypes[],Transactions[[#This Row],[TTR]],TT_COL_LONGORSHORT)="S" ),
      Transactions[[#This Row],[PL]],
      IF(INDEX(TransTypes[],Transactions[[#This Row],[TTR]],TT_COL_LONGORSHORT)="S",0,Transactions[[#This Row],[CalCashImpact]])
)</f>
        <v>-21656.82</v>
      </c>
      <c r="N432" s="81">
        <f>IF(VLOOKUP(Transactions[[#This Row],[Symbol]],Symbols[],COLUMN(Symbols[Currency])-COLUMN(Symbols[])+1,FALSE)=
       VLOOKUP(Transactions[[#This Row],[Account]],Accounts[],COLUMN(Accounts[Currency])-COLUMN(Accounts[])+1,FALSE),
     Transactions[[#This Row],[OrigCashImpact]],
     0
)</f>
        <v>-21656.82</v>
      </c>
      <c r="O43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-6756.5814195920921</v>
      </c>
      <c r="P43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43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432" s="41">
        <f>ROW()</f>
        <v>432</v>
      </c>
      <c r="S4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21656.82</v>
      </c>
      <c r="T4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68190.42</v>
      </c>
      <c r="U43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432" s="86">
        <f>IF(INDEX(TransTypes[],Transactions[[#This Row],[TTR]],TT_COL_GLFlag)=1,Transactions[[#This Row],[CalCashImpact]]+Transactions[[#This Row],[CostImpact]],0)</f>
        <v>0</v>
      </c>
      <c r="W432" s="87">
        <f>Transactions[[#This Row],[Amount]]*INDEX(TransTypes[],Transactions[[#This Row],[TTR]],TT_COL_AmntSign)</f>
        <v>-21656.82</v>
      </c>
      <c r="X432" s="87">
        <f>IF(INDEX(TransTypes[],Transactions[[#This Row],[TTR]],TT_COL_LONGORSHORT)="S",
      IF( OR(INDEX(TransTypes[],Transactions[[#This Row],[TTR]],TT_COL_GLFlag)=1, INDEX(TransTypes[], Transactions[[#This Row],[TTR]], TT_COL_ShareTransferFlag)=1),
            Transactions[[#This Row],[CostImpact]]*-1,
            Transactions[[#This Row],[CalCashImpact]]
      ),
     0
)</f>
        <v>0</v>
      </c>
      <c r="Y432" s="88" t="str">
        <f>VLOOKUP(Transactions[[#This Row],[Symbol]],Symbols[], COLUMN(Symbols[Currency])-COLUMN(Symbols[])+1,FALSE)</f>
        <v>USD</v>
      </c>
    </row>
    <row r="433" spans="1:25">
      <c r="A433" s="75" t="s">
        <v>65</v>
      </c>
      <c r="B433" s="76">
        <v>43165</v>
      </c>
      <c r="C433" s="75" t="s">
        <v>152</v>
      </c>
      <c r="D433" s="75"/>
      <c r="E433" s="75" t="s">
        <v>210</v>
      </c>
      <c r="F433" s="77">
        <v>0.12</v>
      </c>
      <c r="G433" s="78">
        <v>7.8335499999999998</v>
      </c>
      <c r="H433" s="77"/>
      <c r="I433" s="77"/>
      <c r="J433" s="79">
        <v>0.94002600000000003</v>
      </c>
      <c r="K433" s="6"/>
      <c r="L433" s="20">
        <f>IF(ISNA(MATCH(Transactions[[#This Row],[TransType]],TransTypes[TransType],0)),1,MATCH(Transactions[[#This Row],[TransType]],TransTypes[TransType],0))</f>
        <v>15</v>
      </c>
      <c r="M433" s="80">
        <f>IF( AND( INDEX(TransTypes[],Transactions[[#This Row],[TTR]],TT_COL_GLFlag)=1, INDEX(TransTypes[],Transactions[[#This Row],[TTR]],TT_COL_LONGORSHORT)="S" ),
      Transactions[[#This Row],[PL]],
      IF(INDEX(TransTypes[],Transactions[[#This Row],[TTR]],TT_COL_LONGORSHORT)="S",0,Transactions[[#This Row],[CalCashImpact]])
)</f>
        <v>0.94002600000000003</v>
      </c>
      <c r="N433" s="81">
        <f>IF(VLOOKUP(Transactions[[#This Row],[Symbol]],Symbols[],COLUMN(Symbols[Currency])-COLUMN(Symbols[])+1,FALSE)=
       VLOOKUP(Transactions[[#This Row],[Account]],Accounts[],COLUMN(Accounts[Currency])-COLUMN(Accounts[])+1,FALSE),
     Transactions[[#This Row],[OrigCashImpact]],
     0
)</f>
        <v>0</v>
      </c>
      <c r="O43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-6756.5814195920921</v>
      </c>
      <c r="P43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33" s="41">
        <f>ROW()</f>
        <v>433</v>
      </c>
      <c r="S4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3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33" s="86">
        <f>IF(INDEX(TransTypes[],Transactions[[#This Row],[TTR]],TT_COL_GLFlag)=1,Transactions[[#This Row],[CalCashImpact]]+Transactions[[#This Row],[CostImpact]],0)</f>
        <v>0</v>
      </c>
      <c r="W433" s="87">
        <f>Transactions[[#This Row],[Amount]]*INDEX(TransTypes[],Transactions[[#This Row],[TTR]],TT_COL_AmntSign)</f>
        <v>0.94002600000000003</v>
      </c>
      <c r="X433" s="87">
        <f>IF(INDEX(TransTypes[],Transactions[[#This Row],[TTR]],TT_COL_LONGORSHORT)="S",
      IF( OR(INDEX(TransTypes[],Transactions[[#This Row],[TTR]],TT_COL_GLFlag)=1, INDEX(TransTypes[], Transactions[[#This Row],[TTR]], TT_COL_ShareTransferFlag)=1),
            Transactions[[#This Row],[CostImpact]]*-1,
            Transactions[[#This Row],[CalCashImpact]]
      ),
     0
)</f>
        <v>0</v>
      </c>
      <c r="Y433" s="88" t="str">
        <f>VLOOKUP(Transactions[[#This Row],[Symbol]],Symbols[], COLUMN(Symbols[Currency])-COLUMN(Symbols[])+1,FALSE)</f>
        <v>HKD</v>
      </c>
    </row>
    <row r="434" spans="1:25">
      <c r="A434" s="75" t="s">
        <v>65</v>
      </c>
      <c r="B434" s="76">
        <v>43165</v>
      </c>
      <c r="C434" s="75" t="s">
        <v>238</v>
      </c>
      <c r="D434" s="75"/>
      <c r="E434" s="75" t="s">
        <v>208</v>
      </c>
      <c r="F434" s="77">
        <v>0.12</v>
      </c>
      <c r="G434" s="78">
        <v>1</v>
      </c>
      <c r="H434" s="77">
        <v>0</v>
      </c>
      <c r="I434" s="77"/>
      <c r="J434" s="79">
        <v>0.12</v>
      </c>
      <c r="K434" s="6" t="s">
        <v>452</v>
      </c>
      <c r="L434" s="20">
        <f>IF(ISNA(MATCH(Transactions[[#This Row],[TransType]],TransTypes[TransType],0)),1,MATCH(Transactions[[#This Row],[TransType]],TransTypes[TransType],0))</f>
        <v>16</v>
      </c>
      <c r="M434" s="80">
        <f>IF( AND( INDEX(TransTypes[],Transactions[[#This Row],[TTR]],TT_COL_GLFlag)=1, INDEX(TransTypes[],Transactions[[#This Row],[TTR]],TT_COL_LONGORSHORT)="S" ),
      Transactions[[#This Row],[PL]],
      IF(INDEX(TransTypes[],Transactions[[#This Row],[TTR]],TT_COL_LONGORSHORT)="S",0,Transactions[[#This Row],[CalCashImpact]])
)</f>
        <v>-0.12</v>
      </c>
      <c r="N434" s="81">
        <f>IF(VLOOKUP(Transactions[[#This Row],[Symbol]],Symbols[],COLUMN(Symbols[Currency])-COLUMN(Symbols[])+1,FALSE)=
       VLOOKUP(Transactions[[#This Row],[Account]],Accounts[],COLUMN(Accounts[Currency])-COLUMN(Accounts[])+1,FALSE),
     Transactions[[#This Row],[OrigCashImpact]],
     0
)</f>
        <v>-0.12</v>
      </c>
      <c r="O43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-6756.701419592091</v>
      </c>
      <c r="P43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34" s="41">
        <f>ROW()</f>
        <v>434</v>
      </c>
      <c r="S4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3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34" s="86">
        <f>IF(INDEX(TransTypes[],Transactions[[#This Row],[TTR]],TT_COL_GLFlag)=1,Transactions[[#This Row],[CalCashImpact]]+Transactions[[#This Row],[CostImpact]],0)</f>
        <v>0</v>
      </c>
      <c r="W434" s="87">
        <f>Transactions[[#This Row],[Amount]]*INDEX(TransTypes[],Transactions[[#This Row],[TTR]],TT_COL_AmntSign)</f>
        <v>-0.12</v>
      </c>
      <c r="X434" s="87">
        <f>IF(INDEX(TransTypes[],Transactions[[#This Row],[TTR]],TT_COL_LONGORSHORT)="S",
      IF( OR(INDEX(TransTypes[],Transactions[[#This Row],[TTR]],TT_COL_GLFlag)=1, INDEX(TransTypes[], Transactions[[#This Row],[TTR]], TT_COL_ShareTransferFlag)=1),
            Transactions[[#This Row],[CostImpact]]*-1,
            Transactions[[#This Row],[CalCashImpact]]
      ),
     0
)</f>
        <v>0</v>
      </c>
      <c r="Y434" s="88" t="str">
        <f>VLOOKUP(Transactions[[#This Row],[Symbol]],Symbols[], COLUMN(Symbols[Currency])-COLUMN(Symbols[])+1,FALSE)</f>
        <v>USD</v>
      </c>
    </row>
    <row r="435" spans="1:25">
      <c r="A435" s="75" t="s">
        <v>65</v>
      </c>
      <c r="B435" s="76">
        <v>43165</v>
      </c>
      <c r="C435" s="75" t="s">
        <v>121</v>
      </c>
      <c r="D435" s="75"/>
      <c r="E435" s="75" t="s">
        <v>208</v>
      </c>
      <c r="F435" s="77"/>
      <c r="G435" s="78"/>
      <c r="H435" s="77"/>
      <c r="I435" s="77"/>
      <c r="J435" s="79">
        <v>4.5</v>
      </c>
      <c r="K435" s="6" t="s">
        <v>453</v>
      </c>
      <c r="L435" s="20">
        <f>IF(ISNA(MATCH(Transactions[[#This Row],[TransType]],TransTypes[TransType],0)),1,MATCH(Transactions[[#This Row],[TransType]],TransTypes[TransType],0))</f>
        <v>6</v>
      </c>
      <c r="M435" s="80">
        <f>IF( AND( INDEX(TransTypes[],Transactions[[#This Row],[TTR]],TT_COL_GLFlag)=1, INDEX(TransTypes[],Transactions[[#This Row],[TTR]],TT_COL_LONGORSHORT)="S" ),
      Transactions[[#This Row],[PL]],
      IF(INDEX(TransTypes[],Transactions[[#This Row],[TTR]],TT_COL_LONGORSHORT)="S",0,Transactions[[#This Row],[CalCashImpact]])
)</f>
        <v>-4.5</v>
      </c>
      <c r="N435" s="81">
        <f>IF(VLOOKUP(Transactions[[#This Row],[Symbol]],Symbols[],COLUMN(Symbols[Currency])-COLUMN(Symbols[])+1,FALSE)=
       VLOOKUP(Transactions[[#This Row],[Account]],Accounts[],COLUMN(Accounts[Currency])-COLUMN(Accounts[])+1,FALSE),
     Transactions[[#This Row],[OrigCashImpact]],
     0
)</f>
        <v>-4.5</v>
      </c>
      <c r="O43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-6761.201419592091</v>
      </c>
      <c r="P43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35" s="41">
        <f>ROW()</f>
        <v>435</v>
      </c>
      <c r="S4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3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35" s="86">
        <f>IF(INDEX(TransTypes[],Transactions[[#This Row],[TTR]],TT_COL_GLFlag)=1,Transactions[[#This Row],[CalCashImpact]]+Transactions[[#This Row],[CostImpact]],0)</f>
        <v>0</v>
      </c>
      <c r="W435" s="87">
        <f>Transactions[[#This Row],[Amount]]*INDEX(TransTypes[],Transactions[[#This Row],[TTR]],TT_COL_AmntSign)</f>
        <v>-4.5</v>
      </c>
      <c r="X435" s="87">
        <f>IF(INDEX(TransTypes[],Transactions[[#This Row],[TTR]],TT_COL_LONGORSHORT)="S",
      IF( OR(INDEX(TransTypes[],Transactions[[#This Row],[TTR]],TT_COL_GLFlag)=1, INDEX(TransTypes[], Transactions[[#This Row],[TTR]], TT_COL_ShareTransferFlag)=1),
            Transactions[[#This Row],[CostImpact]]*-1,
            Transactions[[#This Row],[CalCashImpact]]
      ),
     0
)</f>
        <v>0</v>
      </c>
      <c r="Y435" s="88" t="str">
        <f>VLOOKUP(Transactions[[#This Row],[Symbol]],Symbols[], COLUMN(Symbols[Currency])-COLUMN(Symbols[])+1,FALSE)</f>
        <v>USD</v>
      </c>
    </row>
    <row r="436" spans="1:25">
      <c r="A436" s="75" t="s">
        <v>65</v>
      </c>
      <c r="B436" s="76">
        <v>43165</v>
      </c>
      <c r="C436" s="75" t="s">
        <v>121</v>
      </c>
      <c r="D436" s="75"/>
      <c r="E436" s="75" t="s">
        <v>208</v>
      </c>
      <c r="F436" s="77"/>
      <c r="G436" s="78"/>
      <c r="H436" s="77"/>
      <c r="I436" s="77"/>
      <c r="J436" s="79">
        <v>16.61</v>
      </c>
      <c r="K436" s="6" t="s">
        <v>454</v>
      </c>
      <c r="L436" s="20">
        <f>IF(ISNA(MATCH(Transactions[[#This Row],[TransType]],TransTypes[TransType],0)),1,MATCH(Transactions[[#This Row],[TransType]],TransTypes[TransType],0))</f>
        <v>6</v>
      </c>
      <c r="M436" s="80">
        <f>IF( AND( INDEX(TransTypes[],Transactions[[#This Row],[TTR]],TT_COL_GLFlag)=1, INDEX(TransTypes[],Transactions[[#This Row],[TTR]],TT_COL_LONGORSHORT)="S" ),
      Transactions[[#This Row],[PL]],
      IF(INDEX(TransTypes[],Transactions[[#This Row],[TTR]],TT_COL_LONGORSHORT)="S",0,Transactions[[#This Row],[CalCashImpact]])
)</f>
        <v>-16.61</v>
      </c>
      <c r="N436" s="81">
        <f>IF(VLOOKUP(Transactions[[#This Row],[Symbol]],Symbols[],COLUMN(Symbols[Currency])-COLUMN(Symbols[])+1,FALSE)=
       VLOOKUP(Transactions[[#This Row],[Account]],Accounts[],COLUMN(Accounts[Currency])-COLUMN(Accounts[])+1,FALSE),
     Transactions[[#This Row],[OrigCashImpact]],
     0
)</f>
        <v>-16.61</v>
      </c>
      <c r="O43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-6777.8114195920916</v>
      </c>
      <c r="P43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36" s="41">
        <f>ROW()</f>
        <v>436</v>
      </c>
      <c r="S4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3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36" s="86">
        <f>IF(INDEX(TransTypes[],Transactions[[#This Row],[TTR]],TT_COL_GLFlag)=1,Transactions[[#This Row],[CalCashImpact]]+Transactions[[#This Row],[CostImpact]],0)</f>
        <v>0</v>
      </c>
      <c r="W436" s="87">
        <f>Transactions[[#This Row],[Amount]]*INDEX(TransTypes[],Transactions[[#This Row],[TTR]],TT_COL_AmntSign)</f>
        <v>-16.61</v>
      </c>
      <c r="X436" s="87">
        <f>IF(INDEX(TransTypes[],Transactions[[#This Row],[TTR]],TT_COL_LONGORSHORT)="S",
      IF( OR(INDEX(TransTypes[],Transactions[[#This Row],[TTR]],TT_COL_GLFlag)=1, INDEX(TransTypes[], Transactions[[#This Row],[TTR]], TT_COL_ShareTransferFlag)=1),
            Transactions[[#This Row],[CostImpact]]*-1,
            Transactions[[#This Row],[CalCashImpact]]
      ),
     0
)</f>
        <v>0</v>
      </c>
      <c r="Y436" s="88" t="str">
        <f>VLOOKUP(Transactions[[#This Row],[Symbol]],Symbols[], COLUMN(Symbols[Currency])-COLUMN(Symbols[])+1,FALSE)</f>
        <v>USD</v>
      </c>
    </row>
    <row r="437" spans="1:25">
      <c r="A437" s="75" t="s">
        <v>65</v>
      </c>
      <c r="B437" s="76">
        <v>43165</v>
      </c>
      <c r="C437" s="75" t="s">
        <v>121</v>
      </c>
      <c r="D437" s="75"/>
      <c r="E437" s="75" t="s">
        <v>208</v>
      </c>
      <c r="F437" s="77"/>
      <c r="G437" s="78"/>
      <c r="H437" s="77"/>
      <c r="I437" s="77"/>
      <c r="J437" s="79">
        <v>3.19</v>
      </c>
      <c r="K437" s="6" t="s">
        <v>455</v>
      </c>
      <c r="L437" s="20">
        <f>IF(ISNA(MATCH(Transactions[[#This Row],[TransType]],TransTypes[TransType],0)),1,MATCH(Transactions[[#This Row],[TransType]],TransTypes[TransType],0))</f>
        <v>6</v>
      </c>
      <c r="M437" s="80">
        <f>IF( AND( INDEX(TransTypes[],Transactions[[#This Row],[TTR]],TT_COL_GLFlag)=1, INDEX(TransTypes[],Transactions[[#This Row],[TTR]],TT_COL_LONGORSHORT)="S" ),
      Transactions[[#This Row],[PL]],
      IF(INDEX(TransTypes[],Transactions[[#This Row],[TTR]],TT_COL_LONGORSHORT)="S",0,Transactions[[#This Row],[CalCashImpact]])
)</f>
        <v>-3.19</v>
      </c>
      <c r="N437" s="81">
        <f>IF(VLOOKUP(Transactions[[#This Row],[Symbol]],Symbols[],COLUMN(Symbols[Currency])-COLUMN(Symbols[])+1,FALSE)=
       VLOOKUP(Transactions[[#This Row],[Account]],Accounts[],COLUMN(Accounts[Currency])-COLUMN(Accounts[])+1,FALSE),
     Transactions[[#This Row],[OrigCashImpact]],
     0
)</f>
        <v>-3.19</v>
      </c>
      <c r="O43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-6781.0014195920903</v>
      </c>
      <c r="P43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37" s="41">
        <f>ROW()</f>
        <v>437</v>
      </c>
      <c r="S4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3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37" s="86">
        <f>IF(INDEX(TransTypes[],Transactions[[#This Row],[TTR]],TT_COL_GLFlag)=1,Transactions[[#This Row],[CalCashImpact]]+Transactions[[#This Row],[CostImpact]],0)</f>
        <v>0</v>
      </c>
      <c r="W437" s="87">
        <f>Transactions[[#This Row],[Amount]]*INDEX(TransTypes[],Transactions[[#This Row],[TTR]],TT_COL_AmntSign)</f>
        <v>-3.19</v>
      </c>
      <c r="X437" s="87">
        <f>IF(INDEX(TransTypes[],Transactions[[#This Row],[TTR]],TT_COL_LONGORSHORT)="S",
      IF( OR(INDEX(TransTypes[],Transactions[[#This Row],[TTR]],TT_COL_GLFlag)=1, INDEX(TransTypes[], Transactions[[#This Row],[TTR]], TT_COL_ShareTransferFlag)=1),
            Transactions[[#This Row],[CostImpact]]*-1,
            Transactions[[#This Row],[CalCashImpact]]
      ),
     0
)</f>
        <v>0</v>
      </c>
      <c r="Y437" s="88" t="str">
        <f>VLOOKUP(Transactions[[#This Row],[Symbol]],Symbols[], COLUMN(Symbols[Currency])-COLUMN(Symbols[])+1,FALSE)</f>
        <v>USD</v>
      </c>
    </row>
    <row r="438" spans="1:25">
      <c r="A438" s="75" t="s">
        <v>65</v>
      </c>
      <c r="B438" s="76">
        <v>43165</v>
      </c>
      <c r="C438" s="75" t="s">
        <v>121</v>
      </c>
      <c r="D438" s="75"/>
      <c r="E438" s="75" t="s">
        <v>208</v>
      </c>
      <c r="F438" s="77"/>
      <c r="G438" s="78"/>
      <c r="H438" s="77"/>
      <c r="I438" s="77"/>
      <c r="J438" s="79">
        <v>10</v>
      </c>
      <c r="K438" s="6" t="s">
        <v>456</v>
      </c>
      <c r="L438" s="20">
        <f>IF(ISNA(MATCH(Transactions[[#This Row],[TransType]],TransTypes[TransType],0)),1,MATCH(Transactions[[#This Row],[TransType]],TransTypes[TransType],0))</f>
        <v>6</v>
      </c>
      <c r="M438" s="80">
        <f>IF( AND( INDEX(TransTypes[],Transactions[[#This Row],[TTR]],TT_COL_GLFlag)=1, INDEX(TransTypes[],Transactions[[#This Row],[TTR]],TT_COL_LONGORSHORT)="S" ),
      Transactions[[#This Row],[PL]],
      IF(INDEX(TransTypes[],Transactions[[#This Row],[TTR]],TT_COL_LONGORSHORT)="S",0,Transactions[[#This Row],[CalCashImpact]])
)</f>
        <v>-10</v>
      </c>
      <c r="N438" s="81">
        <f>IF(VLOOKUP(Transactions[[#This Row],[Symbol]],Symbols[],COLUMN(Symbols[Currency])-COLUMN(Symbols[])+1,FALSE)=
       VLOOKUP(Transactions[[#This Row],[Account]],Accounts[],COLUMN(Accounts[Currency])-COLUMN(Accounts[])+1,FALSE),
     Transactions[[#This Row],[OrigCashImpact]],
     0
)</f>
        <v>-10</v>
      </c>
      <c r="O438"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-6791.0014195920903</v>
      </c>
      <c r="P438"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8"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38" s="41">
        <f>ROW()</f>
        <v>438</v>
      </c>
      <c r="S4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38"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38" s="86">
        <f>IF(INDEX(TransTypes[],Transactions[[#This Row],[TTR]],TT_COL_GLFlag)=1,Transactions[[#This Row],[CalCashImpact]]+Transactions[[#This Row],[CostImpact]],0)</f>
        <v>0</v>
      </c>
      <c r="W438" s="87">
        <f>Transactions[[#This Row],[Amount]]*INDEX(TransTypes[],Transactions[[#This Row],[TTR]],TT_COL_AmntSign)</f>
        <v>-10</v>
      </c>
      <c r="X438" s="87">
        <f>IF(INDEX(TransTypes[],Transactions[[#This Row],[TTR]],TT_COL_LONGORSHORT)="S",
      IF( OR(INDEX(TransTypes[],Transactions[[#This Row],[TTR]],TT_COL_GLFlag)=1, INDEX(TransTypes[], Transactions[[#This Row],[TTR]], TT_COL_ShareTransferFlag)=1),
            Transactions[[#This Row],[CostImpact]]*-1,
            Transactions[[#This Row],[CalCashImpact]]
      ),
     0
)</f>
        <v>0</v>
      </c>
      <c r="Y438" s="88" t="str">
        <f>VLOOKUP(Transactions[[#This Row],[Symbol]],Symbols[], COLUMN(Symbols[Currency])-COLUMN(Symbols[])+1,FALSE)</f>
        <v>USD</v>
      </c>
    </row>
    <row r="439" spans="1:25">
      <c r="A439" s="75" t="s">
        <v>65</v>
      </c>
      <c r="B439" s="76">
        <v>43165</v>
      </c>
      <c r="C439" s="75" t="s">
        <v>121</v>
      </c>
      <c r="D439" s="75"/>
      <c r="E439" s="75" t="s">
        <v>208</v>
      </c>
      <c r="F439" s="77"/>
      <c r="G439" s="78"/>
      <c r="H439" s="77"/>
      <c r="I439" s="77"/>
      <c r="J439" s="79">
        <v>-10</v>
      </c>
      <c r="K439" s="6" t="s">
        <v>456</v>
      </c>
      <c r="L439" s="20">
        <f>IF(ISNA(MATCH(Transactions[[#This Row],[TransType]],TransTypes[TransType],0)),1,MATCH(Transactions[[#This Row],[TransType]],TransTypes[TransType],0))</f>
        <v>6</v>
      </c>
      <c r="M439" s="80">
        <f>IF( AND( INDEX(TransTypes[],Transactions[[#This Row],[TTR]],TT_COL_GLFlag)=1, INDEX(TransTypes[],Transactions[[#This Row],[TTR]],TT_COL_LONGORSHORT)="S" ),
      Transactions[[#This Row],[PL]],
      IF(INDEX(TransTypes[],Transactions[[#This Row],[TTR]],TT_COL_LONGORSHORT)="S",0,Transactions[[#This Row],[CalCashImpact]])
)</f>
        <v>10</v>
      </c>
      <c r="N439" s="81">
        <f>IF(VLOOKUP(Transactions[[#This Row],[Symbol]],Symbols[],COLUMN(Symbols[Currency])-COLUMN(Symbols[])+1,FALSE)=
       VLOOKUP(Transactions[[#This Row],[Account]],Accounts[],COLUMN(Accounts[Currency])-COLUMN(Accounts[])+1,FALSE),
     Transactions[[#This Row],[OrigCashImpact]],
     0
)</f>
        <v>10</v>
      </c>
      <c r="O439"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-6781.0014195920903</v>
      </c>
      <c r="P439"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39"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39" s="41">
        <f>ROW()</f>
        <v>439</v>
      </c>
      <c r="S4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39"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39" s="86">
        <f>IF(INDEX(TransTypes[],Transactions[[#This Row],[TTR]],TT_COL_GLFlag)=1,Transactions[[#This Row],[CalCashImpact]]+Transactions[[#This Row],[CostImpact]],0)</f>
        <v>0</v>
      </c>
      <c r="W439" s="87">
        <f>Transactions[[#This Row],[Amount]]*INDEX(TransTypes[],Transactions[[#This Row],[TTR]],TT_COL_AmntSign)</f>
        <v>10</v>
      </c>
      <c r="X439" s="87">
        <f>IF(INDEX(TransTypes[],Transactions[[#This Row],[TTR]],TT_COL_LONGORSHORT)="S",
      IF( OR(INDEX(TransTypes[],Transactions[[#This Row],[TTR]],TT_COL_GLFlag)=1, INDEX(TransTypes[], Transactions[[#This Row],[TTR]], TT_COL_ShareTransferFlag)=1),
            Transactions[[#This Row],[CostImpact]]*-1,
            Transactions[[#This Row],[CalCashImpact]]
      ),
     0
)</f>
        <v>0</v>
      </c>
      <c r="Y439" s="88" t="str">
        <f>VLOOKUP(Transactions[[#This Row],[Symbol]],Symbols[], COLUMN(Symbols[Currency])-COLUMN(Symbols[])+1,FALSE)</f>
        <v>USD</v>
      </c>
    </row>
    <row r="440" spans="1:25">
      <c r="A440" s="75" t="s">
        <v>65</v>
      </c>
      <c r="B440" s="76">
        <v>43166</v>
      </c>
      <c r="C440" s="75" t="s">
        <v>118</v>
      </c>
      <c r="D440" s="75"/>
      <c r="E440" s="75" t="s">
        <v>285</v>
      </c>
      <c r="F440" s="77">
        <v>1502</v>
      </c>
      <c r="G440" s="78"/>
      <c r="H440" s="77"/>
      <c r="I440" s="77"/>
      <c r="J440" s="79">
        <v>511.19</v>
      </c>
      <c r="K440" s="6" t="s">
        <v>457</v>
      </c>
      <c r="L440" s="20">
        <f>IF(ISNA(MATCH(Transactions[[#This Row],[TransType]],TransTypes[TransType],0)),1,MATCH(Transactions[[#This Row],[TransType]],TransTypes[TransType],0))</f>
        <v>4</v>
      </c>
      <c r="M440" s="80">
        <f>IF( AND( INDEX(TransTypes[],Transactions[[#This Row],[TTR]],TT_COL_GLFlag)=1, INDEX(TransTypes[],Transactions[[#This Row],[TTR]],TT_COL_LONGORSHORT)="S" ),
      Transactions[[#This Row],[PL]],
      IF(INDEX(TransTypes[],Transactions[[#This Row],[TTR]],TT_COL_LONGORSHORT)="S",0,Transactions[[#This Row],[CalCashImpact]])
)</f>
        <v>511.19</v>
      </c>
      <c r="N440" s="81">
        <f>IF(VLOOKUP(Transactions[[#This Row],[Symbol]],Symbols[],COLUMN(Symbols[Currency])-COLUMN(Symbols[])+1,FALSE)=
       VLOOKUP(Transactions[[#This Row],[Account]],Accounts[],COLUMN(Accounts[Currency])-COLUMN(Accounts[])+1,FALSE),
     Transactions[[#This Row],[OrigCashImpact]],
     0
)</f>
        <v>511.19</v>
      </c>
      <c r="O440"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-6269.8114195920916</v>
      </c>
      <c r="P440"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0"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1502</v>
      </c>
      <c r="R440" s="41">
        <f>ROW()</f>
        <v>440</v>
      </c>
      <c r="S4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173025.19798181817</v>
      </c>
      <c r="U440"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440" s="86">
        <f>IF(INDEX(TransTypes[],Transactions[[#This Row],[TTR]],TT_COL_GLFlag)=1,Transactions[[#This Row],[CalCashImpact]]+Transactions[[#This Row],[CostImpact]],0)</f>
        <v>0</v>
      </c>
      <c r="W440" s="87">
        <f>Transactions[[#This Row],[Amount]]*INDEX(TransTypes[],Transactions[[#This Row],[TTR]],TT_COL_AmntSign)</f>
        <v>511.19</v>
      </c>
      <c r="X440" s="87">
        <f>IF(INDEX(TransTypes[],Transactions[[#This Row],[TTR]],TT_COL_LONGORSHORT)="S",
      IF( OR(INDEX(TransTypes[],Transactions[[#This Row],[TTR]],TT_COL_GLFlag)=1, INDEX(TransTypes[], Transactions[[#This Row],[TTR]], TT_COL_ShareTransferFlag)=1),
            Transactions[[#This Row],[CostImpact]]*-1,
            Transactions[[#This Row],[CalCashImpact]]
      ),
     0
)</f>
        <v>0</v>
      </c>
      <c r="Y440" s="88" t="str">
        <f>VLOOKUP(Transactions[[#This Row],[Symbol]],Symbols[], COLUMN(Symbols[Currency])-COLUMN(Symbols[])+1,FALSE)</f>
        <v>USD</v>
      </c>
    </row>
    <row r="441" spans="1:25">
      <c r="A441" s="75" t="s">
        <v>65</v>
      </c>
      <c r="B441" s="76">
        <v>43166</v>
      </c>
      <c r="C441" s="75" t="s">
        <v>118</v>
      </c>
      <c r="D441" s="75"/>
      <c r="E441" s="75" t="s">
        <v>20</v>
      </c>
      <c r="F441" s="77">
        <v>2048</v>
      </c>
      <c r="G441" s="78"/>
      <c r="H441" s="77"/>
      <c r="I441" s="77"/>
      <c r="J441" s="79">
        <v>489.44</v>
      </c>
      <c r="K441" s="6" t="s">
        <v>458</v>
      </c>
      <c r="L441" s="20">
        <f>IF(ISNA(MATCH(Transactions[[#This Row],[TransType]],TransTypes[TransType],0)),1,MATCH(Transactions[[#This Row],[TransType]],TransTypes[TransType],0))</f>
        <v>4</v>
      </c>
      <c r="M441" s="80">
        <f>IF( AND( INDEX(TransTypes[],Transactions[[#This Row],[TTR]],TT_COL_GLFlag)=1, INDEX(TransTypes[],Transactions[[#This Row],[TTR]],TT_COL_LONGORSHORT)="S" ),
      Transactions[[#This Row],[PL]],
      IF(INDEX(TransTypes[],Transactions[[#This Row],[TTR]],TT_COL_LONGORSHORT)="S",0,Transactions[[#This Row],[CalCashImpact]])
)</f>
        <v>489.44</v>
      </c>
      <c r="N441" s="81">
        <f>IF(VLOOKUP(Transactions[[#This Row],[Symbol]],Symbols[],COLUMN(Symbols[Currency])-COLUMN(Symbols[])+1,FALSE)=
       VLOOKUP(Transactions[[#This Row],[Account]],Accounts[],COLUMN(Accounts[Currency])-COLUMN(Accounts[])+1,FALSE),
     Transactions[[#This Row],[OrigCashImpact]],
     0
)</f>
        <v>489.44</v>
      </c>
      <c r="O441"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-5780.3714195920911</v>
      </c>
      <c r="P441"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1"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441" s="41">
        <f>ROW()</f>
        <v>441</v>
      </c>
      <c r="S4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251817.64082395815</v>
      </c>
      <c r="U441"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441" s="86">
        <f>IF(INDEX(TransTypes[],Transactions[[#This Row],[TTR]],TT_COL_GLFlag)=1,Transactions[[#This Row],[CalCashImpact]]+Transactions[[#This Row],[CostImpact]],0)</f>
        <v>0</v>
      </c>
      <c r="W441" s="87">
        <f>Transactions[[#This Row],[Amount]]*INDEX(TransTypes[],Transactions[[#This Row],[TTR]],TT_COL_AmntSign)</f>
        <v>489.44</v>
      </c>
      <c r="X441" s="87">
        <f>IF(INDEX(TransTypes[],Transactions[[#This Row],[TTR]],TT_COL_LONGORSHORT)="S",
      IF( OR(INDEX(TransTypes[],Transactions[[#This Row],[TTR]],TT_COL_GLFlag)=1, INDEX(TransTypes[], Transactions[[#This Row],[TTR]], TT_COL_ShareTransferFlag)=1),
            Transactions[[#This Row],[CostImpact]]*-1,
            Transactions[[#This Row],[CalCashImpact]]
      ),
     0
)</f>
        <v>0</v>
      </c>
      <c r="Y441" s="88" t="str">
        <f>VLOOKUP(Transactions[[#This Row],[Symbol]],Symbols[], COLUMN(Symbols[Currency])-COLUMN(Symbols[])+1,FALSE)</f>
        <v>USD</v>
      </c>
    </row>
    <row r="442" spans="1:25">
      <c r="A442" s="75" t="s">
        <v>65</v>
      </c>
      <c r="B442" s="76">
        <v>43166</v>
      </c>
      <c r="C442" s="75" t="s">
        <v>123</v>
      </c>
      <c r="D442" s="75"/>
      <c r="E442" s="75" t="s">
        <v>285</v>
      </c>
      <c r="F442" s="77"/>
      <c r="G442" s="78"/>
      <c r="H442" s="77"/>
      <c r="I442" s="77"/>
      <c r="J442" s="79">
        <v>76.680000000000007</v>
      </c>
      <c r="K442" s="6" t="s">
        <v>459</v>
      </c>
      <c r="L442" s="20">
        <f>IF(ISNA(MATCH(Transactions[[#This Row],[TransType]],TransTypes[TransType],0)),1,MATCH(Transactions[[#This Row],[TransType]],TransTypes[TransType],0))</f>
        <v>7</v>
      </c>
      <c r="M442" s="80">
        <f>IF( AND( INDEX(TransTypes[],Transactions[[#This Row],[TTR]],TT_COL_GLFlag)=1, INDEX(TransTypes[],Transactions[[#This Row],[TTR]],TT_COL_LONGORSHORT)="S" ),
      Transactions[[#This Row],[PL]],
      IF(INDEX(TransTypes[],Transactions[[#This Row],[TTR]],TT_COL_LONGORSHORT)="S",0,Transactions[[#This Row],[CalCashImpact]])
)</f>
        <v>-76.680000000000007</v>
      </c>
      <c r="N442" s="81">
        <f>IF(VLOOKUP(Transactions[[#This Row],[Symbol]],Symbols[],COLUMN(Symbols[Currency])-COLUMN(Symbols[])+1,FALSE)=
       VLOOKUP(Transactions[[#This Row],[Account]],Accounts[],COLUMN(Accounts[Currency])-COLUMN(Accounts[])+1,FALSE),
     Transactions[[#This Row],[OrigCashImpact]],
     0
)</f>
        <v>-76.680000000000007</v>
      </c>
      <c r="O442"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-5857.0514195920914</v>
      </c>
      <c r="P442"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2"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1502</v>
      </c>
      <c r="R442" s="41">
        <f>ROW()</f>
        <v>442</v>
      </c>
      <c r="S4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173025.19798181817</v>
      </c>
      <c r="U442"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442" s="86">
        <f>IF(INDEX(TransTypes[],Transactions[[#This Row],[TTR]],TT_COL_GLFlag)=1,Transactions[[#This Row],[CalCashImpact]]+Transactions[[#This Row],[CostImpact]],0)</f>
        <v>0</v>
      </c>
      <c r="W442" s="87">
        <f>Transactions[[#This Row],[Amount]]*INDEX(TransTypes[],Transactions[[#This Row],[TTR]],TT_COL_AmntSign)</f>
        <v>-76.680000000000007</v>
      </c>
      <c r="X442" s="87">
        <f>IF(INDEX(TransTypes[],Transactions[[#This Row],[TTR]],TT_COL_LONGORSHORT)="S",
      IF( OR(INDEX(TransTypes[],Transactions[[#This Row],[TTR]],TT_COL_GLFlag)=1, INDEX(TransTypes[], Transactions[[#This Row],[TTR]], TT_COL_ShareTransferFlag)=1),
            Transactions[[#This Row],[CostImpact]]*-1,
            Transactions[[#This Row],[CalCashImpact]]
      ),
     0
)</f>
        <v>0</v>
      </c>
      <c r="Y442" s="88" t="str">
        <f>VLOOKUP(Transactions[[#This Row],[Symbol]],Symbols[], COLUMN(Symbols[Currency])-COLUMN(Symbols[])+1,FALSE)</f>
        <v>USD</v>
      </c>
    </row>
    <row r="443" spans="1:25">
      <c r="A443" s="75" t="s">
        <v>65</v>
      </c>
      <c r="B443" s="76">
        <v>43166</v>
      </c>
      <c r="C443" s="75" t="s">
        <v>123</v>
      </c>
      <c r="D443" s="75"/>
      <c r="E443" s="75" t="s">
        <v>20</v>
      </c>
      <c r="F443" s="77"/>
      <c r="G443" s="78"/>
      <c r="H443" s="77"/>
      <c r="I443" s="77"/>
      <c r="J443" s="79">
        <v>73.42</v>
      </c>
      <c r="K443" s="6" t="s">
        <v>460</v>
      </c>
      <c r="L443" s="20">
        <f>IF(ISNA(MATCH(Transactions[[#This Row],[TransType]],TransTypes[TransType],0)),1,MATCH(Transactions[[#This Row],[TransType]],TransTypes[TransType],0))</f>
        <v>7</v>
      </c>
      <c r="M443" s="80">
        <f>IF( AND( INDEX(TransTypes[],Transactions[[#This Row],[TTR]],TT_COL_GLFlag)=1, INDEX(TransTypes[],Transactions[[#This Row],[TTR]],TT_COL_LONGORSHORT)="S" ),
      Transactions[[#This Row],[PL]],
      IF(INDEX(TransTypes[],Transactions[[#This Row],[TTR]],TT_COL_LONGORSHORT)="S",0,Transactions[[#This Row],[CalCashImpact]])
)</f>
        <v>-73.42</v>
      </c>
      <c r="N443" s="81">
        <f>IF(VLOOKUP(Transactions[[#This Row],[Symbol]],Symbols[],COLUMN(Symbols[Currency])-COLUMN(Symbols[])+1,FALSE)=
       VLOOKUP(Transactions[[#This Row],[Account]],Accounts[],COLUMN(Accounts[Currency])-COLUMN(Accounts[])+1,FALSE),
     Transactions[[#This Row],[OrigCashImpact]],
     0
)</f>
        <v>-73.42</v>
      </c>
      <c r="O443"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-5930.4714195920915</v>
      </c>
      <c r="P443"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3"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443" s="41">
        <f>ROW()</f>
        <v>443</v>
      </c>
      <c r="S4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251817.64082395815</v>
      </c>
      <c r="U443"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443" s="86">
        <f>IF(INDEX(TransTypes[],Transactions[[#This Row],[TTR]],TT_COL_GLFlag)=1,Transactions[[#This Row],[CalCashImpact]]+Transactions[[#This Row],[CostImpact]],0)</f>
        <v>0</v>
      </c>
      <c r="W443" s="87">
        <f>Transactions[[#This Row],[Amount]]*INDEX(TransTypes[],Transactions[[#This Row],[TTR]],TT_COL_AmntSign)</f>
        <v>-73.42</v>
      </c>
      <c r="X443" s="87">
        <f>IF(INDEX(TransTypes[],Transactions[[#This Row],[TTR]],TT_COL_LONGORSHORT)="S",
      IF( OR(INDEX(TransTypes[],Transactions[[#This Row],[TTR]],TT_COL_GLFlag)=1, INDEX(TransTypes[], Transactions[[#This Row],[TTR]], TT_COL_ShareTransferFlag)=1),
            Transactions[[#This Row],[CostImpact]]*-1,
            Transactions[[#This Row],[CalCashImpact]]
      ),
     0
)</f>
        <v>0</v>
      </c>
      <c r="Y443" s="88" t="str">
        <f>VLOOKUP(Transactions[[#This Row],[Symbol]],Symbols[], COLUMN(Symbols[Currency])-COLUMN(Symbols[])+1,FALSE)</f>
        <v>USD</v>
      </c>
    </row>
    <row r="444" spans="1:25">
      <c r="A444" s="75" t="s">
        <v>65</v>
      </c>
      <c r="B444" s="76">
        <v>43167</v>
      </c>
      <c r="C444" s="75" t="s">
        <v>118</v>
      </c>
      <c r="D444" s="75"/>
      <c r="E444" s="75" t="s">
        <v>405</v>
      </c>
      <c r="F444" s="77">
        <v>800</v>
      </c>
      <c r="G444" s="78"/>
      <c r="H444" s="77"/>
      <c r="I444" s="77"/>
      <c r="J444" s="79">
        <v>336</v>
      </c>
      <c r="K444" s="6" t="s">
        <v>461</v>
      </c>
      <c r="L444" s="20">
        <f>IF(ISNA(MATCH(Transactions[[#This Row],[TransType]],TransTypes[TransType],0)),1,MATCH(Transactions[[#This Row],[TransType]],TransTypes[TransType],0))</f>
        <v>4</v>
      </c>
      <c r="M444" s="80">
        <f>IF( AND( INDEX(TransTypes[],Transactions[[#This Row],[TTR]],TT_COL_GLFlag)=1, INDEX(TransTypes[],Transactions[[#This Row],[TTR]],TT_COL_LONGORSHORT)="S" ),
      Transactions[[#This Row],[PL]],
      IF(INDEX(TransTypes[],Transactions[[#This Row],[TTR]],TT_COL_LONGORSHORT)="S",0,Transactions[[#This Row],[CalCashImpact]])
)</f>
        <v>336</v>
      </c>
      <c r="N444" s="81">
        <f>IF(VLOOKUP(Transactions[[#This Row],[Symbol]],Symbols[],COLUMN(Symbols[Currency])-COLUMN(Symbols[])+1,FALSE)=
       VLOOKUP(Transactions[[#This Row],[Account]],Accounts[],COLUMN(Accounts[Currency])-COLUMN(Accounts[])+1,FALSE),
     Transactions[[#This Row],[OrigCashImpact]],
     0
)</f>
        <v>336</v>
      </c>
      <c r="O444"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-5594.4714195920924</v>
      </c>
      <c r="P444"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4"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444" s="41">
        <f>ROW()</f>
        <v>444</v>
      </c>
      <c r="S4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72080.67</v>
      </c>
      <c r="U444"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444" s="86">
        <f>IF(INDEX(TransTypes[],Transactions[[#This Row],[TTR]],TT_COL_GLFlag)=1,Transactions[[#This Row],[CalCashImpact]]+Transactions[[#This Row],[CostImpact]],0)</f>
        <v>0</v>
      </c>
      <c r="W444" s="87">
        <f>Transactions[[#This Row],[Amount]]*INDEX(TransTypes[],Transactions[[#This Row],[TTR]],TT_COL_AmntSign)</f>
        <v>336</v>
      </c>
      <c r="X444" s="87">
        <f>IF(INDEX(TransTypes[],Transactions[[#This Row],[TTR]],TT_COL_LONGORSHORT)="S",
      IF( OR(INDEX(TransTypes[],Transactions[[#This Row],[TTR]],TT_COL_GLFlag)=1, INDEX(TransTypes[], Transactions[[#This Row],[TTR]], TT_COL_ShareTransferFlag)=1),
            Transactions[[#This Row],[CostImpact]]*-1,
            Transactions[[#This Row],[CalCashImpact]]
      ),
     0
)</f>
        <v>0</v>
      </c>
      <c r="Y444" s="88" t="str">
        <f>VLOOKUP(Transactions[[#This Row],[Symbol]],Symbols[], COLUMN(Symbols[Currency])-COLUMN(Symbols[])+1,FALSE)</f>
        <v>USD</v>
      </c>
    </row>
    <row r="445" spans="1:25">
      <c r="A445" s="75" t="s">
        <v>65</v>
      </c>
      <c r="B445" s="76">
        <v>43167</v>
      </c>
      <c r="C445" s="75" t="s">
        <v>123</v>
      </c>
      <c r="D445" s="75"/>
      <c r="E445" s="75" t="s">
        <v>405</v>
      </c>
      <c r="F445" s="77"/>
      <c r="G445" s="78"/>
      <c r="H445" s="77"/>
      <c r="I445" s="77"/>
      <c r="J445" s="79">
        <v>50.4</v>
      </c>
      <c r="K445" s="6" t="s">
        <v>462</v>
      </c>
      <c r="L445" s="20">
        <f>IF(ISNA(MATCH(Transactions[[#This Row],[TransType]],TransTypes[TransType],0)),1,MATCH(Transactions[[#This Row],[TransType]],TransTypes[TransType],0))</f>
        <v>7</v>
      </c>
      <c r="M445" s="80">
        <f>IF( AND( INDEX(TransTypes[],Transactions[[#This Row],[TTR]],TT_COL_GLFlag)=1, INDEX(TransTypes[],Transactions[[#This Row],[TTR]],TT_COL_LONGORSHORT)="S" ),
      Transactions[[#This Row],[PL]],
      IF(INDEX(TransTypes[],Transactions[[#This Row],[TTR]],TT_COL_LONGORSHORT)="S",0,Transactions[[#This Row],[CalCashImpact]])
)</f>
        <v>-50.4</v>
      </c>
      <c r="N445" s="81">
        <f>IF(VLOOKUP(Transactions[[#This Row],[Symbol]],Symbols[],COLUMN(Symbols[Currency])-COLUMN(Symbols[])+1,FALSE)=
       VLOOKUP(Transactions[[#This Row],[Account]],Accounts[],COLUMN(Accounts[Currency])-COLUMN(Accounts[])+1,FALSE),
     Transactions[[#This Row],[OrigCashImpact]],
     0
)</f>
        <v>-50.4</v>
      </c>
      <c r="O445"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-5644.871419592092</v>
      </c>
      <c r="P445"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5"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445" s="41">
        <f>ROW()</f>
        <v>445</v>
      </c>
      <c r="S4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72080.67</v>
      </c>
      <c r="U445"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445" s="86">
        <f>IF(INDEX(TransTypes[],Transactions[[#This Row],[TTR]],TT_COL_GLFlag)=1,Transactions[[#This Row],[CalCashImpact]]+Transactions[[#This Row],[CostImpact]],0)</f>
        <v>0</v>
      </c>
      <c r="W445" s="87">
        <f>Transactions[[#This Row],[Amount]]*INDEX(TransTypes[],Transactions[[#This Row],[TTR]],TT_COL_AmntSign)</f>
        <v>-50.4</v>
      </c>
      <c r="X445" s="87">
        <f>IF(INDEX(TransTypes[],Transactions[[#This Row],[TTR]],TT_COL_LONGORSHORT)="S",
      IF( OR(INDEX(TransTypes[],Transactions[[#This Row],[TTR]],TT_COL_GLFlag)=1, INDEX(TransTypes[], Transactions[[#This Row],[TTR]], TT_COL_ShareTransferFlag)=1),
            Transactions[[#This Row],[CostImpact]]*-1,
            Transactions[[#This Row],[CalCashImpact]]
      ),
     0
)</f>
        <v>0</v>
      </c>
      <c r="Y445" s="88" t="str">
        <f>VLOOKUP(Transactions[[#This Row],[Symbol]],Symbols[], COLUMN(Symbols[Currency])-COLUMN(Symbols[])+1,FALSE)</f>
        <v>USD</v>
      </c>
    </row>
    <row r="446" spans="1:25">
      <c r="A446" s="75" t="s">
        <v>65</v>
      </c>
      <c r="B446" s="76">
        <v>43172</v>
      </c>
      <c r="C446" s="75" t="s">
        <v>118</v>
      </c>
      <c r="D446" s="75"/>
      <c r="E446" s="75" t="s">
        <v>305</v>
      </c>
      <c r="F446" s="77">
        <v>374</v>
      </c>
      <c r="G446" s="78"/>
      <c r="H446" s="77"/>
      <c r="I446" s="77"/>
      <c r="J446" s="79">
        <v>314.16000000000003</v>
      </c>
      <c r="K446" s="6" t="s">
        <v>395</v>
      </c>
      <c r="L446" s="20">
        <f>IF(ISNA(MATCH(Transactions[[#This Row],[TransType]],TransTypes[TransType],0)),1,MATCH(Transactions[[#This Row],[TransType]],TransTypes[TransType],0))</f>
        <v>4</v>
      </c>
      <c r="M446" s="80">
        <f>IF( AND( INDEX(TransTypes[],Transactions[[#This Row],[TTR]],TT_COL_GLFlag)=1, INDEX(TransTypes[],Transactions[[#This Row],[TTR]],TT_COL_LONGORSHORT)="S" ),
      Transactions[[#This Row],[PL]],
      IF(INDEX(TransTypes[],Transactions[[#This Row],[TTR]],TT_COL_LONGORSHORT)="S",0,Transactions[[#This Row],[CalCashImpact]])
)</f>
        <v>314.16000000000003</v>
      </c>
      <c r="N446" s="81">
        <f>IF(VLOOKUP(Transactions[[#This Row],[Symbol]],Symbols[],COLUMN(Symbols[Currency])-COLUMN(Symbols[])+1,FALSE)=
       VLOOKUP(Transactions[[#This Row],[Account]],Accounts[],COLUMN(Accounts[Currency])-COLUMN(Accounts[])+1,FALSE),
     Transactions[[#This Row],[OrigCashImpact]],
     0
)</f>
        <v>314.16000000000003</v>
      </c>
      <c r="O446"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-5330.7114195920922</v>
      </c>
      <c r="P446"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6"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374</v>
      </c>
      <c r="R446" s="41">
        <f>ROW()</f>
        <v>446</v>
      </c>
      <c r="S4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50969.523589473683</v>
      </c>
      <c r="U446"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374</v>
      </c>
      <c r="V446" s="86">
        <f>IF(INDEX(TransTypes[],Transactions[[#This Row],[TTR]],TT_COL_GLFlag)=1,Transactions[[#This Row],[CalCashImpact]]+Transactions[[#This Row],[CostImpact]],0)</f>
        <v>0</v>
      </c>
      <c r="W446" s="87">
        <f>Transactions[[#This Row],[Amount]]*INDEX(TransTypes[],Transactions[[#This Row],[TTR]],TT_COL_AmntSign)</f>
        <v>314.16000000000003</v>
      </c>
      <c r="X446" s="87">
        <f>IF(INDEX(TransTypes[],Transactions[[#This Row],[TTR]],TT_COL_LONGORSHORT)="S",
      IF( OR(INDEX(TransTypes[],Transactions[[#This Row],[TTR]],TT_COL_GLFlag)=1, INDEX(TransTypes[], Transactions[[#This Row],[TTR]], TT_COL_ShareTransferFlag)=1),
            Transactions[[#This Row],[CostImpact]]*-1,
            Transactions[[#This Row],[CalCashImpact]]
      ),
     0
)</f>
        <v>0</v>
      </c>
      <c r="Y446" s="88" t="str">
        <f>VLOOKUP(Transactions[[#This Row],[Symbol]],Symbols[], COLUMN(Symbols[Currency])-COLUMN(Symbols[])+1,FALSE)</f>
        <v>USD</v>
      </c>
    </row>
    <row r="447" spans="1:25">
      <c r="A447" s="75" t="s">
        <v>65</v>
      </c>
      <c r="B447" s="76">
        <v>43172</v>
      </c>
      <c r="C447" s="75" t="s">
        <v>123</v>
      </c>
      <c r="D447" s="75"/>
      <c r="E447" s="75" t="s">
        <v>305</v>
      </c>
      <c r="F447" s="77"/>
      <c r="G447" s="78"/>
      <c r="H447" s="77"/>
      <c r="I447" s="77"/>
      <c r="J447" s="79">
        <v>47.12</v>
      </c>
      <c r="K447" s="6" t="s">
        <v>396</v>
      </c>
      <c r="L447" s="20">
        <f>IF(ISNA(MATCH(Transactions[[#This Row],[TransType]],TransTypes[TransType],0)),1,MATCH(Transactions[[#This Row],[TransType]],TransTypes[TransType],0))</f>
        <v>7</v>
      </c>
      <c r="M447" s="80">
        <f>IF( AND( INDEX(TransTypes[],Transactions[[#This Row],[TTR]],TT_COL_GLFlag)=1, INDEX(TransTypes[],Transactions[[#This Row],[TTR]],TT_COL_LONGORSHORT)="S" ),
      Transactions[[#This Row],[PL]],
      IF(INDEX(TransTypes[],Transactions[[#This Row],[TTR]],TT_COL_LONGORSHORT)="S",0,Transactions[[#This Row],[CalCashImpact]])
)</f>
        <v>-47.12</v>
      </c>
      <c r="N447" s="81">
        <f>IF(VLOOKUP(Transactions[[#This Row],[Symbol]],Symbols[],COLUMN(Symbols[Currency])-COLUMN(Symbols[])+1,FALSE)=
       VLOOKUP(Transactions[[#This Row],[Account]],Accounts[],COLUMN(Accounts[Currency])-COLUMN(Accounts[])+1,FALSE),
     Transactions[[#This Row],[OrigCashImpact]],
     0
)</f>
        <v>-47.12</v>
      </c>
      <c r="O447" s="8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-5377.8314195920921</v>
      </c>
      <c r="P447" s="8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7" s="8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374</v>
      </c>
      <c r="R447" s="41">
        <f>ROW()</f>
        <v>447</v>
      </c>
      <c r="S4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50969.523589473683</v>
      </c>
      <c r="U447" s="8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374</v>
      </c>
      <c r="V447" s="86">
        <f>IF(INDEX(TransTypes[],Transactions[[#This Row],[TTR]],TT_COL_GLFlag)=1,Transactions[[#This Row],[CalCashImpact]]+Transactions[[#This Row],[CostImpact]],0)</f>
        <v>0</v>
      </c>
      <c r="W447" s="87">
        <f>Transactions[[#This Row],[Amount]]*INDEX(TransTypes[],Transactions[[#This Row],[TTR]],TT_COL_AmntSign)</f>
        <v>-47.12</v>
      </c>
      <c r="X447" s="87">
        <f>IF(INDEX(TransTypes[],Transactions[[#This Row],[TTR]],TT_COL_LONGORSHORT)="S",
      IF( OR(INDEX(TransTypes[],Transactions[[#This Row],[TTR]],TT_COL_GLFlag)=1, INDEX(TransTypes[], Transactions[[#This Row],[TTR]], TT_COL_ShareTransferFlag)=1),
            Transactions[[#This Row],[CostImpact]]*-1,
            Transactions[[#This Row],[CalCashImpact]]
      ),
     0
)</f>
        <v>0</v>
      </c>
      <c r="Y447" s="88" t="str">
        <f>VLOOKUP(Transactions[[#This Row],[Symbol]],Symbols[], COLUMN(Symbols[Currency])-COLUMN(Symbols[])+1,FALSE)</f>
        <v>USD</v>
      </c>
    </row>
    <row r="448" spans="1:25">
      <c r="A448" s="100" t="s">
        <v>77</v>
      </c>
      <c r="B448" s="101">
        <v>43046</v>
      </c>
      <c r="C448" s="100" t="s">
        <v>112</v>
      </c>
      <c r="D448" s="100"/>
      <c r="E448" s="100" t="s">
        <v>208</v>
      </c>
      <c r="F448" s="102"/>
      <c r="G448" s="103"/>
      <c r="H448" s="102"/>
      <c r="I448" s="102"/>
      <c r="J448" s="104">
        <v>178011.49</v>
      </c>
      <c r="K448" s="6" t="s">
        <v>515</v>
      </c>
      <c r="L448" s="20">
        <f>IF(ISNA(MATCH(Transactions[[#This Row],[TransType]],TransTypes[TransType],0)),1,MATCH(Transactions[[#This Row],[TransType]],TransTypes[TransType],0))</f>
        <v>1</v>
      </c>
      <c r="M448" s="105">
        <f>IF( AND( INDEX(TransTypes[],Transactions[[#This Row],[TTR]],TT_COL_GLFlag)=1, INDEX(TransTypes[],Transactions[[#This Row],[TTR]],TT_COL_LONGORSHORT)="S" ),
      Transactions[[#This Row],[PL]],
      IF(INDEX(TransTypes[],Transactions[[#This Row],[TTR]],TT_COL_LONGORSHORT)="S",0,Transactions[[#This Row],[CalCashImpact]])
)</f>
        <v>178011.49</v>
      </c>
      <c r="N448" s="106">
        <f>IF(VLOOKUP(Transactions[[#This Row],[Symbol]],Symbols[],COLUMN(Symbols[Currency])-COLUMN(Symbols[])+1,FALSE)=
       VLOOKUP(Transactions[[#This Row],[Account]],Accounts[],COLUMN(Accounts[Currency])-COLUMN(Accounts[])+1,FALSE),
     Transactions[[#This Row],[OrigCashImpact]],
     0
)</f>
        <v>178011.49</v>
      </c>
      <c r="O44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4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4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48" s="41">
        <f>ROW()</f>
        <v>448</v>
      </c>
      <c r="S4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4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48" s="111">
        <f>IF(INDEX(TransTypes[],Transactions[[#This Row],[TTR]],TT_COL_GLFlag)=1,Transactions[[#This Row],[CalCashImpact]]+Transactions[[#This Row],[CostImpact]],0)</f>
        <v>0</v>
      </c>
      <c r="W448" s="112">
        <f>Transactions[[#This Row],[Amount]]*INDEX(TransTypes[],Transactions[[#This Row],[TTR]],TT_COL_AmntSign)</f>
        <v>178011.49</v>
      </c>
      <c r="X448" s="112">
        <f>IF(INDEX(TransTypes[],Transactions[[#This Row],[TTR]],TT_COL_LONGORSHORT)="S",
      IF( OR(INDEX(TransTypes[],Transactions[[#This Row],[TTR]],TT_COL_GLFlag)=1, INDEX(TransTypes[], Transactions[[#This Row],[TTR]], TT_COL_ShareTransferFlag)=1),
            Transactions[[#This Row],[CostImpact]]*-1,
            Transactions[[#This Row],[CalCashImpact]]
      ),
     0
)</f>
        <v>0</v>
      </c>
      <c r="Y448" s="113" t="str">
        <f>VLOOKUP(Transactions[[#This Row],[Symbol]],Symbols[], COLUMN(Symbols[Currency])-COLUMN(Symbols[])+1,FALSE)</f>
        <v>USD</v>
      </c>
    </row>
    <row r="449" spans="1:25">
      <c r="A449" s="100" t="s">
        <v>77</v>
      </c>
      <c r="B449" s="101">
        <v>43046</v>
      </c>
      <c r="C449" s="100" t="s">
        <v>182</v>
      </c>
      <c r="D449" s="100"/>
      <c r="E449" s="100" t="s">
        <v>20</v>
      </c>
      <c r="F449" s="102">
        <v>4008</v>
      </c>
      <c r="G449" s="103">
        <v>123.8387751747</v>
      </c>
      <c r="H449" s="102"/>
      <c r="I449" s="102"/>
      <c r="J449" s="104">
        <v>496345.81099999999</v>
      </c>
      <c r="K449" s="6" t="s">
        <v>516</v>
      </c>
      <c r="L449" s="20">
        <f>IF(ISNA(MATCH(Transactions[[#This Row],[TransType]],TransTypes[TransType],0)),1,MATCH(Transactions[[#This Row],[TransType]],TransTypes[TransType],0))</f>
        <v>11</v>
      </c>
      <c r="M449" s="105">
        <f>IF( AND( INDEX(TransTypes[],Transactions[[#This Row],[TTR]],TT_COL_GLFlag)=1, INDEX(TransTypes[],Transactions[[#This Row],[TTR]],TT_COL_LONGORSHORT)="S" ),
      Transactions[[#This Row],[PL]],
      IF(INDEX(TransTypes[],Transactions[[#This Row],[TTR]],TT_COL_LONGORSHORT)="S",0,Transactions[[#This Row],[CalCashImpact]])
)</f>
        <v>0</v>
      </c>
      <c r="N449" s="106">
        <f>IF(VLOOKUP(Transactions[[#This Row],[Symbol]],Symbols[],COLUMN(Symbols[Currency])-COLUMN(Symbols[])+1,FALSE)=
       VLOOKUP(Transactions[[#This Row],[Account]],Accounts[],COLUMN(Accounts[Currency])-COLUMN(Accounts[])+1,FALSE),
     Transactions[[#This Row],[OrigCashImpact]],
     0
)</f>
        <v>0</v>
      </c>
      <c r="O44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4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4008</v>
      </c>
      <c r="Q44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4008</v>
      </c>
      <c r="R449" s="41">
        <f>ROW()</f>
        <v>449</v>
      </c>
      <c r="S4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496345.81099999999</v>
      </c>
      <c r="T4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496345.81099999999</v>
      </c>
      <c r="U44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4008</v>
      </c>
      <c r="V449" s="111">
        <f>IF(INDEX(TransTypes[],Transactions[[#This Row],[TTR]],TT_COL_GLFlag)=1,Transactions[[#This Row],[CalCashImpact]]+Transactions[[#This Row],[CostImpact]],0)</f>
        <v>0</v>
      </c>
      <c r="W449" s="112">
        <f>Transactions[[#This Row],[Amount]]*INDEX(TransTypes[],Transactions[[#This Row],[TTR]],TT_COL_AmntSign)</f>
        <v>0</v>
      </c>
      <c r="X449" s="112">
        <f>IF(INDEX(TransTypes[],Transactions[[#This Row],[TTR]],TT_COL_LONGORSHORT)="S",
      IF( OR(INDEX(TransTypes[],Transactions[[#This Row],[TTR]],TT_COL_GLFlag)=1, INDEX(TransTypes[], Transactions[[#This Row],[TTR]], TT_COL_ShareTransferFlag)=1),
            Transactions[[#This Row],[CostImpact]]*-1,
            Transactions[[#This Row],[CalCashImpact]]
      ),
     0
)</f>
        <v>0</v>
      </c>
      <c r="Y449" s="113" t="str">
        <f>VLOOKUP(Transactions[[#This Row],[Symbol]],Symbols[], COLUMN(Symbols[Currency])-COLUMN(Symbols[])+1,FALSE)</f>
        <v>USD</v>
      </c>
    </row>
    <row r="450" spans="1:25">
      <c r="A450" s="100" t="s">
        <v>77</v>
      </c>
      <c r="B450" s="101">
        <v>43046</v>
      </c>
      <c r="C450" s="100" t="s">
        <v>182</v>
      </c>
      <c r="D450" s="100"/>
      <c r="E450" s="100" t="s">
        <v>7</v>
      </c>
      <c r="F450" s="102">
        <v>200</v>
      </c>
      <c r="G450" s="103">
        <v>985.32894999999996</v>
      </c>
      <c r="H450" s="102"/>
      <c r="I450" s="102"/>
      <c r="J450" s="104">
        <v>197065.79</v>
      </c>
      <c r="K450" s="6" t="s">
        <v>517</v>
      </c>
      <c r="L450" s="20">
        <f>IF(ISNA(MATCH(Transactions[[#This Row],[TransType]],TransTypes[TransType],0)),1,MATCH(Transactions[[#This Row],[TransType]],TransTypes[TransType],0))</f>
        <v>11</v>
      </c>
      <c r="M450" s="105">
        <f>IF( AND( INDEX(TransTypes[],Transactions[[#This Row],[TTR]],TT_COL_GLFlag)=1, INDEX(TransTypes[],Transactions[[#This Row],[TTR]],TT_COL_LONGORSHORT)="S" ),
      Transactions[[#This Row],[PL]],
      IF(INDEX(TransTypes[],Transactions[[#This Row],[TTR]],TT_COL_LONGORSHORT)="S",0,Transactions[[#This Row],[CalCashImpact]])
)</f>
        <v>0</v>
      </c>
      <c r="N450" s="106">
        <f>IF(VLOOKUP(Transactions[[#This Row],[Symbol]],Symbols[],COLUMN(Symbols[Currency])-COLUMN(Symbols[])+1,FALSE)=
       VLOOKUP(Transactions[[#This Row],[Account]],Accounts[],COLUMN(Accounts[Currency])-COLUMN(Accounts[])+1,FALSE),
     Transactions[[#This Row],[OrigCashImpact]],
     0
)</f>
        <v>0</v>
      </c>
      <c r="O45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5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45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450" s="41">
        <f>ROW()</f>
        <v>450</v>
      </c>
      <c r="S4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197065.79</v>
      </c>
      <c r="T4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197065.79</v>
      </c>
      <c r="U45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450" s="111">
        <f>IF(INDEX(TransTypes[],Transactions[[#This Row],[TTR]],TT_COL_GLFlag)=1,Transactions[[#This Row],[CalCashImpact]]+Transactions[[#This Row],[CostImpact]],0)</f>
        <v>0</v>
      </c>
      <c r="W450" s="112">
        <f>Transactions[[#This Row],[Amount]]*INDEX(TransTypes[],Transactions[[#This Row],[TTR]],TT_COL_AmntSign)</f>
        <v>0</v>
      </c>
      <c r="X450" s="112">
        <f>IF(INDEX(TransTypes[],Transactions[[#This Row],[TTR]],TT_COL_LONGORSHORT)="S",
      IF( OR(INDEX(TransTypes[],Transactions[[#This Row],[TTR]],TT_COL_GLFlag)=1, INDEX(TransTypes[], Transactions[[#This Row],[TTR]], TT_COL_ShareTransferFlag)=1),
            Transactions[[#This Row],[CostImpact]]*-1,
            Transactions[[#This Row],[CalCashImpact]]
      ),
     0
)</f>
        <v>0</v>
      </c>
      <c r="Y450" s="113" t="str">
        <f>VLOOKUP(Transactions[[#This Row],[Symbol]],Symbols[], COLUMN(Symbols[Currency])-COLUMN(Symbols[])+1,FALSE)</f>
        <v>USD</v>
      </c>
    </row>
    <row r="451" spans="1:25">
      <c r="A451" s="100" t="s">
        <v>77</v>
      </c>
      <c r="B451" s="101">
        <v>43046</v>
      </c>
      <c r="C451" s="100" t="s">
        <v>182</v>
      </c>
      <c r="D451" s="100"/>
      <c r="E451" s="100" t="s">
        <v>278</v>
      </c>
      <c r="F451" s="102">
        <v>200</v>
      </c>
      <c r="G451" s="103">
        <v>933.16965000000005</v>
      </c>
      <c r="H451" s="102"/>
      <c r="I451" s="102"/>
      <c r="J451" s="104">
        <v>186633.93</v>
      </c>
      <c r="K451" s="6" t="s">
        <v>518</v>
      </c>
      <c r="L451" s="20">
        <f>IF(ISNA(MATCH(Transactions[[#This Row],[TransType]],TransTypes[TransType],0)),1,MATCH(Transactions[[#This Row],[TransType]],TransTypes[TransType],0))</f>
        <v>11</v>
      </c>
      <c r="M451" s="105">
        <f>IF( AND( INDEX(TransTypes[],Transactions[[#This Row],[TTR]],TT_COL_GLFlag)=1, INDEX(TransTypes[],Transactions[[#This Row],[TTR]],TT_COL_LONGORSHORT)="S" ),
      Transactions[[#This Row],[PL]],
      IF(INDEX(TransTypes[],Transactions[[#This Row],[TTR]],TT_COL_LONGORSHORT)="S",0,Transactions[[#This Row],[CalCashImpact]])
)</f>
        <v>0</v>
      </c>
      <c r="N451" s="106">
        <f>IF(VLOOKUP(Transactions[[#This Row],[Symbol]],Symbols[],COLUMN(Symbols[Currency])-COLUMN(Symbols[])+1,FALSE)=
       VLOOKUP(Transactions[[#This Row],[Account]],Accounts[],COLUMN(Accounts[Currency])-COLUMN(Accounts[])+1,FALSE),
     Transactions[[#This Row],[OrigCashImpact]],
     0
)</f>
        <v>0</v>
      </c>
      <c r="O45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5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45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451" s="41">
        <f>ROW()</f>
        <v>451</v>
      </c>
      <c r="S4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186633.93</v>
      </c>
      <c r="T4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186633.93</v>
      </c>
      <c r="U45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451" s="111">
        <f>IF(INDEX(TransTypes[],Transactions[[#This Row],[TTR]],TT_COL_GLFlag)=1,Transactions[[#This Row],[CalCashImpact]]+Transactions[[#This Row],[CostImpact]],0)</f>
        <v>0</v>
      </c>
      <c r="W451" s="112">
        <f>Transactions[[#This Row],[Amount]]*INDEX(TransTypes[],Transactions[[#This Row],[TTR]],TT_COL_AmntSign)</f>
        <v>0</v>
      </c>
      <c r="X451" s="112">
        <f>IF(INDEX(TransTypes[],Transactions[[#This Row],[TTR]],TT_COL_LONGORSHORT)="S",
      IF( OR(INDEX(TransTypes[],Transactions[[#This Row],[TTR]],TT_COL_GLFlag)=1, INDEX(TransTypes[], Transactions[[#This Row],[TTR]], TT_COL_ShareTransferFlag)=1),
            Transactions[[#This Row],[CostImpact]]*-1,
            Transactions[[#This Row],[CalCashImpact]]
      ),
     0
)</f>
        <v>0</v>
      </c>
      <c r="Y451" s="113" t="str">
        <f>VLOOKUP(Transactions[[#This Row],[Symbol]],Symbols[], COLUMN(Symbols[Currency])-COLUMN(Symbols[])+1,FALSE)</f>
        <v>USD</v>
      </c>
    </row>
    <row r="452" spans="1:25">
      <c r="A452" s="100" t="s">
        <v>77</v>
      </c>
      <c r="B452" s="101">
        <v>43046</v>
      </c>
      <c r="C452" s="100" t="s">
        <v>182</v>
      </c>
      <c r="D452" s="100"/>
      <c r="E452" s="100" t="s">
        <v>287</v>
      </c>
      <c r="F452" s="102">
        <v>2000</v>
      </c>
      <c r="G452" s="103">
        <v>157.127555</v>
      </c>
      <c r="H452" s="102"/>
      <c r="I452" s="102"/>
      <c r="J452" s="104">
        <v>314255.11</v>
      </c>
      <c r="K452" s="6" t="s">
        <v>519</v>
      </c>
      <c r="L452" s="20">
        <f>IF(ISNA(MATCH(Transactions[[#This Row],[TransType]],TransTypes[TransType],0)),1,MATCH(Transactions[[#This Row],[TransType]],TransTypes[TransType],0))</f>
        <v>11</v>
      </c>
      <c r="M452" s="105">
        <f>IF( AND( INDEX(TransTypes[],Transactions[[#This Row],[TTR]],TT_COL_GLFlag)=1, INDEX(TransTypes[],Transactions[[#This Row],[TTR]],TT_COL_LONGORSHORT)="S" ),
      Transactions[[#This Row],[PL]],
      IF(INDEX(TransTypes[],Transactions[[#This Row],[TTR]],TT_COL_LONGORSHORT)="S",0,Transactions[[#This Row],[CalCashImpact]])
)</f>
        <v>0</v>
      </c>
      <c r="N452" s="106">
        <f>IF(VLOOKUP(Transactions[[#This Row],[Symbol]],Symbols[],COLUMN(Symbols[Currency])-COLUMN(Symbols[])+1,FALSE)=
       VLOOKUP(Transactions[[#This Row],[Account]],Accounts[],COLUMN(Accounts[Currency])-COLUMN(Accounts[])+1,FALSE),
     Transactions[[#This Row],[OrigCashImpact]],
     0
)</f>
        <v>0</v>
      </c>
      <c r="O45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5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45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452" s="41">
        <f>ROW()</f>
        <v>452</v>
      </c>
      <c r="S4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314255.11</v>
      </c>
      <c r="T4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314255.11</v>
      </c>
      <c r="U45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452" s="111">
        <f>IF(INDEX(TransTypes[],Transactions[[#This Row],[TTR]],TT_COL_GLFlag)=1,Transactions[[#This Row],[CalCashImpact]]+Transactions[[#This Row],[CostImpact]],0)</f>
        <v>0</v>
      </c>
      <c r="W452" s="112">
        <f>Transactions[[#This Row],[Amount]]*INDEX(TransTypes[],Transactions[[#This Row],[TTR]],TT_COL_AmntSign)</f>
        <v>0</v>
      </c>
      <c r="X452" s="112">
        <f>IF(INDEX(TransTypes[],Transactions[[#This Row],[TTR]],TT_COL_LONGORSHORT)="S",
      IF( OR(INDEX(TransTypes[],Transactions[[#This Row],[TTR]],TT_COL_GLFlag)=1, INDEX(TransTypes[], Transactions[[#This Row],[TTR]], TT_COL_ShareTransferFlag)=1),
            Transactions[[#This Row],[CostImpact]]*-1,
            Transactions[[#This Row],[CalCashImpact]]
      ),
     0
)</f>
        <v>0</v>
      </c>
      <c r="Y452" s="113" t="str">
        <f>VLOOKUP(Transactions[[#This Row],[Symbol]],Symbols[], COLUMN(Symbols[Currency])-COLUMN(Symbols[])+1,FALSE)</f>
        <v>USD</v>
      </c>
    </row>
    <row r="453" spans="1:25">
      <c r="A453" s="100" t="s">
        <v>77</v>
      </c>
      <c r="B453" s="101">
        <v>43046</v>
      </c>
      <c r="C453" s="100" t="s">
        <v>182</v>
      </c>
      <c r="D453" s="100"/>
      <c r="E453" s="100" t="s">
        <v>300</v>
      </c>
      <c r="F453" s="102">
        <v>3000</v>
      </c>
      <c r="G453" s="103">
        <v>24.93207</v>
      </c>
      <c r="H453" s="102"/>
      <c r="I453" s="102"/>
      <c r="J453" s="104">
        <v>74796.210000000006</v>
      </c>
      <c r="K453" s="6" t="s">
        <v>520</v>
      </c>
      <c r="L453" s="20">
        <f>IF(ISNA(MATCH(Transactions[[#This Row],[TransType]],TransTypes[TransType],0)),1,MATCH(Transactions[[#This Row],[TransType]],TransTypes[TransType],0))</f>
        <v>11</v>
      </c>
      <c r="M453" s="105">
        <f>IF( AND( INDEX(TransTypes[],Transactions[[#This Row],[TTR]],TT_COL_GLFlag)=1, INDEX(TransTypes[],Transactions[[#This Row],[TTR]],TT_COL_LONGORSHORT)="S" ),
      Transactions[[#This Row],[PL]],
      IF(INDEX(TransTypes[],Transactions[[#This Row],[TTR]],TT_COL_LONGORSHORT)="S",0,Transactions[[#This Row],[CalCashImpact]])
)</f>
        <v>0</v>
      </c>
      <c r="N453" s="106">
        <f>IF(VLOOKUP(Transactions[[#This Row],[Symbol]],Symbols[],COLUMN(Symbols[Currency])-COLUMN(Symbols[])+1,FALSE)=
       VLOOKUP(Transactions[[#This Row],[Account]],Accounts[],COLUMN(Accounts[Currency])-COLUMN(Accounts[])+1,FALSE),
     Transactions[[#This Row],[OrigCashImpact]],
     0
)</f>
        <v>0</v>
      </c>
      <c r="O45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5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45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453" s="41">
        <f>ROW()</f>
        <v>453</v>
      </c>
      <c r="S4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74796.210000000006</v>
      </c>
      <c r="T4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74796.210000000006</v>
      </c>
      <c r="U45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453" s="111">
        <f>IF(INDEX(TransTypes[],Transactions[[#This Row],[TTR]],TT_COL_GLFlag)=1,Transactions[[#This Row],[CalCashImpact]]+Transactions[[#This Row],[CostImpact]],0)</f>
        <v>0</v>
      </c>
      <c r="W453" s="112">
        <f>Transactions[[#This Row],[Amount]]*INDEX(TransTypes[],Transactions[[#This Row],[TTR]],TT_COL_AmntSign)</f>
        <v>0</v>
      </c>
      <c r="X453" s="112">
        <f>IF(INDEX(TransTypes[],Transactions[[#This Row],[TTR]],TT_COL_LONGORSHORT)="S",
      IF( OR(INDEX(TransTypes[],Transactions[[#This Row],[TTR]],TT_COL_GLFlag)=1, INDEX(TransTypes[], Transactions[[#This Row],[TTR]], TT_COL_ShareTransferFlag)=1),
            Transactions[[#This Row],[CostImpact]]*-1,
            Transactions[[#This Row],[CalCashImpact]]
      ),
     0
)</f>
        <v>0</v>
      </c>
      <c r="Y453" s="113" t="str">
        <f>VLOOKUP(Transactions[[#This Row],[Symbol]],Symbols[], COLUMN(Symbols[Currency])-COLUMN(Symbols[])+1,FALSE)</f>
        <v>USD</v>
      </c>
    </row>
    <row r="454" spans="1:25">
      <c r="A454" s="100" t="s">
        <v>77</v>
      </c>
      <c r="B454" s="101">
        <v>43046</v>
      </c>
      <c r="C454" s="100" t="s">
        <v>182</v>
      </c>
      <c r="D454" s="100"/>
      <c r="E454" s="100" t="s">
        <v>521</v>
      </c>
      <c r="F454" s="102">
        <v>200</v>
      </c>
      <c r="G454" s="103">
        <v>262.44465000000002</v>
      </c>
      <c r="H454" s="102"/>
      <c r="I454" s="102"/>
      <c r="J454" s="104">
        <v>52488.93</v>
      </c>
      <c r="K454" s="6" t="s">
        <v>522</v>
      </c>
      <c r="L454" s="20">
        <f>IF(ISNA(MATCH(Transactions[[#This Row],[TransType]],TransTypes[TransType],0)),1,MATCH(Transactions[[#This Row],[TransType]],TransTypes[TransType],0))</f>
        <v>11</v>
      </c>
      <c r="M454" s="105">
        <f>IF( AND( INDEX(TransTypes[],Transactions[[#This Row],[TTR]],TT_COL_GLFlag)=1, INDEX(TransTypes[],Transactions[[#This Row],[TTR]],TT_COL_LONGORSHORT)="S" ),
      Transactions[[#This Row],[PL]],
      IF(INDEX(TransTypes[],Transactions[[#This Row],[TTR]],TT_COL_LONGORSHORT)="S",0,Transactions[[#This Row],[CalCashImpact]])
)</f>
        <v>0</v>
      </c>
      <c r="N454" s="106">
        <f>IF(VLOOKUP(Transactions[[#This Row],[Symbol]],Symbols[],COLUMN(Symbols[Currency])-COLUMN(Symbols[])+1,FALSE)=
       VLOOKUP(Transactions[[#This Row],[Account]],Accounts[],COLUMN(Accounts[Currency])-COLUMN(Accounts[])+1,FALSE),
     Transactions[[#This Row],[OrigCashImpact]],
     0
)</f>
        <v>0</v>
      </c>
      <c r="O45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5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45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454" s="41">
        <f>ROW()</f>
        <v>454</v>
      </c>
      <c r="S4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52488.93</v>
      </c>
      <c r="T4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52488.93</v>
      </c>
      <c r="U45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454" s="111">
        <f>IF(INDEX(TransTypes[],Transactions[[#This Row],[TTR]],TT_COL_GLFlag)=1,Transactions[[#This Row],[CalCashImpact]]+Transactions[[#This Row],[CostImpact]],0)</f>
        <v>0</v>
      </c>
      <c r="W454" s="112">
        <f>Transactions[[#This Row],[Amount]]*INDEX(TransTypes[],Transactions[[#This Row],[TTR]],TT_COL_AmntSign)</f>
        <v>0</v>
      </c>
      <c r="X454" s="112">
        <f>IF(INDEX(TransTypes[],Transactions[[#This Row],[TTR]],TT_COL_LONGORSHORT)="S",
      IF( OR(INDEX(TransTypes[],Transactions[[#This Row],[TTR]],TT_COL_GLFlag)=1, INDEX(TransTypes[], Transactions[[#This Row],[TTR]], TT_COL_ShareTransferFlag)=1),
            Transactions[[#This Row],[CostImpact]]*-1,
            Transactions[[#This Row],[CalCashImpact]]
      ),
     0
)</f>
        <v>0</v>
      </c>
      <c r="Y454" s="113" t="str">
        <f>VLOOKUP(Transactions[[#This Row],[Symbol]],Symbols[], COLUMN(Symbols[Currency])-COLUMN(Symbols[])+1,FALSE)</f>
        <v>USD</v>
      </c>
    </row>
    <row r="455" spans="1:25">
      <c r="A455" s="100" t="s">
        <v>77</v>
      </c>
      <c r="B455" s="101">
        <v>43046</v>
      </c>
      <c r="C455" s="100" t="s">
        <v>182</v>
      </c>
      <c r="D455" s="100"/>
      <c r="E455" s="100" t="s">
        <v>313</v>
      </c>
      <c r="F455" s="102">
        <v>6882</v>
      </c>
      <c r="G455" s="103">
        <v>25.8077346</v>
      </c>
      <c r="H455" s="102"/>
      <c r="I455" s="102"/>
      <c r="J455" s="104">
        <v>177608.83</v>
      </c>
      <c r="K455" s="6" t="s">
        <v>523</v>
      </c>
      <c r="L455" s="20">
        <f>IF(ISNA(MATCH(Transactions[[#This Row],[TransType]],TransTypes[TransType],0)),1,MATCH(Transactions[[#This Row],[TransType]],TransTypes[TransType],0))</f>
        <v>11</v>
      </c>
      <c r="M455" s="105">
        <f>IF( AND( INDEX(TransTypes[],Transactions[[#This Row],[TTR]],TT_COL_GLFlag)=1, INDEX(TransTypes[],Transactions[[#This Row],[TTR]],TT_COL_LONGORSHORT)="S" ),
      Transactions[[#This Row],[PL]],
      IF(INDEX(TransTypes[],Transactions[[#This Row],[TTR]],TT_COL_LONGORSHORT)="S",0,Transactions[[#This Row],[CalCashImpact]])
)</f>
        <v>0</v>
      </c>
      <c r="N455" s="106">
        <f>IF(VLOOKUP(Transactions[[#This Row],[Symbol]],Symbols[],COLUMN(Symbols[Currency])-COLUMN(Symbols[])+1,FALSE)=
       VLOOKUP(Transactions[[#This Row],[Account]],Accounts[],COLUMN(Accounts[Currency])-COLUMN(Accounts[])+1,FALSE),
     Transactions[[#This Row],[OrigCashImpact]],
     0
)</f>
        <v>0</v>
      </c>
      <c r="O45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5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6882</v>
      </c>
      <c r="Q45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6882</v>
      </c>
      <c r="R455" s="41">
        <f>ROW()</f>
        <v>455</v>
      </c>
      <c r="S4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177608.83</v>
      </c>
      <c r="T4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177608.83</v>
      </c>
      <c r="U45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6882</v>
      </c>
      <c r="V455" s="111">
        <f>IF(INDEX(TransTypes[],Transactions[[#This Row],[TTR]],TT_COL_GLFlag)=1,Transactions[[#This Row],[CalCashImpact]]+Transactions[[#This Row],[CostImpact]],0)</f>
        <v>0</v>
      </c>
      <c r="W455" s="112">
        <f>Transactions[[#This Row],[Amount]]*INDEX(TransTypes[],Transactions[[#This Row],[TTR]],TT_COL_AmntSign)</f>
        <v>0</v>
      </c>
      <c r="X455" s="112">
        <f>IF(INDEX(TransTypes[],Transactions[[#This Row],[TTR]],TT_COL_LONGORSHORT)="S",
      IF( OR(INDEX(TransTypes[],Transactions[[#This Row],[TTR]],TT_COL_GLFlag)=1, INDEX(TransTypes[], Transactions[[#This Row],[TTR]], TT_COL_ShareTransferFlag)=1),
            Transactions[[#This Row],[CostImpact]]*-1,
            Transactions[[#This Row],[CalCashImpact]]
      ),
     0
)</f>
        <v>0</v>
      </c>
      <c r="Y455" s="113" t="str">
        <f>VLOOKUP(Transactions[[#This Row],[Symbol]],Symbols[], COLUMN(Symbols[Currency])-COLUMN(Symbols[])+1,FALSE)</f>
        <v>USD</v>
      </c>
    </row>
    <row r="456" spans="1:25">
      <c r="A456" s="100" t="s">
        <v>77</v>
      </c>
      <c r="B456" s="101">
        <v>43046</v>
      </c>
      <c r="C456" s="100" t="s">
        <v>182</v>
      </c>
      <c r="D456" s="100"/>
      <c r="E456" s="100" t="s">
        <v>524</v>
      </c>
      <c r="F456" s="102">
        <v>5</v>
      </c>
      <c r="G456" s="103">
        <v>114.04600000000001</v>
      </c>
      <c r="H456" s="102"/>
      <c r="I456" s="102"/>
      <c r="J456" s="104">
        <v>570.23</v>
      </c>
      <c r="K456" s="6" t="s">
        <v>525</v>
      </c>
      <c r="L456" s="20">
        <f>IF(ISNA(MATCH(Transactions[[#This Row],[TransType]],TransTypes[TransType],0)),1,MATCH(Transactions[[#This Row],[TransType]],TransTypes[TransType],0))</f>
        <v>11</v>
      </c>
      <c r="M456" s="105">
        <f>IF( AND( INDEX(TransTypes[],Transactions[[#This Row],[TTR]],TT_COL_GLFlag)=1, INDEX(TransTypes[],Transactions[[#This Row],[TTR]],TT_COL_LONGORSHORT)="S" ),
      Transactions[[#This Row],[PL]],
      IF(INDEX(TransTypes[],Transactions[[#This Row],[TTR]],TT_COL_LONGORSHORT)="S",0,Transactions[[#This Row],[CalCashImpact]])
)</f>
        <v>0</v>
      </c>
      <c r="N456" s="106">
        <f>IF(VLOOKUP(Transactions[[#This Row],[Symbol]],Symbols[],COLUMN(Symbols[Currency])-COLUMN(Symbols[])+1,FALSE)=
       VLOOKUP(Transactions[[#This Row],[Account]],Accounts[],COLUMN(Accounts[Currency])-COLUMN(Accounts[])+1,FALSE),
     Transactions[[#This Row],[OrigCashImpact]],
     0
)</f>
        <v>0</v>
      </c>
      <c r="O45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5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v>
      </c>
      <c r="Q45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v>
      </c>
      <c r="R456" s="41">
        <f>ROW()</f>
        <v>456</v>
      </c>
      <c r="S4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570.23</v>
      </c>
      <c r="T4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570.23</v>
      </c>
      <c r="U45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v>
      </c>
      <c r="V456" s="111">
        <f>IF(INDEX(TransTypes[],Transactions[[#This Row],[TTR]],TT_COL_GLFlag)=1,Transactions[[#This Row],[CalCashImpact]]+Transactions[[#This Row],[CostImpact]],0)</f>
        <v>0</v>
      </c>
      <c r="W456" s="112">
        <f>Transactions[[#This Row],[Amount]]*INDEX(TransTypes[],Transactions[[#This Row],[TTR]],TT_COL_AmntSign)</f>
        <v>0</v>
      </c>
      <c r="X456" s="112">
        <f>IF(INDEX(TransTypes[],Transactions[[#This Row],[TTR]],TT_COL_LONGORSHORT)="S",
      IF( OR(INDEX(TransTypes[],Transactions[[#This Row],[TTR]],TT_COL_GLFlag)=1, INDEX(TransTypes[], Transactions[[#This Row],[TTR]], TT_COL_ShareTransferFlag)=1),
            Transactions[[#This Row],[CostImpact]]*-1,
            Transactions[[#This Row],[CalCashImpact]]
      ),
     0
)</f>
        <v>0</v>
      </c>
      <c r="Y456" s="113" t="str">
        <f>VLOOKUP(Transactions[[#This Row],[Symbol]],Symbols[], COLUMN(Symbols[Currency])-COLUMN(Symbols[])+1,FALSE)</f>
        <v>USD</v>
      </c>
    </row>
    <row r="457" spans="1:25">
      <c r="A457" s="100" t="s">
        <v>77</v>
      </c>
      <c r="B457" s="101">
        <v>43046</v>
      </c>
      <c r="C457" s="100" t="s">
        <v>182</v>
      </c>
      <c r="D457" s="100"/>
      <c r="E457" s="100" t="s">
        <v>316</v>
      </c>
      <c r="F457" s="102">
        <v>600</v>
      </c>
      <c r="G457" s="103">
        <v>331.95043333000001</v>
      </c>
      <c r="H457" s="102"/>
      <c r="I457" s="102"/>
      <c r="J457" s="104">
        <v>199170.26</v>
      </c>
      <c r="K457" s="6" t="s">
        <v>526</v>
      </c>
      <c r="L457" s="20">
        <f>IF(ISNA(MATCH(Transactions[[#This Row],[TransType]],TransTypes[TransType],0)),1,MATCH(Transactions[[#This Row],[TransType]],TransTypes[TransType],0))</f>
        <v>11</v>
      </c>
      <c r="M457" s="105">
        <f>IF( AND( INDEX(TransTypes[],Transactions[[#This Row],[TTR]],TT_COL_GLFlag)=1, INDEX(TransTypes[],Transactions[[#This Row],[TTR]],TT_COL_LONGORSHORT)="S" ),
      Transactions[[#This Row],[PL]],
      IF(INDEX(TransTypes[],Transactions[[#This Row],[TTR]],TT_COL_LONGORSHORT)="S",0,Transactions[[#This Row],[CalCashImpact]])
)</f>
        <v>0</v>
      </c>
      <c r="N457" s="106">
        <f>IF(VLOOKUP(Transactions[[#This Row],[Symbol]],Symbols[],COLUMN(Symbols[Currency])-COLUMN(Symbols[])+1,FALSE)=
       VLOOKUP(Transactions[[#This Row],[Account]],Accounts[],COLUMN(Accounts[Currency])-COLUMN(Accounts[])+1,FALSE),
     Transactions[[#This Row],[OrigCashImpact]],
     0
)</f>
        <v>0</v>
      </c>
      <c r="O45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178011.49</v>
      </c>
      <c r="P45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v>
      </c>
      <c r="Q45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v>
      </c>
      <c r="R457" s="41">
        <f>ROW()</f>
        <v>457</v>
      </c>
      <c r="S4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199170.26</v>
      </c>
      <c r="T4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199170.26</v>
      </c>
      <c r="U45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v>
      </c>
      <c r="V457" s="111">
        <f>IF(INDEX(TransTypes[],Transactions[[#This Row],[TTR]],TT_COL_GLFlag)=1,Transactions[[#This Row],[CalCashImpact]]+Transactions[[#This Row],[CostImpact]],0)</f>
        <v>0</v>
      </c>
      <c r="W457" s="112">
        <f>Transactions[[#This Row],[Amount]]*INDEX(TransTypes[],Transactions[[#This Row],[TTR]],TT_COL_AmntSign)</f>
        <v>0</v>
      </c>
      <c r="X457" s="112">
        <f>IF(INDEX(TransTypes[],Transactions[[#This Row],[TTR]],TT_COL_LONGORSHORT)="S",
      IF( OR(INDEX(TransTypes[],Transactions[[#This Row],[TTR]],TT_COL_GLFlag)=1, INDEX(TransTypes[], Transactions[[#This Row],[TTR]], TT_COL_ShareTransferFlag)=1),
            Transactions[[#This Row],[CostImpact]]*-1,
            Transactions[[#This Row],[CalCashImpact]]
      ),
     0
)</f>
        <v>0</v>
      </c>
      <c r="Y457" s="113" t="str">
        <f>VLOOKUP(Transactions[[#This Row],[Symbol]],Symbols[], COLUMN(Symbols[Currency])-COLUMN(Symbols[])+1,FALSE)</f>
        <v>USD</v>
      </c>
    </row>
    <row r="458" spans="1:25">
      <c r="A458" s="100" t="s">
        <v>77</v>
      </c>
      <c r="B458" s="101">
        <v>43046</v>
      </c>
      <c r="C458" s="100" t="s">
        <v>115</v>
      </c>
      <c r="D458" s="100"/>
      <c r="E458" s="100" t="s">
        <v>524</v>
      </c>
      <c r="F458" s="102">
        <v>5</v>
      </c>
      <c r="G458" s="103">
        <v>102.90600000000001</v>
      </c>
      <c r="H458" s="102">
        <v>9.99</v>
      </c>
      <c r="I458" s="102"/>
      <c r="J458" s="104">
        <v>504.54</v>
      </c>
      <c r="K458" s="6" t="s">
        <v>527</v>
      </c>
      <c r="L458" s="20">
        <f>IF(ISNA(MATCH(Transactions[[#This Row],[TransType]],TransTypes[TransType],0)),1,MATCH(Transactions[[#This Row],[TransType]],TransTypes[TransType],0))</f>
        <v>3</v>
      </c>
      <c r="M458" s="105">
        <f>IF( AND( INDEX(TransTypes[],Transactions[[#This Row],[TTR]],TT_COL_GLFlag)=1, INDEX(TransTypes[],Transactions[[#This Row],[TTR]],TT_COL_LONGORSHORT)="S" ),
      Transactions[[#This Row],[PL]],
      IF(INDEX(TransTypes[],Transactions[[#This Row],[TTR]],TT_COL_LONGORSHORT)="S",0,Transactions[[#This Row],[CalCashImpact]])
)</f>
        <v>504.54</v>
      </c>
      <c r="N458" s="106">
        <f>IF(VLOOKUP(Transactions[[#This Row],[Symbol]],Symbols[],COLUMN(Symbols[Currency])-COLUMN(Symbols[])+1,FALSE)=
       VLOOKUP(Transactions[[#This Row],[Account]],Accounts[],COLUMN(Accounts[Currency])-COLUMN(Accounts[])+1,FALSE),
     Transactions[[#This Row],[OrigCashImpact]],
     0
)</f>
        <v>504.54</v>
      </c>
      <c r="O45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178516.03</v>
      </c>
      <c r="P45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v>
      </c>
      <c r="Q45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58" s="41">
        <f>ROW()</f>
        <v>458</v>
      </c>
      <c r="S4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-570.23</v>
      </c>
      <c r="T4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5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v>
      </c>
      <c r="V458" s="111">
        <f>IF(INDEX(TransTypes[],Transactions[[#This Row],[TTR]],TT_COL_GLFlag)=1,Transactions[[#This Row],[CalCashImpact]]+Transactions[[#This Row],[CostImpact]],0)</f>
        <v>-65.69</v>
      </c>
      <c r="W458" s="112">
        <f>Transactions[[#This Row],[Amount]]*INDEX(TransTypes[],Transactions[[#This Row],[TTR]],TT_COL_AmntSign)</f>
        <v>504.54</v>
      </c>
      <c r="X458" s="112">
        <f>IF(INDEX(TransTypes[],Transactions[[#This Row],[TTR]],TT_COL_LONGORSHORT)="S",
      IF( OR(INDEX(TransTypes[],Transactions[[#This Row],[TTR]],TT_COL_GLFlag)=1, INDEX(TransTypes[], Transactions[[#This Row],[TTR]], TT_COL_ShareTransferFlag)=1),
            Transactions[[#This Row],[CostImpact]]*-1,
            Transactions[[#This Row],[CalCashImpact]]
      ),
     0
)</f>
        <v>0</v>
      </c>
      <c r="Y458" s="113" t="str">
        <f>VLOOKUP(Transactions[[#This Row],[Symbol]],Symbols[], COLUMN(Symbols[Currency])-COLUMN(Symbols[])+1,FALSE)</f>
        <v>USD</v>
      </c>
    </row>
    <row r="459" spans="1:25">
      <c r="A459" s="100" t="s">
        <v>77</v>
      </c>
      <c r="B459" s="101">
        <v>43046</v>
      </c>
      <c r="C459" s="100" t="s">
        <v>118</v>
      </c>
      <c r="D459" s="100"/>
      <c r="E459" s="100" t="s">
        <v>20</v>
      </c>
      <c r="F459" s="102"/>
      <c r="G459" s="103"/>
      <c r="H459" s="102"/>
      <c r="I459" s="102"/>
      <c r="J459" s="104">
        <v>1054.4000000000001</v>
      </c>
      <c r="K459" s="6" t="s">
        <v>528</v>
      </c>
      <c r="L459" s="20">
        <f>IF(ISNA(MATCH(Transactions[[#This Row],[TransType]],TransTypes[TransType],0)),1,MATCH(Transactions[[#This Row],[TransType]],TransTypes[TransType],0))</f>
        <v>4</v>
      </c>
      <c r="M459" s="105">
        <f>IF( AND( INDEX(TransTypes[],Transactions[[#This Row],[TTR]],TT_COL_GLFlag)=1, INDEX(TransTypes[],Transactions[[#This Row],[TTR]],TT_COL_LONGORSHORT)="S" ),
      Transactions[[#This Row],[PL]],
      IF(INDEX(TransTypes[],Transactions[[#This Row],[TTR]],TT_COL_LONGORSHORT)="S",0,Transactions[[#This Row],[CalCashImpact]])
)</f>
        <v>1054.4000000000001</v>
      </c>
      <c r="N459" s="106">
        <f>IF(VLOOKUP(Transactions[[#This Row],[Symbol]],Symbols[],COLUMN(Symbols[Currency])-COLUMN(Symbols[])+1,FALSE)=
       VLOOKUP(Transactions[[#This Row],[Account]],Accounts[],COLUMN(Accounts[Currency])-COLUMN(Accounts[])+1,FALSE),
     Transactions[[#This Row],[OrigCashImpact]],
     0
)</f>
        <v>1054.4000000000001</v>
      </c>
      <c r="O45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179570.43</v>
      </c>
      <c r="P45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5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4008</v>
      </c>
      <c r="R459" s="41">
        <f>ROW()</f>
        <v>459</v>
      </c>
      <c r="S4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496345.81099999999</v>
      </c>
      <c r="U45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4008</v>
      </c>
      <c r="V459" s="111">
        <f>IF(INDEX(TransTypes[],Transactions[[#This Row],[TTR]],TT_COL_GLFlag)=1,Transactions[[#This Row],[CalCashImpact]]+Transactions[[#This Row],[CostImpact]],0)</f>
        <v>0</v>
      </c>
      <c r="W459" s="112">
        <f>Transactions[[#This Row],[Amount]]*INDEX(TransTypes[],Transactions[[#This Row],[TTR]],TT_COL_AmntSign)</f>
        <v>1054.4000000000001</v>
      </c>
      <c r="X459" s="112">
        <f>IF(INDEX(TransTypes[],Transactions[[#This Row],[TTR]],TT_COL_LONGORSHORT)="S",
      IF( OR(INDEX(TransTypes[],Transactions[[#This Row],[TTR]],TT_COL_GLFlag)=1, INDEX(TransTypes[], Transactions[[#This Row],[TTR]], TT_COL_ShareTransferFlag)=1),
            Transactions[[#This Row],[CostImpact]]*-1,
            Transactions[[#This Row],[CalCashImpact]]
      ),
     0
)</f>
        <v>0</v>
      </c>
      <c r="Y459" s="113" t="str">
        <f>VLOOKUP(Transactions[[#This Row],[Symbol]],Symbols[], COLUMN(Symbols[Currency])-COLUMN(Symbols[])+1,FALSE)</f>
        <v>USD</v>
      </c>
    </row>
    <row r="460" spans="1:25">
      <c r="A460" s="100" t="s">
        <v>77</v>
      </c>
      <c r="B460" s="101">
        <v>43046</v>
      </c>
      <c r="C460" s="100" t="s">
        <v>123</v>
      </c>
      <c r="D460" s="100"/>
      <c r="E460" s="100" t="s">
        <v>20</v>
      </c>
      <c r="F460" s="102"/>
      <c r="G460" s="103"/>
      <c r="H460" s="102"/>
      <c r="I460" s="102"/>
      <c r="J460" s="104">
        <v>158.16</v>
      </c>
      <c r="K460" s="6" t="s">
        <v>529</v>
      </c>
      <c r="L460" s="20">
        <f>IF(ISNA(MATCH(Transactions[[#This Row],[TransType]],TransTypes[TransType],0)),1,MATCH(Transactions[[#This Row],[TransType]],TransTypes[TransType],0))</f>
        <v>7</v>
      </c>
      <c r="M460" s="105">
        <f>IF( AND( INDEX(TransTypes[],Transactions[[#This Row],[TTR]],TT_COL_GLFlag)=1, INDEX(TransTypes[],Transactions[[#This Row],[TTR]],TT_COL_LONGORSHORT)="S" ),
      Transactions[[#This Row],[PL]],
      IF(INDEX(TransTypes[],Transactions[[#This Row],[TTR]],TT_COL_LONGORSHORT)="S",0,Transactions[[#This Row],[CalCashImpact]])
)</f>
        <v>-158.16</v>
      </c>
      <c r="N460" s="106">
        <f>IF(VLOOKUP(Transactions[[#This Row],[Symbol]],Symbols[],COLUMN(Symbols[Currency])-COLUMN(Symbols[])+1,FALSE)=
       VLOOKUP(Transactions[[#This Row],[Account]],Accounts[],COLUMN(Accounts[Currency])-COLUMN(Accounts[])+1,FALSE),
     Transactions[[#This Row],[OrigCashImpact]],
     0
)</f>
        <v>-158.16</v>
      </c>
      <c r="O46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179412.27</v>
      </c>
      <c r="P46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6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4008</v>
      </c>
      <c r="R460" s="41">
        <f>ROW()</f>
        <v>460</v>
      </c>
      <c r="S4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496345.81099999999</v>
      </c>
      <c r="U46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4008</v>
      </c>
      <c r="V460" s="111">
        <f>IF(INDEX(TransTypes[],Transactions[[#This Row],[TTR]],TT_COL_GLFlag)=1,Transactions[[#This Row],[CalCashImpact]]+Transactions[[#This Row],[CostImpact]],0)</f>
        <v>0</v>
      </c>
      <c r="W460" s="112">
        <f>Transactions[[#This Row],[Amount]]*INDEX(TransTypes[],Transactions[[#This Row],[TTR]],TT_COL_AmntSign)</f>
        <v>-158.16</v>
      </c>
      <c r="X460" s="112">
        <f>IF(INDEX(TransTypes[],Transactions[[#This Row],[TTR]],TT_COL_LONGORSHORT)="S",
      IF( OR(INDEX(TransTypes[],Transactions[[#This Row],[TTR]],TT_COL_GLFlag)=1, INDEX(TransTypes[], Transactions[[#This Row],[TTR]], TT_COL_ShareTransferFlag)=1),
            Transactions[[#This Row],[CostImpact]]*-1,
            Transactions[[#This Row],[CalCashImpact]]
      ),
     0
)</f>
        <v>0</v>
      </c>
      <c r="Y460" s="113" t="str">
        <f>VLOOKUP(Transactions[[#This Row],[Symbol]],Symbols[], COLUMN(Symbols[Currency])-COLUMN(Symbols[])+1,FALSE)</f>
        <v>USD</v>
      </c>
    </row>
    <row r="461" spans="1:25">
      <c r="A461" s="100" t="s">
        <v>77</v>
      </c>
      <c r="B461" s="101">
        <v>43046</v>
      </c>
      <c r="C461" s="100" t="s">
        <v>121</v>
      </c>
      <c r="D461" s="100"/>
      <c r="E461" s="100" t="s">
        <v>208</v>
      </c>
      <c r="F461" s="102"/>
      <c r="G461" s="103"/>
      <c r="H461" s="102"/>
      <c r="I461" s="102"/>
      <c r="J461" s="104">
        <v>0.02</v>
      </c>
      <c r="K461" s="6" t="s">
        <v>530</v>
      </c>
      <c r="L461" s="20">
        <f>IF(ISNA(MATCH(Transactions[[#This Row],[TransType]],TransTypes[TransType],0)),1,MATCH(Transactions[[#This Row],[TransType]],TransTypes[TransType],0))</f>
        <v>6</v>
      </c>
      <c r="M461" s="105">
        <f>IF( AND( INDEX(TransTypes[],Transactions[[#This Row],[TTR]],TT_COL_GLFlag)=1, INDEX(TransTypes[],Transactions[[#This Row],[TTR]],TT_COL_LONGORSHORT)="S" ),
      Transactions[[#This Row],[PL]],
      IF(INDEX(TransTypes[],Transactions[[#This Row],[TTR]],TT_COL_LONGORSHORT)="S",0,Transactions[[#This Row],[CalCashImpact]])
)</f>
        <v>-0.02</v>
      </c>
      <c r="N461" s="106">
        <f>IF(VLOOKUP(Transactions[[#This Row],[Symbol]],Symbols[],COLUMN(Symbols[Currency])-COLUMN(Symbols[])+1,FALSE)=
       VLOOKUP(Transactions[[#This Row],[Account]],Accounts[],COLUMN(Accounts[Currency])-COLUMN(Accounts[])+1,FALSE),
     Transactions[[#This Row],[OrigCashImpact]],
     0
)</f>
        <v>-0.02</v>
      </c>
      <c r="O46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179412.25</v>
      </c>
      <c r="P46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6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61" s="41">
        <f>ROW()</f>
        <v>461</v>
      </c>
      <c r="S4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6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61" s="111">
        <f>IF(INDEX(TransTypes[],Transactions[[#This Row],[TTR]],TT_COL_GLFlag)=1,Transactions[[#This Row],[CalCashImpact]]+Transactions[[#This Row],[CostImpact]],0)</f>
        <v>0</v>
      </c>
      <c r="W461" s="112">
        <f>Transactions[[#This Row],[Amount]]*INDEX(TransTypes[],Transactions[[#This Row],[TTR]],TT_COL_AmntSign)</f>
        <v>-0.02</v>
      </c>
      <c r="X461" s="112">
        <f>IF(INDEX(TransTypes[],Transactions[[#This Row],[TTR]],TT_COL_LONGORSHORT)="S",
      IF( OR(INDEX(TransTypes[],Transactions[[#This Row],[TTR]],TT_COL_GLFlag)=1, INDEX(TransTypes[], Transactions[[#This Row],[TTR]], TT_COL_ShareTransferFlag)=1),
            Transactions[[#This Row],[CostImpact]]*-1,
            Transactions[[#This Row],[CalCashImpact]]
      ),
     0
)</f>
        <v>0</v>
      </c>
      <c r="Y461" s="113" t="str">
        <f>VLOOKUP(Transactions[[#This Row],[Symbol]],Symbols[], COLUMN(Symbols[Currency])-COLUMN(Symbols[])+1,FALSE)</f>
        <v>USD</v>
      </c>
    </row>
    <row r="462" spans="1:25">
      <c r="A462" s="100" t="s">
        <v>77</v>
      </c>
      <c r="B462" s="101">
        <v>43047</v>
      </c>
      <c r="C462" s="100" t="s">
        <v>113</v>
      </c>
      <c r="D462" s="100" t="s">
        <v>531</v>
      </c>
      <c r="E462" s="100" t="s">
        <v>20</v>
      </c>
      <c r="F462" s="102">
        <v>7</v>
      </c>
      <c r="G462" s="103">
        <v>126.21</v>
      </c>
      <c r="H462" s="102"/>
      <c r="I462" s="102"/>
      <c r="J462" s="104">
        <v>883.47</v>
      </c>
      <c r="K462" s="6" t="s">
        <v>532</v>
      </c>
      <c r="L462" s="20">
        <f>IF(ISNA(MATCH(Transactions[[#This Row],[TransType]],TransTypes[TransType],0)),1,MATCH(Transactions[[#This Row],[TransType]],TransTypes[TransType],0))</f>
        <v>2</v>
      </c>
      <c r="M462" s="105">
        <f>IF( AND( INDEX(TransTypes[],Transactions[[#This Row],[TTR]],TT_COL_GLFlag)=1, INDEX(TransTypes[],Transactions[[#This Row],[TTR]],TT_COL_LONGORSHORT)="S" ),
      Transactions[[#This Row],[PL]],
      IF(INDEX(TransTypes[],Transactions[[#This Row],[TTR]],TT_COL_LONGORSHORT)="S",0,Transactions[[#This Row],[CalCashImpact]])
)</f>
        <v>-883.47</v>
      </c>
      <c r="N462" s="106">
        <f>IF(VLOOKUP(Transactions[[#This Row],[Symbol]],Symbols[],COLUMN(Symbols[Currency])-COLUMN(Symbols[])+1,FALSE)=
       VLOOKUP(Transactions[[#This Row],[Account]],Accounts[],COLUMN(Accounts[Currency])-COLUMN(Accounts[])+1,FALSE),
     Transactions[[#This Row],[OrigCashImpact]],
     0
)</f>
        <v>-883.47</v>
      </c>
      <c r="O46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178528.78</v>
      </c>
      <c r="P46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v>
      </c>
      <c r="Q46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4015</v>
      </c>
      <c r="R462" s="41">
        <f>ROW()</f>
        <v>462</v>
      </c>
      <c r="S4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883.47</v>
      </c>
      <c r="T4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497229.28099999996</v>
      </c>
      <c r="U46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4015</v>
      </c>
      <c r="V462" s="111">
        <f>IF(INDEX(TransTypes[],Transactions[[#This Row],[TTR]],TT_COL_GLFlag)=1,Transactions[[#This Row],[CalCashImpact]]+Transactions[[#This Row],[CostImpact]],0)</f>
        <v>0</v>
      </c>
      <c r="W462" s="112">
        <f>Transactions[[#This Row],[Amount]]*INDEX(TransTypes[],Transactions[[#This Row],[TTR]],TT_COL_AmntSign)</f>
        <v>-883.47</v>
      </c>
      <c r="X462" s="112">
        <f>IF(INDEX(TransTypes[],Transactions[[#This Row],[TTR]],TT_COL_LONGORSHORT)="S",
      IF( OR(INDEX(TransTypes[],Transactions[[#This Row],[TTR]],TT_COL_GLFlag)=1, INDEX(TransTypes[], Transactions[[#This Row],[TTR]], TT_COL_ShareTransferFlag)=1),
            Transactions[[#This Row],[CostImpact]]*-1,
            Transactions[[#This Row],[CalCashImpact]]
      ),
     0
)</f>
        <v>0</v>
      </c>
      <c r="Y462" s="113" t="str">
        <f>VLOOKUP(Transactions[[#This Row],[Symbol]],Symbols[], COLUMN(Symbols[Currency])-COLUMN(Symbols[])+1,FALSE)</f>
        <v>USD</v>
      </c>
    </row>
    <row r="463" spans="1:25">
      <c r="A463" s="100" t="s">
        <v>77</v>
      </c>
      <c r="B463" s="101">
        <v>43047</v>
      </c>
      <c r="C463" s="100" t="s">
        <v>119</v>
      </c>
      <c r="D463" s="100"/>
      <c r="E463" s="100" t="s">
        <v>208</v>
      </c>
      <c r="F463" s="102"/>
      <c r="G463" s="103"/>
      <c r="H463" s="102"/>
      <c r="I463" s="102"/>
      <c r="J463" s="104">
        <v>170000</v>
      </c>
      <c r="K463" s="6" t="s">
        <v>533</v>
      </c>
      <c r="L463" s="20">
        <f>IF(ISNA(MATCH(Transactions[[#This Row],[TransType]],TransTypes[TransType],0)),1,MATCH(Transactions[[#This Row],[TransType]],TransTypes[TransType],0))</f>
        <v>5</v>
      </c>
      <c r="M463" s="105">
        <f>IF( AND( INDEX(TransTypes[],Transactions[[#This Row],[TTR]],TT_COL_GLFlag)=1, INDEX(TransTypes[],Transactions[[#This Row],[TTR]],TT_COL_LONGORSHORT)="S" ),
      Transactions[[#This Row],[PL]],
      IF(INDEX(TransTypes[],Transactions[[#This Row],[TTR]],TT_COL_LONGORSHORT)="S",0,Transactions[[#This Row],[CalCashImpact]])
)</f>
        <v>-170000</v>
      </c>
      <c r="N463" s="106">
        <f>IF(VLOOKUP(Transactions[[#This Row],[Symbol]],Symbols[],COLUMN(Symbols[Currency])-COLUMN(Symbols[])+1,FALSE)=
       VLOOKUP(Transactions[[#This Row],[Account]],Accounts[],COLUMN(Accounts[Currency])-COLUMN(Accounts[])+1,FALSE),
     Transactions[[#This Row],[OrigCashImpact]],
     0
)</f>
        <v>-170000</v>
      </c>
      <c r="O46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8528.7799999999988</v>
      </c>
      <c r="P46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6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63" s="41">
        <f>ROW()</f>
        <v>463</v>
      </c>
      <c r="S4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6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63" s="111">
        <f>IF(INDEX(TransTypes[],Transactions[[#This Row],[TTR]],TT_COL_GLFlag)=1,Transactions[[#This Row],[CalCashImpact]]+Transactions[[#This Row],[CostImpact]],0)</f>
        <v>0</v>
      </c>
      <c r="W463" s="112">
        <f>Transactions[[#This Row],[Amount]]*INDEX(TransTypes[],Transactions[[#This Row],[TTR]],TT_COL_AmntSign)</f>
        <v>-170000</v>
      </c>
      <c r="X463" s="112">
        <f>IF(INDEX(TransTypes[],Transactions[[#This Row],[TTR]],TT_COL_LONGORSHORT)="S",
      IF( OR(INDEX(TransTypes[],Transactions[[#This Row],[TTR]],TT_COL_GLFlag)=1, INDEX(TransTypes[], Transactions[[#This Row],[TTR]], TT_COL_ShareTransferFlag)=1),
            Transactions[[#This Row],[CostImpact]]*-1,
            Transactions[[#This Row],[CalCashImpact]]
      ),
     0
)</f>
        <v>0</v>
      </c>
      <c r="Y463" s="113" t="str">
        <f>VLOOKUP(Transactions[[#This Row],[Symbol]],Symbols[], COLUMN(Symbols[Currency])-COLUMN(Symbols[])+1,FALSE)</f>
        <v>USD</v>
      </c>
    </row>
    <row r="464" spans="1:25">
      <c r="A464" s="100" t="s">
        <v>77</v>
      </c>
      <c r="B464" s="101">
        <v>43047</v>
      </c>
      <c r="C464" s="100" t="s">
        <v>115</v>
      </c>
      <c r="D464" s="100"/>
      <c r="E464" s="100" t="s">
        <v>300</v>
      </c>
      <c r="F464" s="102">
        <v>3000</v>
      </c>
      <c r="G464" s="103">
        <v>27.112693333333301</v>
      </c>
      <c r="H464" s="102">
        <v>9.99</v>
      </c>
      <c r="I464" s="102"/>
      <c r="J464" s="104">
        <v>81328.09</v>
      </c>
      <c r="K464" s="6" t="s">
        <v>534</v>
      </c>
      <c r="L464" s="20">
        <f>IF(ISNA(MATCH(Transactions[[#This Row],[TransType]],TransTypes[TransType],0)),1,MATCH(Transactions[[#This Row],[TransType]],TransTypes[TransType],0))</f>
        <v>3</v>
      </c>
      <c r="M464" s="105">
        <f>IF( AND( INDEX(TransTypes[],Transactions[[#This Row],[TTR]],TT_COL_GLFlag)=1, INDEX(TransTypes[],Transactions[[#This Row],[TTR]],TT_COL_LONGORSHORT)="S" ),
      Transactions[[#This Row],[PL]],
      IF(INDEX(TransTypes[],Transactions[[#This Row],[TTR]],TT_COL_LONGORSHORT)="S",0,Transactions[[#This Row],[CalCashImpact]])
)</f>
        <v>81328.09</v>
      </c>
      <c r="N464" s="106">
        <f>IF(VLOOKUP(Transactions[[#This Row],[Symbol]],Symbols[],COLUMN(Symbols[Currency])-COLUMN(Symbols[])+1,FALSE)=
       VLOOKUP(Transactions[[#This Row],[Account]],Accounts[],COLUMN(Accounts[Currency])-COLUMN(Accounts[])+1,FALSE),
     Transactions[[#This Row],[OrigCashImpact]],
     0
)</f>
        <v>81328.09</v>
      </c>
      <c r="O46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89856.87</v>
      </c>
      <c r="P46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46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64" s="41">
        <f>ROW()</f>
        <v>464</v>
      </c>
      <c r="S4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-74796.210000000006</v>
      </c>
      <c r="T4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6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464" s="111">
        <f>IF(INDEX(TransTypes[],Transactions[[#This Row],[TTR]],TT_COL_GLFlag)=1,Transactions[[#This Row],[CalCashImpact]]+Transactions[[#This Row],[CostImpact]],0)</f>
        <v>6531.8799999999901</v>
      </c>
      <c r="W464" s="112">
        <f>Transactions[[#This Row],[Amount]]*INDEX(TransTypes[],Transactions[[#This Row],[TTR]],TT_COL_AmntSign)</f>
        <v>81328.09</v>
      </c>
      <c r="X464" s="112">
        <f>IF(INDEX(TransTypes[],Transactions[[#This Row],[TTR]],TT_COL_LONGORSHORT)="S",
      IF( OR(INDEX(TransTypes[],Transactions[[#This Row],[TTR]],TT_COL_GLFlag)=1, INDEX(TransTypes[], Transactions[[#This Row],[TTR]], TT_COL_ShareTransferFlag)=1),
            Transactions[[#This Row],[CostImpact]]*-1,
            Transactions[[#This Row],[CalCashImpact]]
      ),
     0
)</f>
        <v>0</v>
      </c>
      <c r="Y464" s="113" t="str">
        <f>VLOOKUP(Transactions[[#This Row],[Symbol]],Symbols[], COLUMN(Symbols[Currency])-COLUMN(Symbols[])+1,FALSE)</f>
        <v>USD</v>
      </c>
    </row>
    <row r="465" spans="1:25">
      <c r="A465" s="100" t="s">
        <v>77</v>
      </c>
      <c r="B465" s="101">
        <v>43047</v>
      </c>
      <c r="C465" s="100" t="s">
        <v>115</v>
      </c>
      <c r="D465" s="100"/>
      <c r="E465" s="100" t="s">
        <v>313</v>
      </c>
      <c r="F465" s="102">
        <v>6882</v>
      </c>
      <c r="G465" s="103">
        <v>26.460650973554099</v>
      </c>
      <c r="H465" s="102">
        <v>9.99</v>
      </c>
      <c r="I465" s="102"/>
      <c r="J465" s="104">
        <v>182092.21</v>
      </c>
      <c r="K465" s="6" t="s">
        <v>535</v>
      </c>
      <c r="L465" s="20">
        <f>IF(ISNA(MATCH(Transactions[[#This Row],[TransType]],TransTypes[TransType],0)),1,MATCH(Transactions[[#This Row],[TransType]],TransTypes[TransType],0))</f>
        <v>3</v>
      </c>
      <c r="M465" s="105">
        <f>IF( AND( INDEX(TransTypes[],Transactions[[#This Row],[TTR]],TT_COL_GLFlag)=1, INDEX(TransTypes[],Transactions[[#This Row],[TTR]],TT_COL_LONGORSHORT)="S" ),
      Transactions[[#This Row],[PL]],
      IF(INDEX(TransTypes[],Transactions[[#This Row],[TTR]],TT_COL_LONGORSHORT)="S",0,Transactions[[#This Row],[CalCashImpact]])
)</f>
        <v>182092.21</v>
      </c>
      <c r="N465" s="106">
        <f>IF(VLOOKUP(Transactions[[#This Row],[Symbol]],Symbols[],COLUMN(Symbols[Currency])-COLUMN(Symbols[])+1,FALSE)=
       VLOOKUP(Transactions[[#This Row],[Account]],Accounts[],COLUMN(Accounts[Currency])-COLUMN(Accounts[])+1,FALSE),
     Transactions[[#This Row],[OrigCashImpact]],
     0
)</f>
        <v>182092.21</v>
      </c>
      <c r="O46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271949.07999999996</v>
      </c>
      <c r="P46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-6882</v>
      </c>
      <c r="Q46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65" s="41">
        <f>ROW()</f>
        <v>465</v>
      </c>
      <c r="S4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-177608.83</v>
      </c>
      <c r="T4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6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6882</v>
      </c>
      <c r="V465" s="111">
        <f>IF(INDEX(TransTypes[],Transactions[[#This Row],[TTR]],TT_COL_GLFlag)=1,Transactions[[#This Row],[CalCashImpact]]+Transactions[[#This Row],[CostImpact]],0)</f>
        <v>4483.3800000000047</v>
      </c>
      <c r="W465" s="112">
        <f>Transactions[[#This Row],[Amount]]*INDEX(TransTypes[],Transactions[[#This Row],[TTR]],TT_COL_AmntSign)</f>
        <v>182092.21</v>
      </c>
      <c r="X465" s="112">
        <f>IF(INDEX(TransTypes[],Transactions[[#This Row],[TTR]],TT_COL_LONGORSHORT)="S",
      IF( OR(INDEX(TransTypes[],Transactions[[#This Row],[TTR]],TT_COL_GLFlag)=1, INDEX(TransTypes[], Transactions[[#This Row],[TTR]], TT_COL_ShareTransferFlag)=1),
            Transactions[[#This Row],[CostImpact]]*-1,
            Transactions[[#This Row],[CalCashImpact]]
      ),
     0
)</f>
        <v>0</v>
      </c>
      <c r="Y465" s="113" t="str">
        <f>VLOOKUP(Transactions[[#This Row],[Symbol]],Symbols[], COLUMN(Symbols[Currency])-COLUMN(Symbols[])+1,FALSE)</f>
        <v>USD</v>
      </c>
    </row>
    <row r="466" spans="1:25">
      <c r="A466" s="100" t="s">
        <v>77</v>
      </c>
      <c r="B466" s="101">
        <v>43047</v>
      </c>
      <c r="C466" s="100" t="s">
        <v>115</v>
      </c>
      <c r="D466" s="100"/>
      <c r="E466" s="100" t="s">
        <v>278</v>
      </c>
      <c r="F466" s="102">
        <v>200</v>
      </c>
      <c r="G466" s="103">
        <v>1128.175</v>
      </c>
      <c r="H466" s="102">
        <v>9.99</v>
      </c>
      <c r="I466" s="102"/>
      <c r="J466" s="104">
        <v>225625.01</v>
      </c>
      <c r="K466" s="6" t="s">
        <v>536</v>
      </c>
      <c r="L466" s="20">
        <f>IF(ISNA(MATCH(Transactions[[#This Row],[TransType]],TransTypes[TransType],0)),1,MATCH(Transactions[[#This Row],[TransType]],TransTypes[TransType],0))</f>
        <v>3</v>
      </c>
      <c r="M466" s="105">
        <f>IF( AND( INDEX(TransTypes[],Transactions[[#This Row],[TTR]],TT_COL_GLFlag)=1, INDEX(TransTypes[],Transactions[[#This Row],[TTR]],TT_COL_LONGORSHORT)="S" ),
      Transactions[[#This Row],[PL]],
      IF(INDEX(TransTypes[],Transactions[[#This Row],[TTR]],TT_COL_LONGORSHORT)="S",0,Transactions[[#This Row],[CalCashImpact]])
)</f>
        <v>225625.01</v>
      </c>
      <c r="N466" s="106">
        <f>IF(VLOOKUP(Transactions[[#This Row],[Symbol]],Symbols[],COLUMN(Symbols[Currency])-COLUMN(Symbols[])+1,FALSE)=
       VLOOKUP(Transactions[[#This Row],[Account]],Accounts[],COLUMN(Accounts[Currency])-COLUMN(Accounts[])+1,FALSE),
     Transactions[[#This Row],[OrigCashImpact]],
     0
)</f>
        <v>225625.01</v>
      </c>
      <c r="O46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497574.08999999997</v>
      </c>
      <c r="P46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46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66" s="41">
        <f>ROW()</f>
        <v>466</v>
      </c>
      <c r="S4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-186633.93</v>
      </c>
      <c r="T4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6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466" s="111">
        <f>IF(INDEX(TransTypes[],Transactions[[#This Row],[TTR]],TT_COL_GLFlag)=1,Transactions[[#This Row],[CalCashImpact]]+Transactions[[#This Row],[CostImpact]],0)</f>
        <v>38991.080000000016</v>
      </c>
      <c r="W466" s="112">
        <f>Transactions[[#This Row],[Amount]]*INDEX(TransTypes[],Transactions[[#This Row],[TTR]],TT_COL_AmntSign)</f>
        <v>225625.01</v>
      </c>
      <c r="X466" s="112">
        <f>IF(INDEX(TransTypes[],Transactions[[#This Row],[TTR]],TT_COL_LONGORSHORT)="S",
      IF( OR(INDEX(TransTypes[],Transactions[[#This Row],[TTR]],TT_COL_GLFlag)=1, INDEX(TransTypes[], Transactions[[#This Row],[TTR]], TT_COL_ShareTransferFlag)=1),
            Transactions[[#This Row],[CostImpact]]*-1,
            Transactions[[#This Row],[CalCashImpact]]
      ),
     0
)</f>
        <v>0</v>
      </c>
      <c r="Y466" s="113" t="str">
        <f>VLOOKUP(Transactions[[#This Row],[Symbol]],Symbols[], COLUMN(Symbols[Currency])-COLUMN(Symbols[])+1,FALSE)</f>
        <v>USD</v>
      </c>
    </row>
    <row r="467" spans="1:25">
      <c r="A467" s="100" t="s">
        <v>77</v>
      </c>
      <c r="B467" s="101">
        <v>43047</v>
      </c>
      <c r="C467" s="100" t="s">
        <v>115</v>
      </c>
      <c r="D467" s="100"/>
      <c r="E467" s="100" t="s">
        <v>316</v>
      </c>
      <c r="F467" s="102">
        <v>600</v>
      </c>
      <c r="G467" s="103">
        <v>302.5</v>
      </c>
      <c r="H467" s="102">
        <v>9.99</v>
      </c>
      <c r="I467" s="102"/>
      <c r="J467" s="104">
        <v>181490.01</v>
      </c>
      <c r="K467" s="6" t="s">
        <v>537</v>
      </c>
      <c r="L467" s="20">
        <f>IF(ISNA(MATCH(Transactions[[#This Row],[TransType]],TransTypes[TransType],0)),1,MATCH(Transactions[[#This Row],[TransType]],TransTypes[TransType],0))</f>
        <v>3</v>
      </c>
      <c r="M467" s="105">
        <f>IF( AND( INDEX(TransTypes[],Transactions[[#This Row],[TTR]],TT_COL_GLFlag)=1, INDEX(TransTypes[],Transactions[[#This Row],[TTR]],TT_COL_LONGORSHORT)="S" ),
      Transactions[[#This Row],[PL]],
      IF(INDEX(TransTypes[],Transactions[[#This Row],[TTR]],TT_COL_LONGORSHORT)="S",0,Transactions[[#This Row],[CalCashImpact]])
)</f>
        <v>181490.01</v>
      </c>
      <c r="N467" s="106">
        <f>IF(VLOOKUP(Transactions[[#This Row],[Symbol]],Symbols[],COLUMN(Symbols[Currency])-COLUMN(Symbols[])+1,FALSE)=
       VLOOKUP(Transactions[[#This Row],[Account]],Accounts[],COLUMN(Accounts[Currency])-COLUMN(Accounts[])+1,FALSE),
     Transactions[[#This Row],[OrigCashImpact]],
     0
)</f>
        <v>181490.01</v>
      </c>
      <c r="O46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679064.1</v>
      </c>
      <c r="P46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v>
      </c>
      <c r="Q46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67" s="41">
        <f>ROW()</f>
        <v>467</v>
      </c>
      <c r="S4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-199170.26</v>
      </c>
      <c r="T4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6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v>
      </c>
      <c r="V467" s="111">
        <f>IF(INDEX(TransTypes[],Transactions[[#This Row],[TTR]],TT_COL_GLFlag)=1,Transactions[[#This Row],[CalCashImpact]]+Transactions[[#This Row],[CostImpact]],0)</f>
        <v>-17680.25</v>
      </c>
      <c r="W467" s="112">
        <f>Transactions[[#This Row],[Amount]]*INDEX(TransTypes[],Transactions[[#This Row],[TTR]],TT_COL_AmntSign)</f>
        <v>181490.01</v>
      </c>
      <c r="X467" s="112">
        <f>IF(INDEX(TransTypes[],Transactions[[#This Row],[TTR]],TT_COL_LONGORSHORT)="S",
      IF( OR(INDEX(TransTypes[],Transactions[[#This Row],[TTR]],TT_COL_GLFlag)=1, INDEX(TransTypes[], Transactions[[#This Row],[TTR]], TT_COL_ShareTransferFlag)=1),
            Transactions[[#This Row],[CostImpact]]*-1,
            Transactions[[#This Row],[CalCashImpact]]
      ),
     0
)</f>
        <v>0</v>
      </c>
      <c r="Y467" s="113" t="str">
        <f>VLOOKUP(Transactions[[#This Row],[Symbol]],Symbols[], COLUMN(Symbols[Currency])-COLUMN(Symbols[])+1,FALSE)</f>
        <v>USD</v>
      </c>
    </row>
    <row r="468" spans="1:25">
      <c r="A468" s="100" t="s">
        <v>77</v>
      </c>
      <c r="B468" s="101">
        <v>43047</v>
      </c>
      <c r="C468" s="100" t="s">
        <v>115</v>
      </c>
      <c r="D468" s="100"/>
      <c r="E468" s="100" t="s">
        <v>287</v>
      </c>
      <c r="F468" s="102">
        <v>2000</v>
      </c>
      <c r="G468" s="103">
        <v>179.95246</v>
      </c>
      <c r="H468" s="102">
        <v>9.99</v>
      </c>
      <c r="I468" s="102"/>
      <c r="J468" s="104">
        <v>359894.93</v>
      </c>
      <c r="K468" s="6" t="s">
        <v>538</v>
      </c>
      <c r="L468" s="20">
        <f>IF(ISNA(MATCH(Transactions[[#This Row],[TransType]],TransTypes[TransType],0)),1,MATCH(Transactions[[#This Row],[TransType]],TransTypes[TransType],0))</f>
        <v>3</v>
      </c>
      <c r="M468" s="105">
        <f>IF( AND( INDEX(TransTypes[],Transactions[[#This Row],[TTR]],TT_COL_GLFlag)=1, INDEX(TransTypes[],Transactions[[#This Row],[TTR]],TT_COL_LONGORSHORT)="S" ),
      Transactions[[#This Row],[PL]],
      IF(INDEX(TransTypes[],Transactions[[#This Row],[TTR]],TT_COL_LONGORSHORT)="S",0,Transactions[[#This Row],[CalCashImpact]])
)</f>
        <v>359894.93</v>
      </c>
      <c r="N468" s="106">
        <f>IF(VLOOKUP(Transactions[[#This Row],[Symbol]],Symbols[],COLUMN(Symbols[Currency])-COLUMN(Symbols[])+1,FALSE)=
       VLOOKUP(Transactions[[#This Row],[Account]],Accounts[],COLUMN(Accounts[Currency])-COLUMN(Accounts[])+1,FALSE),
     Transactions[[#This Row],[OrigCashImpact]],
     0
)</f>
        <v>359894.93</v>
      </c>
      <c r="O46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1038959.03</v>
      </c>
      <c r="P46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46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68" s="41">
        <f>ROW()</f>
        <v>468</v>
      </c>
      <c r="S4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-314255.11</v>
      </c>
      <c r="T4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6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468" s="111">
        <f>IF(INDEX(TransTypes[],Transactions[[#This Row],[TTR]],TT_COL_GLFlag)=1,Transactions[[#This Row],[CalCashImpact]]+Transactions[[#This Row],[CostImpact]],0)</f>
        <v>45639.820000000007</v>
      </c>
      <c r="W468" s="112">
        <f>Transactions[[#This Row],[Amount]]*INDEX(TransTypes[],Transactions[[#This Row],[TTR]],TT_COL_AmntSign)</f>
        <v>359894.93</v>
      </c>
      <c r="X468" s="112">
        <f>IF(INDEX(TransTypes[],Transactions[[#This Row],[TTR]],TT_COL_LONGORSHORT)="S",
      IF( OR(INDEX(TransTypes[],Transactions[[#This Row],[TTR]],TT_COL_GLFlag)=1, INDEX(TransTypes[], Transactions[[#This Row],[TTR]], TT_COL_ShareTransferFlag)=1),
            Transactions[[#This Row],[CostImpact]]*-1,
            Transactions[[#This Row],[CalCashImpact]]
      ),
     0
)</f>
        <v>0</v>
      </c>
      <c r="Y468" s="113" t="str">
        <f>VLOOKUP(Transactions[[#This Row],[Symbol]],Symbols[], COLUMN(Symbols[Currency])-COLUMN(Symbols[])+1,FALSE)</f>
        <v>USD</v>
      </c>
    </row>
    <row r="469" spans="1:25">
      <c r="A469" s="100" t="s">
        <v>77</v>
      </c>
      <c r="B469" s="101">
        <v>43047</v>
      </c>
      <c r="C469" s="100" t="s">
        <v>115</v>
      </c>
      <c r="D469" s="100"/>
      <c r="E469" s="100" t="s">
        <v>7</v>
      </c>
      <c r="F469" s="102">
        <v>200</v>
      </c>
      <c r="G469" s="103">
        <v>1055.3699999999999</v>
      </c>
      <c r="H469" s="102">
        <v>9.99</v>
      </c>
      <c r="I469" s="102"/>
      <c r="J469" s="104">
        <v>211064.01</v>
      </c>
      <c r="K469" s="6" t="s">
        <v>539</v>
      </c>
      <c r="L469" s="20">
        <f>IF(ISNA(MATCH(Transactions[[#This Row],[TransType]],TransTypes[TransType],0)),1,MATCH(Transactions[[#This Row],[TransType]],TransTypes[TransType],0))</f>
        <v>3</v>
      </c>
      <c r="M469" s="105">
        <f>IF( AND( INDEX(TransTypes[],Transactions[[#This Row],[TTR]],TT_COL_GLFlag)=1, INDEX(TransTypes[],Transactions[[#This Row],[TTR]],TT_COL_LONGORSHORT)="S" ),
      Transactions[[#This Row],[PL]],
      IF(INDEX(TransTypes[],Transactions[[#This Row],[TTR]],TT_COL_LONGORSHORT)="S",0,Transactions[[#This Row],[CalCashImpact]])
)</f>
        <v>211064.01</v>
      </c>
      <c r="N469" s="106">
        <f>IF(VLOOKUP(Transactions[[#This Row],[Symbol]],Symbols[],COLUMN(Symbols[Currency])-COLUMN(Symbols[])+1,FALSE)=
       VLOOKUP(Transactions[[#This Row],[Account]],Accounts[],COLUMN(Accounts[Currency])-COLUMN(Accounts[])+1,FALSE),
     Transactions[[#This Row],[OrigCashImpact]],
     0
)</f>
        <v>211064.01</v>
      </c>
      <c r="O46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1250023.04</v>
      </c>
      <c r="P46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46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69" s="41">
        <f>ROW()</f>
        <v>469</v>
      </c>
      <c r="S4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-197065.79</v>
      </c>
      <c r="T4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6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469" s="111">
        <f>IF(INDEX(TransTypes[],Transactions[[#This Row],[TTR]],TT_COL_GLFlag)=1,Transactions[[#This Row],[CalCashImpact]]+Transactions[[#This Row],[CostImpact]],0)</f>
        <v>13998.220000000001</v>
      </c>
      <c r="W469" s="112">
        <f>Transactions[[#This Row],[Amount]]*INDEX(TransTypes[],Transactions[[#This Row],[TTR]],TT_COL_AmntSign)</f>
        <v>211064.01</v>
      </c>
      <c r="X469" s="112">
        <f>IF(INDEX(TransTypes[],Transactions[[#This Row],[TTR]],TT_COL_LONGORSHORT)="S",
      IF( OR(INDEX(TransTypes[],Transactions[[#This Row],[TTR]],TT_COL_GLFlag)=1, INDEX(TransTypes[], Transactions[[#This Row],[TTR]], TT_COL_ShareTransferFlag)=1),
            Transactions[[#This Row],[CostImpact]]*-1,
            Transactions[[#This Row],[CalCashImpact]]
      ),
     0
)</f>
        <v>0</v>
      </c>
      <c r="Y469" s="113" t="str">
        <f>VLOOKUP(Transactions[[#This Row],[Symbol]],Symbols[], COLUMN(Symbols[Currency])-COLUMN(Symbols[])+1,FALSE)</f>
        <v>USD</v>
      </c>
    </row>
    <row r="470" spans="1:25">
      <c r="A470" s="100" t="s">
        <v>77</v>
      </c>
      <c r="B470" s="101">
        <v>43047</v>
      </c>
      <c r="C470" s="100" t="s">
        <v>115</v>
      </c>
      <c r="D470" s="100"/>
      <c r="E470" s="100" t="s">
        <v>521</v>
      </c>
      <c r="F470" s="102">
        <v>200</v>
      </c>
      <c r="G470" s="103">
        <v>316.79000000000002</v>
      </c>
      <c r="H470" s="102">
        <v>9.99</v>
      </c>
      <c r="I470" s="102"/>
      <c r="J470" s="104">
        <v>63348.01</v>
      </c>
      <c r="K470" s="6" t="s">
        <v>540</v>
      </c>
      <c r="L470" s="20">
        <f>IF(ISNA(MATCH(Transactions[[#This Row],[TransType]],TransTypes[TransType],0)),1,MATCH(Transactions[[#This Row],[TransType]],TransTypes[TransType],0))</f>
        <v>3</v>
      </c>
      <c r="M470" s="105">
        <f>IF( AND( INDEX(TransTypes[],Transactions[[#This Row],[TTR]],TT_COL_GLFlag)=1, INDEX(TransTypes[],Transactions[[#This Row],[TTR]],TT_COL_LONGORSHORT)="S" ),
      Transactions[[#This Row],[PL]],
      IF(INDEX(TransTypes[],Transactions[[#This Row],[TTR]],TT_COL_LONGORSHORT)="S",0,Transactions[[#This Row],[CalCashImpact]])
)</f>
        <v>63348.01</v>
      </c>
      <c r="N470" s="106">
        <f>IF(VLOOKUP(Transactions[[#This Row],[Symbol]],Symbols[],COLUMN(Symbols[Currency])-COLUMN(Symbols[])+1,FALSE)=
       VLOOKUP(Transactions[[#This Row],[Account]],Accounts[],COLUMN(Accounts[Currency])-COLUMN(Accounts[])+1,FALSE),
     Transactions[[#This Row],[OrigCashImpact]],
     0
)</f>
        <v>63348.01</v>
      </c>
      <c r="O47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1313371.05</v>
      </c>
      <c r="P47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47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70" s="41">
        <f>ROW()</f>
        <v>470</v>
      </c>
      <c r="S4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-52488.930000000008</v>
      </c>
      <c r="T4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7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470" s="111">
        <f>IF(INDEX(TransTypes[],Transactions[[#This Row],[TTR]],TT_COL_GLFlag)=1,Transactions[[#This Row],[CalCashImpact]]+Transactions[[#This Row],[CostImpact]],0)</f>
        <v>10859.079999999994</v>
      </c>
      <c r="W470" s="112">
        <f>Transactions[[#This Row],[Amount]]*INDEX(TransTypes[],Transactions[[#This Row],[TTR]],TT_COL_AmntSign)</f>
        <v>63348.01</v>
      </c>
      <c r="X470" s="112">
        <f>IF(INDEX(TransTypes[],Transactions[[#This Row],[TTR]],TT_COL_LONGORSHORT)="S",
      IF( OR(INDEX(TransTypes[],Transactions[[#This Row],[TTR]],TT_COL_GLFlag)=1, INDEX(TransTypes[], Transactions[[#This Row],[TTR]], TT_COL_ShareTransferFlag)=1),
            Transactions[[#This Row],[CostImpact]]*-1,
            Transactions[[#This Row],[CalCashImpact]]
      ),
     0
)</f>
        <v>0</v>
      </c>
      <c r="Y470" s="113" t="str">
        <f>VLOOKUP(Transactions[[#This Row],[Symbol]],Symbols[], COLUMN(Symbols[Currency])-COLUMN(Symbols[])+1,FALSE)</f>
        <v>USD</v>
      </c>
    </row>
    <row r="471" spans="1:25">
      <c r="A471" s="100" t="s">
        <v>77</v>
      </c>
      <c r="B471" s="101">
        <v>43047</v>
      </c>
      <c r="C471" s="100" t="s">
        <v>115</v>
      </c>
      <c r="D471" s="100"/>
      <c r="E471" s="100" t="s">
        <v>20</v>
      </c>
      <c r="F471" s="102">
        <v>2433</v>
      </c>
      <c r="G471" s="103">
        <v>126.354956843403</v>
      </c>
      <c r="H471" s="102">
        <v>9.99</v>
      </c>
      <c r="I471" s="102"/>
      <c r="J471" s="104">
        <v>307411.62</v>
      </c>
      <c r="K471" s="6" t="s">
        <v>541</v>
      </c>
      <c r="L471" s="20">
        <f>IF(ISNA(MATCH(Transactions[[#This Row],[TransType]],TransTypes[TransType],0)),1,MATCH(Transactions[[#This Row],[TransType]],TransTypes[TransType],0))</f>
        <v>3</v>
      </c>
      <c r="M471" s="105">
        <f>IF( AND( INDEX(TransTypes[],Transactions[[#This Row],[TTR]],TT_COL_GLFlag)=1, INDEX(TransTypes[],Transactions[[#This Row],[TTR]],TT_COL_LONGORSHORT)="S" ),
      Transactions[[#This Row],[PL]],
      IF(INDEX(TransTypes[],Transactions[[#This Row],[TTR]],TT_COL_LONGORSHORT)="S",0,Transactions[[#This Row],[CalCashImpact]])
)</f>
        <v>307411.62</v>
      </c>
      <c r="N471" s="106">
        <f>IF(VLOOKUP(Transactions[[#This Row],[Symbol]],Symbols[],COLUMN(Symbols[Currency])-COLUMN(Symbols[])+1,FALSE)=
       VLOOKUP(Transactions[[#This Row],[Account]],Accounts[],COLUMN(Accounts[Currency])-COLUMN(Accounts[])+1,FALSE),
     Transactions[[#This Row],[OrigCashImpact]],
     0
)</f>
        <v>307411.62</v>
      </c>
      <c r="O47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1620782.67</v>
      </c>
      <c r="P47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-2433</v>
      </c>
      <c r="Q47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1582</v>
      </c>
      <c r="R471" s="41">
        <f>ROW()</f>
        <v>471</v>
      </c>
      <c r="S4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-301309.79842415935</v>
      </c>
      <c r="T4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195919.48257584061</v>
      </c>
      <c r="U47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4015</v>
      </c>
      <c r="V471" s="111">
        <f>IF(INDEX(TransTypes[],Transactions[[#This Row],[TTR]],TT_COL_GLFlag)=1,Transactions[[#This Row],[CalCashImpact]]+Transactions[[#This Row],[CostImpact]],0)</f>
        <v>6101.8215758406441</v>
      </c>
      <c r="W471" s="112">
        <f>Transactions[[#This Row],[Amount]]*INDEX(TransTypes[],Transactions[[#This Row],[TTR]],TT_COL_AmntSign)</f>
        <v>307411.62</v>
      </c>
      <c r="X471" s="112">
        <f>IF(INDEX(TransTypes[],Transactions[[#This Row],[TTR]],TT_COL_LONGORSHORT)="S",
      IF( OR(INDEX(TransTypes[],Transactions[[#This Row],[TTR]],TT_COL_GLFlag)=1, INDEX(TransTypes[], Transactions[[#This Row],[TTR]], TT_COL_ShareTransferFlag)=1),
            Transactions[[#This Row],[CostImpact]]*-1,
            Transactions[[#This Row],[CalCashImpact]]
      ),
     0
)</f>
        <v>0</v>
      </c>
      <c r="Y471" s="113" t="str">
        <f>VLOOKUP(Transactions[[#This Row],[Symbol]],Symbols[], COLUMN(Symbols[Currency])-COLUMN(Symbols[])+1,FALSE)</f>
        <v>USD</v>
      </c>
    </row>
    <row r="472" spans="1:25">
      <c r="A472" s="100" t="s">
        <v>77</v>
      </c>
      <c r="B472" s="101">
        <v>43047</v>
      </c>
      <c r="C472" s="100" t="s">
        <v>113</v>
      </c>
      <c r="D472" s="100"/>
      <c r="E472" s="100" t="s">
        <v>16</v>
      </c>
      <c r="F472" s="102">
        <v>405</v>
      </c>
      <c r="G472" s="103">
        <v>258.81780246913502</v>
      </c>
      <c r="H472" s="102">
        <v>9.99</v>
      </c>
      <c r="I472" s="102"/>
      <c r="J472" s="104">
        <v>104831.2</v>
      </c>
      <c r="K472" s="6" t="s">
        <v>542</v>
      </c>
      <c r="L472" s="20">
        <f>IF(ISNA(MATCH(Transactions[[#This Row],[TransType]],TransTypes[TransType],0)),1,MATCH(Transactions[[#This Row],[TransType]],TransTypes[TransType],0))</f>
        <v>2</v>
      </c>
      <c r="M472" s="105">
        <f>IF( AND( INDEX(TransTypes[],Transactions[[#This Row],[TTR]],TT_COL_GLFlag)=1, INDEX(TransTypes[],Transactions[[#This Row],[TTR]],TT_COL_LONGORSHORT)="S" ),
      Transactions[[#This Row],[PL]],
      IF(INDEX(TransTypes[],Transactions[[#This Row],[TTR]],TT_COL_LONGORSHORT)="S",0,Transactions[[#This Row],[CalCashImpact]])
)</f>
        <v>-104831.2</v>
      </c>
      <c r="N472" s="106">
        <f>IF(VLOOKUP(Transactions[[#This Row],[Symbol]],Symbols[],COLUMN(Symbols[Currency])-COLUMN(Symbols[])+1,FALSE)=
       VLOOKUP(Transactions[[#This Row],[Account]],Accounts[],COLUMN(Accounts[Currency])-COLUMN(Accounts[])+1,FALSE),
     Transactions[[#This Row],[OrigCashImpact]],
     0
)</f>
        <v>-104831.2</v>
      </c>
      <c r="O47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1515951.47</v>
      </c>
      <c r="P47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405</v>
      </c>
      <c r="Q47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405</v>
      </c>
      <c r="R472" s="41">
        <f>ROW()</f>
        <v>472</v>
      </c>
      <c r="S4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104831.2</v>
      </c>
      <c r="T4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104831.2</v>
      </c>
      <c r="U47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405</v>
      </c>
      <c r="V472" s="111">
        <f>IF(INDEX(TransTypes[],Transactions[[#This Row],[TTR]],TT_COL_GLFlag)=1,Transactions[[#This Row],[CalCashImpact]]+Transactions[[#This Row],[CostImpact]],0)</f>
        <v>0</v>
      </c>
      <c r="W472" s="112">
        <f>Transactions[[#This Row],[Amount]]*INDEX(TransTypes[],Transactions[[#This Row],[TTR]],TT_COL_AmntSign)</f>
        <v>-104831.2</v>
      </c>
      <c r="X472" s="112">
        <f>IF(INDEX(TransTypes[],Transactions[[#This Row],[TTR]],TT_COL_LONGORSHORT)="S",
      IF( OR(INDEX(TransTypes[],Transactions[[#This Row],[TTR]],TT_COL_GLFlag)=1, INDEX(TransTypes[], Transactions[[#This Row],[TTR]], TT_COL_ShareTransferFlag)=1),
            Transactions[[#This Row],[CostImpact]]*-1,
            Transactions[[#This Row],[CalCashImpact]]
      ),
     0
)</f>
        <v>0</v>
      </c>
      <c r="Y472" s="113" t="str">
        <f>VLOOKUP(Transactions[[#This Row],[Symbol]],Symbols[], COLUMN(Symbols[Currency])-COLUMN(Symbols[])+1,FALSE)</f>
        <v>USD</v>
      </c>
    </row>
    <row r="473" spans="1:25">
      <c r="A473" s="100" t="s">
        <v>77</v>
      </c>
      <c r="B473" s="101">
        <v>43047</v>
      </c>
      <c r="C473" s="100" t="s">
        <v>113</v>
      </c>
      <c r="D473" s="100"/>
      <c r="E473" s="100" t="s">
        <v>313</v>
      </c>
      <c r="F473" s="102">
        <v>1322</v>
      </c>
      <c r="G473" s="103">
        <v>26.4681013615733</v>
      </c>
      <c r="H473" s="102">
        <v>9.99</v>
      </c>
      <c r="I473" s="102"/>
      <c r="J473" s="104">
        <v>35000.82</v>
      </c>
      <c r="K473" s="6" t="s">
        <v>543</v>
      </c>
      <c r="L473" s="20">
        <f>IF(ISNA(MATCH(Transactions[[#This Row],[TransType]],TransTypes[TransType],0)),1,MATCH(Transactions[[#This Row],[TransType]],TransTypes[TransType],0))</f>
        <v>2</v>
      </c>
      <c r="M473" s="105">
        <f>IF( AND( INDEX(TransTypes[],Transactions[[#This Row],[TTR]],TT_COL_GLFlag)=1, INDEX(TransTypes[],Transactions[[#This Row],[TTR]],TT_COL_LONGORSHORT)="S" ),
      Transactions[[#This Row],[PL]],
      IF(INDEX(TransTypes[],Transactions[[#This Row],[TTR]],TT_COL_LONGORSHORT)="S",0,Transactions[[#This Row],[CalCashImpact]])
)</f>
        <v>-35000.82</v>
      </c>
      <c r="N473" s="106">
        <f>IF(VLOOKUP(Transactions[[#This Row],[Symbol]],Symbols[],COLUMN(Symbols[Currency])-COLUMN(Symbols[])+1,FALSE)=
       VLOOKUP(Transactions[[#This Row],[Account]],Accounts[],COLUMN(Accounts[Currency])-COLUMN(Accounts[])+1,FALSE),
     Transactions[[#This Row],[OrigCashImpact]],
     0
)</f>
        <v>-35000.82</v>
      </c>
      <c r="O47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1480950.65</v>
      </c>
      <c r="P47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1322</v>
      </c>
      <c r="Q47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1322</v>
      </c>
      <c r="R473" s="41">
        <f>ROW()</f>
        <v>473</v>
      </c>
      <c r="S4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35000.82</v>
      </c>
      <c r="T4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35000.820000000007</v>
      </c>
      <c r="U47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1322</v>
      </c>
      <c r="V473" s="111">
        <f>IF(INDEX(TransTypes[],Transactions[[#This Row],[TTR]],TT_COL_GLFlag)=1,Transactions[[#This Row],[CalCashImpact]]+Transactions[[#This Row],[CostImpact]],0)</f>
        <v>0</v>
      </c>
      <c r="W473" s="112">
        <f>Transactions[[#This Row],[Amount]]*INDEX(TransTypes[],Transactions[[#This Row],[TTR]],TT_COL_AmntSign)</f>
        <v>-35000.82</v>
      </c>
      <c r="X473" s="112">
        <f>IF(INDEX(TransTypes[],Transactions[[#This Row],[TTR]],TT_COL_LONGORSHORT)="S",
      IF( OR(INDEX(TransTypes[],Transactions[[#This Row],[TTR]],TT_COL_GLFlag)=1, INDEX(TransTypes[], Transactions[[#This Row],[TTR]], TT_COL_ShareTransferFlag)=1),
            Transactions[[#This Row],[CostImpact]]*-1,
            Transactions[[#This Row],[CalCashImpact]]
      ),
     0
)</f>
        <v>0</v>
      </c>
      <c r="Y473" s="113" t="str">
        <f>VLOOKUP(Transactions[[#This Row],[Symbol]],Symbols[], COLUMN(Symbols[Currency])-COLUMN(Symbols[])+1,FALSE)</f>
        <v>USD</v>
      </c>
    </row>
    <row r="474" spans="1:25">
      <c r="A474" s="100" t="s">
        <v>77</v>
      </c>
      <c r="B474" s="101">
        <v>43047</v>
      </c>
      <c r="C474" s="100" t="s">
        <v>113</v>
      </c>
      <c r="D474" s="100"/>
      <c r="E474" s="100" t="s">
        <v>510</v>
      </c>
      <c r="F474" s="102">
        <v>557</v>
      </c>
      <c r="G474" s="103">
        <v>44.879299820466699</v>
      </c>
      <c r="H474" s="102">
        <v>9.99</v>
      </c>
      <c r="I474" s="102"/>
      <c r="J474" s="104">
        <v>25007.759999999998</v>
      </c>
      <c r="K474" s="6" t="s">
        <v>544</v>
      </c>
      <c r="L474" s="20">
        <f>IF(ISNA(MATCH(Transactions[[#This Row],[TransType]],TransTypes[TransType],0)),1,MATCH(Transactions[[#This Row],[TransType]],TransTypes[TransType],0))</f>
        <v>2</v>
      </c>
      <c r="M474" s="105">
        <f>IF( AND( INDEX(TransTypes[],Transactions[[#This Row],[TTR]],TT_COL_GLFlag)=1, INDEX(TransTypes[],Transactions[[#This Row],[TTR]],TT_COL_LONGORSHORT)="S" ),
      Transactions[[#This Row],[PL]],
      IF(INDEX(TransTypes[],Transactions[[#This Row],[TTR]],TT_COL_LONGORSHORT)="S",0,Transactions[[#This Row],[CalCashImpact]])
)</f>
        <v>-25007.759999999998</v>
      </c>
      <c r="N474" s="106">
        <f>IF(VLOOKUP(Transactions[[#This Row],[Symbol]],Symbols[],COLUMN(Symbols[Currency])-COLUMN(Symbols[])+1,FALSE)=
       VLOOKUP(Transactions[[#This Row],[Account]],Accounts[],COLUMN(Accounts[Currency])-COLUMN(Accounts[])+1,FALSE),
     Transactions[[#This Row],[OrigCashImpact]],
     0
)</f>
        <v>-25007.759999999998</v>
      </c>
      <c r="O47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1455942.89</v>
      </c>
      <c r="P47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557</v>
      </c>
      <c r="Q47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557</v>
      </c>
      <c r="R474" s="41">
        <f>ROW()</f>
        <v>474</v>
      </c>
      <c r="S4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25007.759999999998</v>
      </c>
      <c r="T4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25007.759999999998</v>
      </c>
      <c r="U47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557</v>
      </c>
      <c r="V474" s="111">
        <f>IF(INDEX(TransTypes[],Transactions[[#This Row],[TTR]],TT_COL_GLFlag)=1,Transactions[[#This Row],[CalCashImpact]]+Transactions[[#This Row],[CostImpact]],0)</f>
        <v>0</v>
      </c>
      <c r="W474" s="112">
        <f>Transactions[[#This Row],[Amount]]*INDEX(TransTypes[],Transactions[[#This Row],[TTR]],TT_COL_AmntSign)</f>
        <v>-25007.759999999998</v>
      </c>
      <c r="X474" s="112">
        <f>IF(INDEX(TransTypes[],Transactions[[#This Row],[TTR]],TT_COL_LONGORSHORT)="S",
      IF( OR(INDEX(TransTypes[],Transactions[[#This Row],[TTR]],TT_COL_GLFlag)=1, INDEX(TransTypes[], Transactions[[#This Row],[TTR]], TT_COL_ShareTransferFlag)=1),
            Transactions[[#This Row],[CostImpact]]*-1,
            Transactions[[#This Row],[CalCashImpact]]
      ),
     0
)</f>
        <v>0</v>
      </c>
      <c r="Y474" s="113" t="str">
        <f>VLOOKUP(Transactions[[#This Row],[Symbol]],Symbols[], COLUMN(Symbols[Currency])-COLUMN(Symbols[])+1,FALSE)</f>
        <v>USD</v>
      </c>
    </row>
    <row r="475" spans="1:25">
      <c r="A475" s="100" t="s">
        <v>77</v>
      </c>
      <c r="B475" s="101">
        <v>43047</v>
      </c>
      <c r="C475" s="100" t="s">
        <v>113</v>
      </c>
      <c r="D475" s="100"/>
      <c r="E475" s="100" t="s">
        <v>27</v>
      </c>
      <c r="F475" s="102">
        <v>245</v>
      </c>
      <c r="G475" s="103">
        <v>121.994693877551</v>
      </c>
      <c r="H475" s="102">
        <v>9.99</v>
      </c>
      <c r="I475" s="102"/>
      <c r="J475" s="104">
        <v>29898.69</v>
      </c>
      <c r="K475" s="6" t="s">
        <v>545</v>
      </c>
      <c r="L475" s="20">
        <f>IF(ISNA(MATCH(Transactions[[#This Row],[TransType]],TransTypes[TransType],0)),1,MATCH(Transactions[[#This Row],[TransType]],TransTypes[TransType],0))</f>
        <v>2</v>
      </c>
      <c r="M475" s="105">
        <f>IF( AND( INDEX(TransTypes[],Transactions[[#This Row],[TTR]],TT_COL_GLFlag)=1, INDEX(TransTypes[],Transactions[[#This Row],[TTR]],TT_COL_LONGORSHORT)="S" ),
      Transactions[[#This Row],[PL]],
      IF(INDEX(TransTypes[],Transactions[[#This Row],[TTR]],TT_COL_LONGORSHORT)="S",0,Transactions[[#This Row],[CalCashImpact]])
)</f>
        <v>-29898.69</v>
      </c>
      <c r="N475" s="106">
        <f>IF(VLOOKUP(Transactions[[#This Row],[Symbol]],Symbols[],COLUMN(Symbols[Currency])-COLUMN(Symbols[])+1,FALSE)=
       VLOOKUP(Transactions[[#This Row],[Account]],Accounts[],COLUMN(Accounts[Currency])-COLUMN(Accounts[])+1,FALSE),
     Transactions[[#This Row],[OrigCashImpact]],
     0
)</f>
        <v>-29898.69</v>
      </c>
      <c r="O47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1426044.2</v>
      </c>
      <c r="P47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245</v>
      </c>
      <c r="Q47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245</v>
      </c>
      <c r="R475" s="41">
        <f>ROW()</f>
        <v>475</v>
      </c>
      <c r="S4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29898.69</v>
      </c>
      <c r="T4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29898.69</v>
      </c>
      <c r="U47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245</v>
      </c>
      <c r="V475" s="111">
        <f>IF(INDEX(TransTypes[],Transactions[[#This Row],[TTR]],TT_COL_GLFlag)=1,Transactions[[#This Row],[CalCashImpact]]+Transactions[[#This Row],[CostImpact]],0)</f>
        <v>0</v>
      </c>
      <c r="W475" s="112">
        <f>Transactions[[#This Row],[Amount]]*INDEX(TransTypes[],Transactions[[#This Row],[TTR]],TT_COL_AmntSign)</f>
        <v>-29898.69</v>
      </c>
      <c r="X475" s="112">
        <f>IF(INDEX(TransTypes[],Transactions[[#This Row],[TTR]],TT_COL_LONGORSHORT)="S",
      IF( OR(INDEX(TransTypes[],Transactions[[#This Row],[TTR]],TT_COL_GLFlag)=1, INDEX(TransTypes[], Transactions[[#This Row],[TTR]], TT_COL_ShareTransferFlag)=1),
            Transactions[[#This Row],[CostImpact]]*-1,
            Transactions[[#This Row],[CalCashImpact]]
      ),
     0
)</f>
        <v>0</v>
      </c>
      <c r="Y475" s="113" t="str">
        <f>VLOOKUP(Transactions[[#This Row],[Symbol]],Symbols[], COLUMN(Symbols[Currency])-COLUMN(Symbols[])+1,FALSE)</f>
        <v>USD</v>
      </c>
    </row>
    <row r="476" spans="1:25">
      <c r="A476" s="100" t="s">
        <v>77</v>
      </c>
      <c r="B476" s="101">
        <v>43047</v>
      </c>
      <c r="C476" s="100" t="s">
        <v>113</v>
      </c>
      <c r="D476" s="100"/>
      <c r="E476" s="100" t="s">
        <v>513</v>
      </c>
      <c r="F476" s="102">
        <v>1822</v>
      </c>
      <c r="G476" s="103">
        <v>16.434599341382999</v>
      </c>
      <c r="H476" s="102">
        <v>9.99</v>
      </c>
      <c r="I476" s="102"/>
      <c r="J476" s="104">
        <v>29953.83</v>
      </c>
      <c r="K476" s="6" t="s">
        <v>546</v>
      </c>
      <c r="L476" s="20">
        <f>IF(ISNA(MATCH(Transactions[[#This Row],[TransType]],TransTypes[TransType],0)),1,MATCH(Transactions[[#This Row],[TransType]],TransTypes[TransType],0))</f>
        <v>2</v>
      </c>
      <c r="M476" s="105">
        <f>IF( AND( INDEX(TransTypes[],Transactions[[#This Row],[TTR]],TT_COL_GLFlag)=1, INDEX(TransTypes[],Transactions[[#This Row],[TTR]],TT_COL_LONGORSHORT)="S" ),
      Transactions[[#This Row],[PL]],
      IF(INDEX(TransTypes[],Transactions[[#This Row],[TTR]],TT_COL_LONGORSHORT)="S",0,Transactions[[#This Row],[CalCashImpact]])
)</f>
        <v>-29953.83</v>
      </c>
      <c r="N476" s="106">
        <f>IF(VLOOKUP(Transactions[[#This Row],[Symbol]],Symbols[],COLUMN(Symbols[Currency])-COLUMN(Symbols[])+1,FALSE)=
       VLOOKUP(Transactions[[#This Row],[Account]],Accounts[],COLUMN(Accounts[Currency])-COLUMN(Accounts[])+1,FALSE),
     Transactions[[#This Row],[OrigCashImpact]],
     0
)</f>
        <v>-29953.83</v>
      </c>
      <c r="O47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1396090.3699999999</v>
      </c>
      <c r="P47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1822</v>
      </c>
      <c r="Q47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1822</v>
      </c>
      <c r="R476" s="41">
        <f>ROW()</f>
        <v>476</v>
      </c>
      <c r="S4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29953.83</v>
      </c>
      <c r="T4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29953.83</v>
      </c>
      <c r="U47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1822</v>
      </c>
      <c r="V476" s="111">
        <f>IF(INDEX(TransTypes[],Transactions[[#This Row],[TTR]],TT_COL_GLFlag)=1,Transactions[[#This Row],[CalCashImpact]]+Transactions[[#This Row],[CostImpact]],0)</f>
        <v>0</v>
      </c>
      <c r="W476" s="112">
        <f>Transactions[[#This Row],[Amount]]*INDEX(TransTypes[],Transactions[[#This Row],[TTR]],TT_COL_AmntSign)</f>
        <v>-29953.83</v>
      </c>
      <c r="X476" s="112">
        <f>IF(INDEX(TransTypes[],Transactions[[#This Row],[TTR]],TT_COL_LONGORSHORT)="S",
      IF( OR(INDEX(TransTypes[],Transactions[[#This Row],[TTR]],TT_COL_GLFlag)=1, INDEX(TransTypes[], Transactions[[#This Row],[TTR]], TT_COL_ShareTransferFlag)=1),
            Transactions[[#This Row],[CostImpact]]*-1,
            Transactions[[#This Row],[CalCashImpact]]
      ),
     0
)</f>
        <v>0</v>
      </c>
      <c r="Y476" s="113" t="str">
        <f>VLOOKUP(Transactions[[#This Row],[Symbol]],Symbols[], COLUMN(Symbols[Currency])-COLUMN(Symbols[])+1,FALSE)</f>
        <v>USD</v>
      </c>
    </row>
    <row r="477" spans="1:25">
      <c r="A477" s="100" t="s">
        <v>77</v>
      </c>
      <c r="B477" s="101">
        <v>43047</v>
      </c>
      <c r="C477" s="100" t="s">
        <v>113</v>
      </c>
      <c r="D477" s="100"/>
      <c r="E477" s="100" t="s">
        <v>505</v>
      </c>
      <c r="F477" s="102">
        <v>469</v>
      </c>
      <c r="G477" s="103">
        <v>106.464989339019</v>
      </c>
      <c r="H477" s="102">
        <v>9.99</v>
      </c>
      <c r="I477" s="102"/>
      <c r="J477" s="104">
        <v>49942.07</v>
      </c>
      <c r="K477" s="6" t="s">
        <v>547</v>
      </c>
      <c r="L477" s="20">
        <f>IF(ISNA(MATCH(Transactions[[#This Row],[TransType]],TransTypes[TransType],0)),1,MATCH(Transactions[[#This Row],[TransType]],TransTypes[TransType],0))</f>
        <v>2</v>
      </c>
      <c r="M477" s="105">
        <f>IF( AND( INDEX(TransTypes[],Transactions[[#This Row],[TTR]],TT_COL_GLFlag)=1, INDEX(TransTypes[],Transactions[[#This Row],[TTR]],TT_COL_LONGORSHORT)="S" ),
      Transactions[[#This Row],[PL]],
      IF(INDEX(TransTypes[],Transactions[[#This Row],[TTR]],TT_COL_LONGORSHORT)="S",0,Transactions[[#This Row],[CalCashImpact]])
)</f>
        <v>-49942.07</v>
      </c>
      <c r="N477" s="106">
        <f>IF(VLOOKUP(Transactions[[#This Row],[Symbol]],Symbols[],COLUMN(Symbols[Currency])-COLUMN(Symbols[])+1,FALSE)=
       VLOOKUP(Transactions[[#This Row],[Account]],Accounts[],COLUMN(Accounts[Currency])-COLUMN(Accounts[])+1,FALSE),
     Transactions[[#This Row],[OrigCashImpact]],
     0
)</f>
        <v>-49942.07</v>
      </c>
      <c r="O47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1346148.2999999998</v>
      </c>
      <c r="P47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469</v>
      </c>
      <c r="Q47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477" s="41">
        <f>ROW()</f>
        <v>477</v>
      </c>
      <c r="S4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49942.07</v>
      </c>
      <c r="T4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47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477" s="111">
        <f>IF(INDEX(TransTypes[],Transactions[[#This Row],[TTR]],TT_COL_GLFlag)=1,Transactions[[#This Row],[CalCashImpact]]+Transactions[[#This Row],[CostImpact]],0)</f>
        <v>0</v>
      </c>
      <c r="W477" s="112">
        <f>Transactions[[#This Row],[Amount]]*INDEX(TransTypes[],Transactions[[#This Row],[TTR]],TT_COL_AmntSign)</f>
        <v>-49942.07</v>
      </c>
      <c r="X477" s="112">
        <f>IF(INDEX(TransTypes[],Transactions[[#This Row],[TTR]],TT_COL_LONGORSHORT)="S",
      IF( OR(INDEX(TransTypes[],Transactions[[#This Row],[TTR]],TT_COL_GLFlag)=1, INDEX(TransTypes[], Transactions[[#This Row],[TTR]], TT_COL_ShareTransferFlag)=1),
            Transactions[[#This Row],[CostImpact]]*-1,
            Transactions[[#This Row],[CalCashImpact]]
      ),
     0
)</f>
        <v>0</v>
      </c>
      <c r="Y477" s="113" t="str">
        <f>VLOOKUP(Transactions[[#This Row],[Symbol]],Symbols[], COLUMN(Symbols[Currency])-COLUMN(Symbols[])+1,FALSE)</f>
        <v>USD</v>
      </c>
    </row>
    <row r="478" spans="1:25">
      <c r="A478" s="100" t="s">
        <v>77</v>
      </c>
      <c r="B478" s="101">
        <v>43047</v>
      </c>
      <c r="C478" s="100" t="s">
        <v>158</v>
      </c>
      <c r="D478" s="100"/>
      <c r="E478" s="100" t="s">
        <v>501</v>
      </c>
      <c r="F478" s="102">
        <v>4</v>
      </c>
      <c r="G478" s="103">
        <v>1.2</v>
      </c>
      <c r="H478" s="102">
        <v>14.99</v>
      </c>
      <c r="I478" s="102"/>
      <c r="J478" s="104">
        <v>465.01</v>
      </c>
      <c r="K478" s="6" t="s">
        <v>548</v>
      </c>
      <c r="L478" s="20">
        <f>IF(ISNA(MATCH(Transactions[[#This Row],[TransType]],TransTypes[TransType],0)),1,MATCH(Transactions[[#This Row],[TransType]],TransTypes[TransType],0))</f>
        <v>19</v>
      </c>
      <c r="M478" s="105">
        <f>IF( AND( INDEX(TransTypes[],Transactions[[#This Row],[TTR]],TT_COL_GLFlag)=1, INDEX(TransTypes[],Transactions[[#This Row],[TTR]],TT_COL_LONGORSHORT)="S" ),
      Transactions[[#This Row],[PL]],
      IF(INDEX(TransTypes[],Transactions[[#This Row],[TTR]],TT_COL_LONGORSHORT)="S",0,Transactions[[#This Row],[CalCashImpact]])
)</f>
        <v>0</v>
      </c>
      <c r="N478" s="106">
        <f>IF(VLOOKUP(Transactions[[#This Row],[Symbol]],Symbols[],COLUMN(Symbols[Currency])-COLUMN(Symbols[])+1,FALSE)=
       VLOOKUP(Transactions[[#This Row],[Account]],Accounts[],COLUMN(Accounts[Currency])-COLUMN(Accounts[])+1,FALSE),
     Transactions[[#This Row],[OrigCashImpact]],
     0
)</f>
        <v>0</v>
      </c>
      <c r="O47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1346148.2999999998</v>
      </c>
      <c r="P47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47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v>
      </c>
      <c r="R478" s="41">
        <f>ROW()</f>
        <v>478</v>
      </c>
      <c r="S4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-465.01</v>
      </c>
      <c r="T4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-465.01</v>
      </c>
      <c r="U47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478" s="111">
        <f>IF(INDEX(TransTypes[],Transactions[[#This Row],[TTR]],TT_COL_GLFlag)=1,Transactions[[#This Row],[CalCashImpact]]+Transactions[[#This Row],[CostImpact]],0)</f>
        <v>0</v>
      </c>
      <c r="W478" s="112">
        <f>Transactions[[#This Row],[Amount]]*INDEX(TransTypes[],Transactions[[#This Row],[TTR]],TT_COL_AmntSign)</f>
        <v>465.01</v>
      </c>
      <c r="X478" s="112">
        <f>IF(INDEX(TransTypes[],Transactions[[#This Row],[TTR]],TT_COL_LONGORSHORT)="S",
      IF( OR(INDEX(TransTypes[],Transactions[[#This Row],[TTR]],TT_COL_GLFlag)=1, INDEX(TransTypes[], Transactions[[#This Row],[TTR]], TT_COL_ShareTransferFlag)=1),
            Transactions[[#This Row],[CostImpact]]*-1,
            Transactions[[#This Row],[CalCashImpact]]
      ),
     0
)</f>
        <v>465.01</v>
      </c>
      <c r="Y478" s="113" t="str">
        <f>VLOOKUP(Transactions[[#This Row],[Symbol]],Symbols[], COLUMN(Symbols[Currency])-COLUMN(Symbols[])+1,FALSE)</f>
        <v>USD</v>
      </c>
    </row>
    <row r="479" spans="1:25">
      <c r="A479" s="100" t="s">
        <v>77</v>
      </c>
      <c r="B479" s="101">
        <v>43047</v>
      </c>
      <c r="C479" s="100" t="s">
        <v>113</v>
      </c>
      <c r="D479" s="100"/>
      <c r="E479" s="100" t="s">
        <v>508</v>
      </c>
      <c r="F479" s="102">
        <v>161</v>
      </c>
      <c r="G479" s="103">
        <v>154.44</v>
      </c>
      <c r="H479" s="102">
        <v>9.99</v>
      </c>
      <c r="I479" s="102"/>
      <c r="J479" s="104">
        <v>24874.83</v>
      </c>
      <c r="K479" s="6" t="s">
        <v>549</v>
      </c>
      <c r="L479" s="20">
        <f>IF(ISNA(MATCH(Transactions[[#This Row],[TransType]],TransTypes[TransType],0)),1,MATCH(Transactions[[#This Row],[TransType]],TransTypes[TransType],0))</f>
        <v>2</v>
      </c>
      <c r="M479" s="105">
        <f>IF( AND( INDEX(TransTypes[],Transactions[[#This Row],[TTR]],TT_COL_GLFlag)=1, INDEX(TransTypes[],Transactions[[#This Row],[TTR]],TT_COL_LONGORSHORT)="S" ),
      Transactions[[#This Row],[PL]],
      IF(INDEX(TransTypes[],Transactions[[#This Row],[TTR]],TT_COL_LONGORSHORT)="S",0,Transactions[[#This Row],[CalCashImpact]])
)</f>
        <v>-24874.83</v>
      </c>
      <c r="N479" s="106">
        <f>IF(VLOOKUP(Transactions[[#This Row],[Symbol]],Symbols[],COLUMN(Symbols[Currency])-COLUMN(Symbols[])+1,FALSE)=
       VLOOKUP(Transactions[[#This Row],[Account]],Accounts[],COLUMN(Accounts[Currency])-COLUMN(Accounts[])+1,FALSE),
     Transactions[[#This Row],[OrigCashImpact]],
     0
)</f>
        <v>-24874.83</v>
      </c>
      <c r="O47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1321273.4699999997</v>
      </c>
      <c r="P47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161</v>
      </c>
      <c r="Q47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161</v>
      </c>
      <c r="R479" s="41">
        <f>ROW()</f>
        <v>479</v>
      </c>
      <c r="S4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24874.83</v>
      </c>
      <c r="T4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24874.83</v>
      </c>
      <c r="U47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161</v>
      </c>
      <c r="V479" s="111">
        <f>IF(INDEX(TransTypes[],Transactions[[#This Row],[TTR]],TT_COL_GLFlag)=1,Transactions[[#This Row],[CalCashImpact]]+Transactions[[#This Row],[CostImpact]],0)</f>
        <v>0</v>
      </c>
      <c r="W479" s="112">
        <f>Transactions[[#This Row],[Amount]]*INDEX(TransTypes[],Transactions[[#This Row],[TTR]],TT_COL_AmntSign)</f>
        <v>-24874.83</v>
      </c>
      <c r="X479" s="112">
        <f>IF(INDEX(TransTypes[],Transactions[[#This Row],[TTR]],TT_COL_LONGORSHORT)="S",
      IF( OR(INDEX(TransTypes[],Transactions[[#This Row],[TTR]],TT_COL_GLFlag)=1, INDEX(TransTypes[], Transactions[[#This Row],[TTR]], TT_COL_ShareTransferFlag)=1),
            Transactions[[#This Row],[CostImpact]]*-1,
            Transactions[[#This Row],[CalCashImpact]]
      ),
     0
)</f>
        <v>0</v>
      </c>
      <c r="Y479" s="113" t="str">
        <f>VLOOKUP(Transactions[[#This Row],[Symbol]],Symbols[], COLUMN(Symbols[Currency])-COLUMN(Symbols[])+1,FALSE)</f>
        <v>USD</v>
      </c>
    </row>
    <row r="480" spans="1:25">
      <c r="A480" s="100" t="s">
        <v>77</v>
      </c>
      <c r="B480" s="101">
        <v>43047</v>
      </c>
      <c r="C480" s="100" t="s">
        <v>121</v>
      </c>
      <c r="D480" s="100"/>
      <c r="E480" s="100" t="s">
        <v>208</v>
      </c>
      <c r="F480" s="102"/>
      <c r="G480" s="103"/>
      <c r="H480" s="102"/>
      <c r="I480" s="102"/>
      <c r="J480" s="104">
        <v>37.380000000000003</v>
      </c>
      <c r="K480" s="6" t="s">
        <v>530</v>
      </c>
      <c r="L480" s="20">
        <f>IF(ISNA(MATCH(Transactions[[#This Row],[TransType]],TransTypes[TransType],0)),1,MATCH(Transactions[[#This Row],[TransType]],TransTypes[TransType],0))</f>
        <v>6</v>
      </c>
      <c r="M480" s="105">
        <f>IF( AND( INDEX(TransTypes[],Transactions[[#This Row],[TTR]],TT_COL_GLFlag)=1, INDEX(TransTypes[],Transactions[[#This Row],[TTR]],TT_COL_LONGORSHORT)="S" ),
      Transactions[[#This Row],[PL]],
      IF(INDEX(TransTypes[],Transactions[[#This Row],[TTR]],TT_COL_LONGORSHORT)="S",0,Transactions[[#This Row],[CalCashImpact]])
)</f>
        <v>-37.380000000000003</v>
      </c>
      <c r="N480" s="106">
        <f>IF(VLOOKUP(Transactions[[#This Row],[Symbol]],Symbols[],COLUMN(Symbols[Currency])-COLUMN(Symbols[])+1,FALSE)=
       VLOOKUP(Transactions[[#This Row],[Account]],Accounts[],COLUMN(Accounts[Currency])-COLUMN(Accounts[])+1,FALSE),
     Transactions[[#This Row],[OrigCashImpact]],
     0
)</f>
        <v>-37.380000000000003</v>
      </c>
      <c r="O48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1321236.0899999999</v>
      </c>
      <c r="P48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8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80" s="41">
        <f>ROW()</f>
        <v>480</v>
      </c>
      <c r="S4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8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80" s="111">
        <f>IF(INDEX(TransTypes[],Transactions[[#This Row],[TTR]],TT_COL_GLFlag)=1,Transactions[[#This Row],[CalCashImpact]]+Transactions[[#This Row],[CostImpact]],0)</f>
        <v>0</v>
      </c>
      <c r="W480" s="112">
        <f>Transactions[[#This Row],[Amount]]*INDEX(TransTypes[],Transactions[[#This Row],[TTR]],TT_COL_AmntSign)</f>
        <v>-37.380000000000003</v>
      </c>
      <c r="X480" s="112">
        <f>IF(INDEX(TransTypes[],Transactions[[#This Row],[TTR]],TT_COL_LONGORSHORT)="S",
      IF( OR(INDEX(TransTypes[],Transactions[[#This Row],[TTR]],TT_COL_GLFlag)=1, INDEX(TransTypes[], Transactions[[#This Row],[TTR]], TT_COL_ShareTransferFlag)=1),
            Transactions[[#This Row],[CostImpact]]*-1,
            Transactions[[#This Row],[CalCashImpact]]
      ),
     0
)</f>
        <v>0</v>
      </c>
      <c r="Y480" s="113" t="str">
        <f>VLOOKUP(Transactions[[#This Row],[Symbol]],Symbols[], COLUMN(Symbols[Currency])-COLUMN(Symbols[])+1,FALSE)</f>
        <v>USD</v>
      </c>
    </row>
    <row r="481" spans="1:25">
      <c r="A481" s="100" t="s">
        <v>77</v>
      </c>
      <c r="B481" s="101">
        <v>43049</v>
      </c>
      <c r="C481" s="100" t="s">
        <v>119</v>
      </c>
      <c r="D481" s="100"/>
      <c r="E481" s="100" t="s">
        <v>208</v>
      </c>
      <c r="F481" s="102"/>
      <c r="G481" s="103"/>
      <c r="H481" s="102"/>
      <c r="I481" s="102"/>
      <c r="J481" s="104">
        <v>1250000</v>
      </c>
      <c r="K481" s="6" t="s">
        <v>550</v>
      </c>
      <c r="L481" s="20">
        <f>IF(ISNA(MATCH(Transactions[[#This Row],[TransType]],TransTypes[TransType],0)),1,MATCH(Transactions[[#This Row],[TransType]],TransTypes[TransType],0))</f>
        <v>5</v>
      </c>
      <c r="M481" s="105">
        <f>IF( AND( INDEX(TransTypes[],Transactions[[#This Row],[TTR]],TT_COL_GLFlag)=1, INDEX(TransTypes[],Transactions[[#This Row],[TTR]],TT_COL_LONGORSHORT)="S" ),
      Transactions[[#This Row],[PL]],
      IF(INDEX(TransTypes[],Transactions[[#This Row],[TTR]],TT_COL_LONGORSHORT)="S",0,Transactions[[#This Row],[CalCashImpact]])
)</f>
        <v>-1250000</v>
      </c>
      <c r="N481" s="106">
        <f>IF(VLOOKUP(Transactions[[#This Row],[Symbol]],Symbols[],COLUMN(Symbols[Currency])-COLUMN(Symbols[])+1,FALSE)=
       VLOOKUP(Transactions[[#This Row],[Account]],Accounts[],COLUMN(Accounts[Currency])-COLUMN(Accounts[])+1,FALSE),
     Transactions[[#This Row],[OrigCashImpact]],
     0
)</f>
        <v>-1250000</v>
      </c>
      <c r="O48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71236.089999999851</v>
      </c>
      <c r="P48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8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81" s="41">
        <f>ROW()</f>
        <v>481</v>
      </c>
      <c r="S4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8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81" s="111">
        <f>IF(INDEX(TransTypes[],Transactions[[#This Row],[TTR]],TT_COL_GLFlag)=1,Transactions[[#This Row],[CalCashImpact]]+Transactions[[#This Row],[CostImpact]],0)</f>
        <v>0</v>
      </c>
      <c r="W481" s="112">
        <f>Transactions[[#This Row],[Amount]]*INDEX(TransTypes[],Transactions[[#This Row],[TTR]],TT_COL_AmntSign)</f>
        <v>-1250000</v>
      </c>
      <c r="X481" s="112">
        <f>IF(INDEX(TransTypes[],Transactions[[#This Row],[TTR]],TT_COL_LONGORSHORT)="S",
      IF( OR(INDEX(TransTypes[],Transactions[[#This Row],[TTR]],TT_COL_GLFlag)=1, INDEX(TransTypes[], Transactions[[#This Row],[TTR]], TT_COL_ShareTransferFlag)=1),
            Transactions[[#This Row],[CostImpact]]*-1,
            Transactions[[#This Row],[CalCashImpact]]
      ),
     0
)</f>
        <v>0</v>
      </c>
      <c r="Y481" s="113" t="str">
        <f>VLOOKUP(Transactions[[#This Row],[Symbol]],Symbols[], COLUMN(Symbols[Currency])-COLUMN(Symbols[])+1,FALSE)</f>
        <v>USD</v>
      </c>
    </row>
    <row r="482" spans="1:25">
      <c r="A482" s="100" t="s">
        <v>77</v>
      </c>
      <c r="B482" s="101">
        <v>43049</v>
      </c>
      <c r="C482" s="100" t="s">
        <v>119</v>
      </c>
      <c r="D482" s="100"/>
      <c r="E482" s="100" t="s">
        <v>208</v>
      </c>
      <c r="F482" s="102"/>
      <c r="G482" s="103"/>
      <c r="H482" s="102"/>
      <c r="I482" s="102"/>
      <c r="J482" s="104">
        <v>70000</v>
      </c>
      <c r="K482" s="6" t="s">
        <v>551</v>
      </c>
      <c r="L482" s="20">
        <f>IF(ISNA(MATCH(Transactions[[#This Row],[TransType]],TransTypes[TransType],0)),1,MATCH(Transactions[[#This Row],[TransType]],TransTypes[TransType],0))</f>
        <v>5</v>
      </c>
      <c r="M482" s="105">
        <f>IF( AND( INDEX(TransTypes[],Transactions[[#This Row],[TTR]],TT_COL_GLFlag)=1, INDEX(TransTypes[],Transactions[[#This Row],[TTR]],TT_COL_LONGORSHORT)="S" ),
      Transactions[[#This Row],[PL]],
      IF(INDEX(TransTypes[],Transactions[[#This Row],[TTR]],TT_COL_LONGORSHORT)="S",0,Transactions[[#This Row],[CalCashImpact]])
)</f>
        <v>-70000</v>
      </c>
      <c r="N482" s="106">
        <f>IF(VLOOKUP(Transactions[[#This Row],[Symbol]],Symbols[],COLUMN(Symbols[Currency])-COLUMN(Symbols[])+1,FALSE)=
       VLOOKUP(Transactions[[#This Row],[Account]],Accounts[],COLUMN(Accounts[Currency])-COLUMN(Accounts[])+1,FALSE),
     Transactions[[#This Row],[OrigCashImpact]],
     0
)</f>
        <v>-70000</v>
      </c>
      <c r="O48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1236.089999999851</v>
      </c>
      <c r="P48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8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82" s="41">
        <f>ROW()</f>
        <v>482</v>
      </c>
      <c r="S4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8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82" s="111">
        <f>IF(INDEX(TransTypes[],Transactions[[#This Row],[TTR]],TT_COL_GLFlag)=1,Transactions[[#This Row],[CalCashImpact]]+Transactions[[#This Row],[CostImpact]],0)</f>
        <v>0</v>
      </c>
      <c r="W482" s="112">
        <f>Transactions[[#This Row],[Amount]]*INDEX(TransTypes[],Transactions[[#This Row],[TTR]],TT_COL_AmntSign)</f>
        <v>-70000</v>
      </c>
      <c r="X482" s="112">
        <f>IF(INDEX(TransTypes[],Transactions[[#This Row],[TTR]],TT_COL_LONGORSHORT)="S",
      IF( OR(INDEX(TransTypes[],Transactions[[#This Row],[TTR]],TT_COL_GLFlag)=1, INDEX(TransTypes[], Transactions[[#This Row],[TTR]], TT_COL_ShareTransferFlag)=1),
            Transactions[[#This Row],[CostImpact]]*-1,
            Transactions[[#This Row],[CalCashImpact]]
      ),
     0
)</f>
        <v>0</v>
      </c>
      <c r="Y482" s="113" t="str">
        <f>VLOOKUP(Transactions[[#This Row],[Symbol]],Symbols[], COLUMN(Symbols[Currency])-COLUMN(Symbols[])+1,FALSE)</f>
        <v>USD</v>
      </c>
    </row>
    <row r="483" spans="1:25">
      <c r="A483" s="100" t="s">
        <v>77</v>
      </c>
      <c r="B483" s="101">
        <v>43055</v>
      </c>
      <c r="C483" s="100" t="s">
        <v>115</v>
      </c>
      <c r="D483" s="100"/>
      <c r="E483" s="100" t="s">
        <v>20</v>
      </c>
      <c r="F483" s="102">
        <v>195</v>
      </c>
      <c r="G483" s="103">
        <v>126.12358974358899</v>
      </c>
      <c r="H483" s="102">
        <v>9.99</v>
      </c>
      <c r="I483" s="102"/>
      <c r="J483" s="104">
        <v>24584.11</v>
      </c>
      <c r="K483" s="6" t="s">
        <v>552</v>
      </c>
      <c r="L483" s="20">
        <f>IF(ISNA(MATCH(Transactions[[#This Row],[TransType]],TransTypes[TransType],0)),1,MATCH(Transactions[[#This Row],[TransType]],TransTypes[TransType],0))</f>
        <v>3</v>
      </c>
      <c r="M483" s="105">
        <f>IF( AND( INDEX(TransTypes[],Transactions[[#This Row],[TTR]],TT_COL_GLFlag)=1, INDEX(TransTypes[],Transactions[[#This Row],[TTR]],TT_COL_LONGORSHORT)="S" ),
      Transactions[[#This Row],[PL]],
      IF(INDEX(TransTypes[],Transactions[[#This Row],[TTR]],TT_COL_LONGORSHORT)="S",0,Transactions[[#This Row],[CalCashImpact]])
)</f>
        <v>24584.11</v>
      </c>
      <c r="N483" s="106">
        <f>IF(VLOOKUP(Transactions[[#This Row],[Symbol]],Symbols[],COLUMN(Symbols[Currency])-COLUMN(Symbols[])+1,FALSE)=
       VLOOKUP(Transactions[[#This Row],[Account]],Accounts[],COLUMN(Accounts[Currency])-COLUMN(Accounts[])+1,FALSE),
     Transactions[[#This Row],[OrigCashImpact]],
     0
)</f>
        <v>24584.11</v>
      </c>
      <c r="O48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25820.199999999852</v>
      </c>
      <c r="P48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-195</v>
      </c>
      <c r="Q48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1387</v>
      </c>
      <c r="R483" s="41">
        <f>ROW()</f>
        <v>483</v>
      </c>
      <c r="S4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-24149.367321295143</v>
      </c>
      <c r="T4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171770.11525454547</v>
      </c>
      <c r="U48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1582</v>
      </c>
      <c r="V483" s="111">
        <f>IF(INDEX(TransTypes[],Transactions[[#This Row],[TTR]],TT_COL_GLFlag)=1,Transactions[[#This Row],[CalCashImpact]]+Transactions[[#This Row],[CostImpact]],0)</f>
        <v>434.7426787048571</v>
      </c>
      <c r="W483" s="112">
        <f>Transactions[[#This Row],[Amount]]*INDEX(TransTypes[],Transactions[[#This Row],[TTR]],TT_COL_AmntSign)</f>
        <v>24584.11</v>
      </c>
      <c r="X483" s="112">
        <f>IF(INDEX(TransTypes[],Transactions[[#This Row],[TTR]],TT_COL_LONGORSHORT)="S",
      IF( OR(INDEX(TransTypes[],Transactions[[#This Row],[TTR]],TT_COL_GLFlag)=1, INDEX(TransTypes[], Transactions[[#This Row],[TTR]], TT_COL_ShareTransferFlag)=1),
            Transactions[[#This Row],[CostImpact]]*-1,
            Transactions[[#This Row],[CalCashImpact]]
      ),
     0
)</f>
        <v>0</v>
      </c>
      <c r="Y483" s="113" t="str">
        <f>VLOOKUP(Transactions[[#This Row],[Symbol]],Symbols[], COLUMN(Symbols[Currency])-COLUMN(Symbols[])+1,FALSE)</f>
        <v>USD</v>
      </c>
    </row>
    <row r="484" spans="1:25">
      <c r="A484" s="100" t="s">
        <v>77</v>
      </c>
      <c r="B484" s="101">
        <v>43055</v>
      </c>
      <c r="C484" s="100" t="s">
        <v>113</v>
      </c>
      <c r="D484" s="100"/>
      <c r="E484" s="100" t="s">
        <v>508</v>
      </c>
      <c r="F484" s="102">
        <v>162</v>
      </c>
      <c r="G484" s="103">
        <v>154.75</v>
      </c>
      <c r="H484" s="102">
        <v>9.99</v>
      </c>
      <c r="I484" s="102"/>
      <c r="J484" s="104">
        <v>25079.49</v>
      </c>
      <c r="K484" s="6" t="s">
        <v>553</v>
      </c>
      <c r="L484" s="20">
        <f>IF(ISNA(MATCH(Transactions[[#This Row],[TransType]],TransTypes[TransType],0)),1,MATCH(Transactions[[#This Row],[TransType]],TransTypes[TransType],0))</f>
        <v>2</v>
      </c>
      <c r="M484" s="105">
        <f>IF( AND( INDEX(TransTypes[],Transactions[[#This Row],[TTR]],TT_COL_GLFlag)=1, INDEX(TransTypes[],Transactions[[#This Row],[TTR]],TT_COL_LONGORSHORT)="S" ),
      Transactions[[#This Row],[PL]],
      IF(INDEX(TransTypes[],Transactions[[#This Row],[TTR]],TT_COL_LONGORSHORT)="S",0,Transactions[[#This Row],[CalCashImpact]])
)</f>
        <v>-25079.49</v>
      </c>
      <c r="N484" s="106">
        <f>IF(VLOOKUP(Transactions[[#This Row],[Symbol]],Symbols[],COLUMN(Symbols[Currency])-COLUMN(Symbols[])+1,FALSE)=
       VLOOKUP(Transactions[[#This Row],[Account]],Accounts[],COLUMN(Accounts[Currency])-COLUMN(Accounts[])+1,FALSE),
     Transactions[[#This Row],[OrigCashImpact]],
     0
)</f>
        <v>-25079.49</v>
      </c>
      <c r="O48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740.70999999984997</v>
      </c>
      <c r="P48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162</v>
      </c>
      <c r="Q48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323</v>
      </c>
      <c r="R484" s="41">
        <f>ROW()</f>
        <v>484</v>
      </c>
      <c r="S4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25079.49</v>
      </c>
      <c r="T4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49954.320000000007</v>
      </c>
      <c r="U48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323</v>
      </c>
      <c r="V484" s="111">
        <f>IF(INDEX(TransTypes[],Transactions[[#This Row],[TTR]],TT_COL_GLFlag)=1,Transactions[[#This Row],[CalCashImpact]]+Transactions[[#This Row],[CostImpact]],0)</f>
        <v>0</v>
      </c>
      <c r="W484" s="112">
        <f>Transactions[[#This Row],[Amount]]*INDEX(TransTypes[],Transactions[[#This Row],[TTR]],TT_COL_AmntSign)</f>
        <v>-25079.49</v>
      </c>
      <c r="X484" s="112">
        <f>IF(INDEX(TransTypes[],Transactions[[#This Row],[TTR]],TT_COL_LONGORSHORT)="S",
      IF( OR(INDEX(TransTypes[],Transactions[[#This Row],[TTR]],TT_COL_GLFlag)=1, INDEX(TransTypes[], Transactions[[#This Row],[TTR]], TT_COL_ShareTransferFlag)=1),
            Transactions[[#This Row],[CostImpact]]*-1,
            Transactions[[#This Row],[CalCashImpact]]
      ),
     0
)</f>
        <v>0</v>
      </c>
      <c r="Y484" s="113" t="str">
        <f>VLOOKUP(Transactions[[#This Row],[Symbol]],Symbols[], COLUMN(Symbols[Currency])-COLUMN(Symbols[])+1,FALSE)</f>
        <v>USD</v>
      </c>
    </row>
    <row r="485" spans="1:25">
      <c r="A485" s="100" t="s">
        <v>77</v>
      </c>
      <c r="B485" s="101">
        <v>43055</v>
      </c>
      <c r="C485" s="100" t="s">
        <v>121</v>
      </c>
      <c r="D485" s="100"/>
      <c r="E485" s="100" t="s">
        <v>208</v>
      </c>
      <c r="F485" s="102"/>
      <c r="G485" s="103"/>
      <c r="H485" s="102"/>
      <c r="I485" s="102"/>
      <c r="J485" s="104">
        <v>0.56999999999999995</v>
      </c>
      <c r="K485" s="6" t="s">
        <v>530</v>
      </c>
      <c r="L485" s="20">
        <f>IF(ISNA(MATCH(Transactions[[#This Row],[TransType]],TransTypes[TransType],0)),1,MATCH(Transactions[[#This Row],[TransType]],TransTypes[TransType],0))</f>
        <v>6</v>
      </c>
      <c r="M485" s="105">
        <f>IF( AND( INDEX(TransTypes[],Transactions[[#This Row],[TTR]],TT_COL_GLFlag)=1, INDEX(TransTypes[],Transactions[[#This Row],[TTR]],TT_COL_LONGORSHORT)="S" ),
      Transactions[[#This Row],[PL]],
      IF(INDEX(TransTypes[],Transactions[[#This Row],[TTR]],TT_COL_LONGORSHORT)="S",0,Transactions[[#This Row],[CalCashImpact]])
)</f>
        <v>-0.56999999999999995</v>
      </c>
      <c r="N485" s="106">
        <f>IF(VLOOKUP(Transactions[[#This Row],[Symbol]],Symbols[],COLUMN(Symbols[Currency])-COLUMN(Symbols[])+1,FALSE)=
       VLOOKUP(Transactions[[#This Row],[Account]],Accounts[],COLUMN(Accounts[Currency])-COLUMN(Accounts[])+1,FALSE),
     Transactions[[#This Row],[OrigCashImpact]],
     0
)</f>
        <v>-0.56999999999999995</v>
      </c>
      <c r="O48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740.13999999985003</v>
      </c>
      <c r="P48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8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85" s="41">
        <f>ROW()</f>
        <v>485</v>
      </c>
      <c r="S4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8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85" s="111">
        <f>IF(INDEX(TransTypes[],Transactions[[#This Row],[TTR]],TT_COL_GLFlag)=1,Transactions[[#This Row],[CalCashImpact]]+Transactions[[#This Row],[CostImpact]],0)</f>
        <v>0</v>
      </c>
      <c r="W485" s="112">
        <f>Transactions[[#This Row],[Amount]]*INDEX(TransTypes[],Transactions[[#This Row],[TTR]],TT_COL_AmntSign)</f>
        <v>-0.56999999999999995</v>
      </c>
      <c r="X485" s="112">
        <f>IF(INDEX(TransTypes[],Transactions[[#This Row],[TTR]],TT_COL_LONGORSHORT)="S",
      IF( OR(INDEX(TransTypes[],Transactions[[#This Row],[TTR]],TT_COL_GLFlag)=1, INDEX(TransTypes[], Transactions[[#This Row],[TTR]], TT_COL_ShareTransferFlag)=1),
            Transactions[[#This Row],[CostImpact]]*-1,
            Transactions[[#This Row],[CalCashImpact]]
      ),
     0
)</f>
        <v>0</v>
      </c>
      <c r="Y485" s="113" t="str">
        <f>VLOOKUP(Transactions[[#This Row],[Symbol]],Symbols[], COLUMN(Symbols[Currency])-COLUMN(Symbols[])+1,FALSE)</f>
        <v>USD</v>
      </c>
    </row>
    <row r="486" spans="1:25">
      <c r="A486" s="100" t="s">
        <v>77</v>
      </c>
      <c r="B486" s="101">
        <v>43060</v>
      </c>
      <c r="C486" s="100" t="s">
        <v>160</v>
      </c>
      <c r="D486" s="100"/>
      <c r="E486" s="100" t="s">
        <v>501</v>
      </c>
      <c r="F486" s="102">
        <v>4</v>
      </c>
      <c r="G486" s="103">
        <v>0.76</v>
      </c>
      <c r="H486" s="102">
        <v>14.99</v>
      </c>
      <c r="I486" s="102"/>
      <c r="J486" s="104">
        <v>318.99</v>
      </c>
      <c r="K486" s="6" t="s">
        <v>554</v>
      </c>
      <c r="L486" s="20">
        <f>IF(ISNA(MATCH(Transactions[[#This Row],[TransType]],TransTypes[TransType],0)),1,MATCH(Transactions[[#This Row],[TransType]],TransTypes[TransType],0))</f>
        <v>20</v>
      </c>
      <c r="M486" s="105">
        <f>IF( AND( INDEX(TransTypes[],Transactions[[#This Row],[TTR]],TT_COL_GLFlag)=1, INDEX(TransTypes[],Transactions[[#This Row],[TTR]],TT_COL_LONGORSHORT)="S" ),
      Transactions[[#This Row],[PL]],
      IF(INDEX(TransTypes[],Transactions[[#This Row],[TTR]],TT_COL_LONGORSHORT)="S",0,Transactions[[#This Row],[CalCashImpact]])
)</f>
        <v>146.01999999999998</v>
      </c>
      <c r="N486" s="106">
        <f>IF(VLOOKUP(Transactions[[#This Row],[Symbol]],Symbols[],COLUMN(Symbols[Currency])-COLUMN(Symbols[])+1,FALSE)=
       VLOOKUP(Transactions[[#This Row],[Account]],Accounts[],COLUMN(Accounts[Currency])-COLUMN(Accounts[])+1,FALSE),
     Transactions[[#This Row],[OrigCashImpact]],
     0
)</f>
        <v>146.01999999999998</v>
      </c>
      <c r="O48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886.1599999998499</v>
      </c>
      <c r="P48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48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86" s="41">
        <f>ROW()</f>
        <v>486</v>
      </c>
      <c r="S4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465.01</v>
      </c>
      <c r="T4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8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486" s="111">
        <f>IF(INDEX(TransTypes[],Transactions[[#This Row],[TTR]],TT_COL_GLFlag)=1,Transactions[[#This Row],[CalCashImpact]]+Transactions[[#This Row],[CostImpact]],0)</f>
        <v>146.01999999999998</v>
      </c>
      <c r="W486" s="112">
        <f>Transactions[[#This Row],[Amount]]*INDEX(TransTypes[],Transactions[[#This Row],[TTR]],TT_COL_AmntSign)</f>
        <v>-318.99</v>
      </c>
      <c r="X486" s="112">
        <f>IF(INDEX(TransTypes[],Transactions[[#This Row],[TTR]],TT_COL_LONGORSHORT)="S",
      IF( OR(INDEX(TransTypes[],Transactions[[#This Row],[TTR]],TT_COL_GLFlag)=1, INDEX(TransTypes[], Transactions[[#This Row],[TTR]], TT_COL_ShareTransferFlag)=1),
            Transactions[[#This Row],[CostImpact]]*-1,
            Transactions[[#This Row],[CalCashImpact]]
      ),
     0
)</f>
        <v>-465.01</v>
      </c>
      <c r="Y486" s="113" t="str">
        <f>VLOOKUP(Transactions[[#This Row],[Symbol]],Symbols[], COLUMN(Symbols[Currency])-COLUMN(Symbols[])+1,FALSE)</f>
        <v>USD</v>
      </c>
    </row>
    <row r="487" spans="1:25">
      <c r="A487" s="100" t="s">
        <v>77</v>
      </c>
      <c r="B487" s="101">
        <v>43063</v>
      </c>
      <c r="C487" s="100" t="s">
        <v>115</v>
      </c>
      <c r="D487" s="100"/>
      <c r="E487" s="100" t="s">
        <v>513</v>
      </c>
      <c r="F487" s="102">
        <v>395</v>
      </c>
      <c r="G487" s="103">
        <v>16.4149873417721</v>
      </c>
      <c r="H487" s="102">
        <v>9.99</v>
      </c>
      <c r="I487" s="102"/>
      <c r="J487" s="104">
        <v>6473.93</v>
      </c>
      <c r="K487" s="6" t="s">
        <v>555</v>
      </c>
      <c r="L487" s="20">
        <f>IF(ISNA(MATCH(Transactions[[#This Row],[TransType]],TransTypes[TransType],0)),1,MATCH(Transactions[[#This Row],[TransType]],TransTypes[TransType],0))</f>
        <v>3</v>
      </c>
      <c r="M487" s="105">
        <f>IF( AND( INDEX(TransTypes[],Transactions[[#This Row],[TTR]],TT_COL_GLFlag)=1, INDEX(TransTypes[],Transactions[[#This Row],[TTR]],TT_COL_LONGORSHORT)="S" ),
      Transactions[[#This Row],[PL]],
      IF(INDEX(TransTypes[],Transactions[[#This Row],[TTR]],TT_COL_LONGORSHORT)="S",0,Transactions[[#This Row],[CalCashImpact]])
)</f>
        <v>6473.93</v>
      </c>
      <c r="N487" s="106">
        <f>IF(VLOOKUP(Transactions[[#This Row],[Symbol]],Symbols[],COLUMN(Symbols[Currency])-COLUMN(Symbols[])+1,FALSE)=
       VLOOKUP(Transactions[[#This Row],[Account]],Accounts[],COLUMN(Accounts[Currency])-COLUMN(Accounts[])+1,FALSE),
     Transactions[[#This Row],[OrigCashImpact]],
     0
)</f>
        <v>6473.93</v>
      </c>
      <c r="O48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7360.0899999998501</v>
      </c>
      <c r="P48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-395</v>
      </c>
      <c r="Q48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1427</v>
      </c>
      <c r="R487" s="41">
        <f>ROW()</f>
        <v>487</v>
      </c>
      <c r="S4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-6493.8325192096599</v>
      </c>
      <c r="T4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23459.997480790342</v>
      </c>
      <c r="U48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1822</v>
      </c>
      <c r="V487" s="111">
        <f>IF(INDEX(TransTypes[],Transactions[[#This Row],[TTR]],TT_COL_GLFlag)=1,Transactions[[#This Row],[CalCashImpact]]+Transactions[[#This Row],[CostImpact]],0)</f>
        <v>-19.902519209659658</v>
      </c>
      <c r="W487" s="112">
        <f>Transactions[[#This Row],[Amount]]*INDEX(TransTypes[],Transactions[[#This Row],[TTR]],TT_COL_AmntSign)</f>
        <v>6473.93</v>
      </c>
      <c r="X487" s="112">
        <f>IF(INDEX(TransTypes[],Transactions[[#This Row],[TTR]],TT_COL_LONGORSHORT)="S",
      IF( OR(INDEX(TransTypes[],Transactions[[#This Row],[TTR]],TT_COL_GLFlag)=1, INDEX(TransTypes[], Transactions[[#This Row],[TTR]], TT_COL_ShareTransferFlag)=1),
            Transactions[[#This Row],[CostImpact]]*-1,
            Transactions[[#This Row],[CalCashImpact]]
      ),
     0
)</f>
        <v>0</v>
      </c>
      <c r="Y487" s="113" t="str">
        <f>VLOOKUP(Transactions[[#This Row],[Symbol]],Symbols[], COLUMN(Symbols[Currency])-COLUMN(Symbols[])+1,FALSE)</f>
        <v>USD</v>
      </c>
    </row>
    <row r="488" spans="1:25">
      <c r="A488" s="100" t="s">
        <v>77</v>
      </c>
      <c r="B488" s="101">
        <v>43063</v>
      </c>
      <c r="C488" s="100" t="s">
        <v>115</v>
      </c>
      <c r="D488" s="100"/>
      <c r="E488" s="100" t="s">
        <v>27</v>
      </c>
      <c r="F488" s="102">
        <v>40</v>
      </c>
      <c r="G488" s="103">
        <v>122.32</v>
      </c>
      <c r="H488" s="102">
        <v>9.99</v>
      </c>
      <c r="I488" s="102"/>
      <c r="J488" s="104">
        <v>4882.8100000000004</v>
      </c>
      <c r="K488" s="6" t="s">
        <v>556</v>
      </c>
      <c r="L488" s="20">
        <f>IF(ISNA(MATCH(Transactions[[#This Row],[TransType]],TransTypes[TransType],0)),1,MATCH(Transactions[[#This Row],[TransType]],TransTypes[TransType],0))</f>
        <v>3</v>
      </c>
      <c r="M488" s="105">
        <f>IF( AND( INDEX(TransTypes[],Transactions[[#This Row],[TTR]],TT_COL_GLFlag)=1, INDEX(TransTypes[],Transactions[[#This Row],[TTR]],TT_COL_LONGORSHORT)="S" ),
      Transactions[[#This Row],[PL]],
      IF(INDEX(TransTypes[],Transactions[[#This Row],[TTR]],TT_COL_LONGORSHORT)="S",0,Transactions[[#This Row],[CalCashImpact]])
)</f>
        <v>4882.8100000000004</v>
      </c>
      <c r="N488" s="106">
        <f>IF(VLOOKUP(Transactions[[#This Row],[Symbol]],Symbols[],COLUMN(Symbols[Currency])-COLUMN(Symbols[])+1,FALSE)=
       VLOOKUP(Transactions[[#This Row],[Account]],Accounts[],COLUMN(Accounts[Currency])-COLUMN(Accounts[])+1,FALSE),
     Transactions[[#This Row],[OrigCashImpact]],
     0
)</f>
        <v>4882.8100000000004</v>
      </c>
      <c r="O48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12242.899999999852</v>
      </c>
      <c r="P48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v>
      </c>
      <c r="Q48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205</v>
      </c>
      <c r="R488" s="41">
        <f>ROW()</f>
        <v>488</v>
      </c>
      <c r="S4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-4881.4187755102039</v>
      </c>
      <c r="T4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25017.271224489796</v>
      </c>
      <c r="U48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245</v>
      </c>
      <c r="V488" s="111">
        <f>IF(INDEX(TransTypes[],Transactions[[#This Row],[TTR]],TT_COL_GLFlag)=1,Transactions[[#This Row],[CalCashImpact]]+Transactions[[#This Row],[CostImpact]],0)</f>
        <v>1.3912244897965138</v>
      </c>
      <c r="W488" s="112">
        <f>Transactions[[#This Row],[Amount]]*INDEX(TransTypes[],Transactions[[#This Row],[TTR]],TT_COL_AmntSign)</f>
        <v>4882.8100000000004</v>
      </c>
      <c r="X488" s="112">
        <f>IF(INDEX(TransTypes[],Transactions[[#This Row],[TTR]],TT_COL_LONGORSHORT)="S",
      IF( OR(INDEX(TransTypes[],Transactions[[#This Row],[TTR]],TT_COL_GLFlag)=1, INDEX(TransTypes[], Transactions[[#This Row],[TTR]], TT_COL_ShareTransferFlag)=1),
            Transactions[[#This Row],[CostImpact]]*-1,
            Transactions[[#This Row],[CalCashImpact]]
      ),
     0
)</f>
        <v>0</v>
      </c>
      <c r="Y488" s="113" t="str">
        <f>VLOOKUP(Transactions[[#This Row],[Symbol]],Symbols[], COLUMN(Symbols[Currency])-COLUMN(Symbols[])+1,FALSE)</f>
        <v>USD</v>
      </c>
    </row>
    <row r="489" spans="1:25">
      <c r="A489" s="100" t="s">
        <v>77</v>
      </c>
      <c r="B489" s="101">
        <v>43063</v>
      </c>
      <c r="C489" s="100" t="s">
        <v>115</v>
      </c>
      <c r="D489" s="100"/>
      <c r="E489" s="100" t="s">
        <v>20</v>
      </c>
      <c r="F489" s="102">
        <v>395</v>
      </c>
      <c r="G489" s="103">
        <v>126.835392405063</v>
      </c>
      <c r="H489" s="102">
        <v>9.99</v>
      </c>
      <c r="I489" s="102"/>
      <c r="J489" s="104">
        <v>50089.99</v>
      </c>
      <c r="K489" s="6" t="s">
        <v>557</v>
      </c>
      <c r="L489" s="20">
        <f>IF(ISNA(MATCH(Transactions[[#This Row],[TransType]],TransTypes[TransType],0)),1,MATCH(Transactions[[#This Row],[TransType]],TransTypes[TransType],0))</f>
        <v>3</v>
      </c>
      <c r="M489" s="105">
        <f>IF( AND( INDEX(TransTypes[],Transactions[[#This Row],[TTR]],TT_COL_GLFlag)=1, INDEX(TransTypes[],Transactions[[#This Row],[TTR]],TT_COL_LONGORSHORT)="S" ),
      Transactions[[#This Row],[PL]],
      IF(INDEX(TransTypes[],Transactions[[#This Row],[TTR]],TT_COL_LONGORSHORT)="S",0,Transactions[[#This Row],[CalCashImpact]])
)</f>
        <v>50089.99</v>
      </c>
      <c r="N489" s="106">
        <f>IF(VLOOKUP(Transactions[[#This Row],[Symbol]],Symbols[],COLUMN(Symbols[Currency])-COLUMN(Symbols[])+1,FALSE)=
       VLOOKUP(Transactions[[#This Row],[Account]],Accounts[],COLUMN(Accounts[Currency])-COLUMN(Accounts[])+1,FALSE),
     Transactions[[#This Row],[OrigCashImpact]],
     0
)</f>
        <v>50089.99</v>
      </c>
      <c r="O48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62332.889999999847</v>
      </c>
      <c r="P48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-395</v>
      </c>
      <c r="Q48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992</v>
      </c>
      <c r="R489" s="41">
        <f>ROW()</f>
        <v>489</v>
      </c>
      <c r="S4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-48917.949189290164</v>
      </c>
      <c r="T4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122852.1660652553</v>
      </c>
      <c r="U48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1387</v>
      </c>
      <c r="V489" s="111">
        <f>IF(INDEX(TransTypes[],Transactions[[#This Row],[TTR]],TT_COL_GLFlag)=1,Transactions[[#This Row],[CalCashImpact]]+Transactions[[#This Row],[CostImpact]],0)</f>
        <v>1172.0408107098337</v>
      </c>
      <c r="W489" s="112">
        <f>Transactions[[#This Row],[Amount]]*INDEX(TransTypes[],Transactions[[#This Row],[TTR]],TT_COL_AmntSign)</f>
        <v>50089.99</v>
      </c>
      <c r="X489" s="112">
        <f>IF(INDEX(TransTypes[],Transactions[[#This Row],[TTR]],TT_COL_LONGORSHORT)="S",
      IF( OR(INDEX(TransTypes[],Transactions[[#This Row],[TTR]],TT_COL_GLFlag)=1, INDEX(TransTypes[], Transactions[[#This Row],[TTR]], TT_COL_ShareTransferFlag)=1),
            Transactions[[#This Row],[CostImpact]]*-1,
            Transactions[[#This Row],[CalCashImpact]]
      ),
     0
)</f>
        <v>0</v>
      </c>
      <c r="Y489" s="113" t="str">
        <f>VLOOKUP(Transactions[[#This Row],[Symbol]],Symbols[], COLUMN(Symbols[Currency])-COLUMN(Symbols[])+1,FALSE)</f>
        <v>USD</v>
      </c>
    </row>
    <row r="490" spans="1:25">
      <c r="A490" s="100" t="s">
        <v>77</v>
      </c>
      <c r="B490" s="101">
        <v>43063</v>
      </c>
      <c r="C490" s="100" t="s">
        <v>113</v>
      </c>
      <c r="D490" s="100"/>
      <c r="E490" s="100" t="s">
        <v>16</v>
      </c>
      <c r="F490" s="102">
        <v>38</v>
      </c>
      <c r="G490" s="103">
        <v>260.44</v>
      </c>
      <c r="H490" s="102">
        <v>9.99</v>
      </c>
      <c r="I490" s="102"/>
      <c r="J490" s="104">
        <v>9906.7099999999991</v>
      </c>
      <c r="K490" s="6" t="s">
        <v>558</v>
      </c>
      <c r="L490" s="20">
        <f>IF(ISNA(MATCH(Transactions[[#This Row],[TransType]],TransTypes[TransType],0)),1,MATCH(Transactions[[#This Row],[TransType]],TransTypes[TransType],0))</f>
        <v>2</v>
      </c>
      <c r="M490" s="105">
        <f>IF( AND( INDEX(TransTypes[],Transactions[[#This Row],[TTR]],TT_COL_GLFlag)=1, INDEX(TransTypes[],Transactions[[#This Row],[TTR]],TT_COL_LONGORSHORT)="S" ),
      Transactions[[#This Row],[PL]],
      IF(INDEX(TransTypes[],Transactions[[#This Row],[TTR]],TT_COL_LONGORSHORT)="S",0,Transactions[[#This Row],[CalCashImpact]])
)</f>
        <v>-9906.7099999999991</v>
      </c>
      <c r="N490" s="106">
        <f>IF(VLOOKUP(Transactions[[#This Row],[Symbol]],Symbols[],COLUMN(Symbols[Currency])-COLUMN(Symbols[])+1,FALSE)=
       VLOOKUP(Transactions[[#This Row],[Account]],Accounts[],COLUMN(Accounts[Currency])-COLUMN(Accounts[])+1,FALSE),
     Transactions[[#This Row],[OrigCashImpact]],
     0
)</f>
        <v>-9906.7099999999991</v>
      </c>
      <c r="O49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52426.179999999847</v>
      </c>
      <c r="P49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38</v>
      </c>
      <c r="Q49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443</v>
      </c>
      <c r="R490" s="41">
        <f>ROW()</f>
        <v>490</v>
      </c>
      <c r="S4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9906.7099999999991</v>
      </c>
      <c r="T4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114737.91</v>
      </c>
      <c r="U49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443</v>
      </c>
      <c r="V490" s="111">
        <f>IF(INDEX(TransTypes[],Transactions[[#This Row],[TTR]],TT_COL_GLFlag)=1,Transactions[[#This Row],[CalCashImpact]]+Transactions[[#This Row],[CostImpact]],0)</f>
        <v>0</v>
      </c>
      <c r="W490" s="112">
        <f>Transactions[[#This Row],[Amount]]*INDEX(TransTypes[],Transactions[[#This Row],[TTR]],TT_COL_AmntSign)</f>
        <v>-9906.7099999999991</v>
      </c>
      <c r="X490" s="112">
        <f>IF(INDEX(TransTypes[],Transactions[[#This Row],[TTR]],TT_COL_LONGORSHORT)="S",
      IF( OR(INDEX(TransTypes[],Transactions[[#This Row],[TTR]],TT_COL_GLFlag)=1, INDEX(TransTypes[], Transactions[[#This Row],[TTR]], TT_COL_ShareTransferFlag)=1),
            Transactions[[#This Row],[CostImpact]]*-1,
            Transactions[[#This Row],[CalCashImpact]]
      ),
     0
)</f>
        <v>0</v>
      </c>
      <c r="Y490" s="113" t="str">
        <f>VLOOKUP(Transactions[[#This Row],[Symbol]],Symbols[], COLUMN(Symbols[Currency])-COLUMN(Symbols[])+1,FALSE)</f>
        <v>USD</v>
      </c>
    </row>
    <row r="491" spans="1:25">
      <c r="A491" s="100" t="s">
        <v>77</v>
      </c>
      <c r="B491" s="101">
        <v>43063</v>
      </c>
      <c r="C491" s="100" t="s">
        <v>113</v>
      </c>
      <c r="D491" s="100"/>
      <c r="E491" s="100" t="s">
        <v>508</v>
      </c>
      <c r="F491" s="102">
        <v>158</v>
      </c>
      <c r="G491" s="103">
        <v>156.25462025316401</v>
      </c>
      <c r="H491" s="102">
        <v>9.99</v>
      </c>
      <c r="I491" s="102"/>
      <c r="J491" s="104">
        <v>24698.22</v>
      </c>
      <c r="K491" s="6" t="s">
        <v>559</v>
      </c>
      <c r="L491" s="20">
        <f>IF(ISNA(MATCH(Transactions[[#This Row],[TransType]],TransTypes[TransType],0)),1,MATCH(Transactions[[#This Row],[TransType]],TransTypes[TransType],0))</f>
        <v>2</v>
      </c>
      <c r="M491" s="105">
        <f>IF( AND( INDEX(TransTypes[],Transactions[[#This Row],[TTR]],TT_COL_GLFlag)=1, INDEX(TransTypes[],Transactions[[#This Row],[TTR]],TT_COL_LONGORSHORT)="S" ),
      Transactions[[#This Row],[PL]],
      IF(INDEX(TransTypes[],Transactions[[#This Row],[TTR]],TT_COL_LONGORSHORT)="S",0,Transactions[[#This Row],[CalCashImpact]])
)</f>
        <v>-24698.22</v>
      </c>
      <c r="N491" s="106">
        <f>IF(VLOOKUP(Transactions[[#This Row],[Symbol]],Symbols[],COLUMN(Symbols[Currency])-COLUMN(Symbols[])+1,FALSE)=
       VLOOKUP(Transactions[[#This Row],[Account]],Accounts[],COLUMN(Accounts[Currency])-COLUMN(Accounts[])+1,FALSE),
     Transactions[[#This Row],[OrigCashImpact]],
     0
)</f>
        <v>-24698.22</v>
      </c>
      <c r="O49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27727.959999999846</v>
      </c>
      <c r="P49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158</v>
      </c>
      <c r="Q49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481</v>
      </c>
      <c r="R491" s="41">
        <f>ROW()</f>
        <v>491</v>
      </c>
      <c r="S4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24698.22</v>
      </c>
      <c r="T4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74652.540000000008</v>
      </c>
      <c r="U49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481</v>
      </c>
      <c r="V491" s="111">
        <f>IF(INDEX(TransTypes[],Transactions[[#This Row],[TTR]],TT_COL_GLFlag)=1,Transactions[[#This Row],[CalCashImpact]]+Transactions[[#This Row],[CostImpact]],0)</f>
        <v>0</v>
      </c>
      <c r="W491" s="112">
        <f>Transactions[[#This Row],[Amount]]*INDEX(TransTypes[],Transactions[[#This Row],[TTR]],TT_COL_AmntSign)</f>
        <v>-24698.22</v>
      </c>
      <c r="X491" s="112">
        <f>IF(INDEX(TransTypes[],Transactions[[#This Row],[TTR]],TT_COL_LONGORSHORT)="S",
      IF( OR(INDEX(TransTypes[],Transactions[[#This Row],[TTR]],TT_COL_GLFlag)=1, INDEX(TransTypes[], Transactions[[#This Row],[TTR]], TT_COL_ShareTransferFlag)=1),
            Transactions[[#This Row],[CostImpact]]*-1,
            Transactions[[#This Row],[CalCashImpact]]
      ),
     0
)</f>
        <v>0</v>
      </c>
      <c r="Y491" s="113" t="str">
        <f>VLOOKUP(Transactions[[#This Row],[Symbol]],Symbols[], COLUMN(Symbols[Currency])-COLUMN(Symbols[])+1,FALSE)</f>
        <v>USD</v>
      </c>
    </row>
    <row r="492" spans="1:25">
      <c r="A492" s="100" t="s">
        <v>77</v>
      </c>
      <c r="B492" s="101">
        <v>43063</v>
      </c>
      <c r="C492" s="100" t="s">
        <v>113</v>
      </c>
      <c r="D492" s="100"/>
      <c r="E492" s="100" t="s">
        <v>508</v>
      </c>
      <c r="F492" s="102">
        <v>172</v>
      </c>
      <c r="G492" s="103">
        <v>156.234593023255</v>
      </c>
      <c r="H492" s="102">
        <v>9.99</v>
      </c>
      <c r="I492" s="102"/>
      <c r="J492" s="104">
        <v>26882.34</v>
      </c>
      <c r="K492" s="6" t="s">
        <v>560</v>
      </c>
      <c r="L492" s="20">
        <f>IF(ISNA(MATCH(Transactions[[#This Row],[TransType]],TransTypes[TransType],0)),1,MATCH(Transactions[[#This Row],[TransType]],TransTypes[TransType],0))</f>
        <v>2</v>
      </c>
      <c r="M492" s="105">
        <f>IF( AND( INDEX(TransTypes[],Transactions[[#This Row],[TTR]],TT_COL_GLFlag)=1, INDEX(TransTypes[],Transactions[[#This Row],[TTR]],TT_COL_LONGORSHORT)="S" ),
      Transactions[[#This Row],[PL]],
      IF(INDEX(TransTypes[],Transactions[[#This Row],[TTR]],TT_COL_LONGORSHORT)="S",0,Transactions[[#This Row],[CalCashImpact]])
)</f>
        <v>-26882.34</v>
      </c>
      <c r="N492" s="106">
        <f>IF(VLOOKUP(Transactions[[#This Row],[Symbol]],Symbols[],COLUMN(Symbols[Currency])-COLUMN(Symbols[])+1,FALSE)=
       VLOOKUP(Transactions[[#This Row],[Account]],Accounts[],COLUMN(Accounts[Currency])-COLUMN(Accounts[])+1,FALSE),
     Transactions[[#This Row],[OrigCashImpact]],
     0
)</f>
        <v>-26882.34</v>
      </c>
      <c r="O49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845.61999999984539</v>
      </c>
      <c r="P49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172</v>
      </c>
      <c r="Q49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653</v>
      </c>
      <c r="R492" s="41">
        <f>ROW()</f>
        <v>492</v>
      </c>
      <c r="S4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26882.34</v>
      </c>
      <c r="T4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101534.88</v>
      </c>
      <c r="U49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653</v>
      </c>
      <c r="V492" s="111">
        <f>IF(INDEX(TransTypes[],Transactions[[#This Row],[TTR]],TT_COL_GLFlag)=1,Transactions[[#This Row],[CalCashImpact]]+Transactions[[#This Row],[CostImpact]],0)</f>
        <v>0</v>
      </c>
      <c r="W492" s="112">
        <f>Transactions[[#This Row],[Amount]]*INDEX(TransTypes[],Transactions[[#This Row],[TTR]],TT_COL_AmntSign)</f>
        <v>-26882.34</v>
      </c>
      <c r="X492" s="112">
        <f>IF(INDEX(TransTypes[],Transactions[[#This Row],[TTR]],TT_COL_LONGORSHORT)="S",
      IF( OR(INDEX(TransTypes[],Transactions[[#This Row],[TTR]],TT_COL_GLFlag)=1, INDEX(TransTypes[], Transactions[[#This Row],[TTR]], TT_COL_ShareTransferFlag)=1),
            Transactions[[#This Row],[CostImpact]]*-1,
            Transactions[[#This Row],[CalCashImpact]]
      ),
     0
)</f>
        <v>0</v>
      </c>
      <c r="Y492" s="113" t="str">
        <f>VLOOKUP(Transactions[[#This Row],[Symbol]],Symbols[], COLUMN(Symbols[Currency])-COLUMN(Symbols[])+1,FALSE)</f>
        <v>USD</v>
      </c>
    </row>
    <row r="493" spans="1:25">
      <c r="A493" s="100" t="s">
        <v>77</v>
      </c>
      <c r="B493" s="101">
        <v>43063</v>
      </c>
      <c r="C493" s="100" t="s">
        <v>121</v>
      </c>
      <c r="D493" s="100"/>
      <c r="E493" s="100" t="s">
        <v>208</v>
      </c>
      <c r="F493" s="102"/>
      <c r="G493" s="103"/>
      <c r="H493" s="102"/>
      <c r="I493" s="102"/>
      <c r="J493" s="104">
        <v>1.42</v>
      </c>
      <c r="K493" s="6" t="s">
        <v>530</v>
      </c>
      <c r="L493" s="20">
        <f>IF(ISNA(MATCH(Transactions[[#This Row],[TransType]],TransTypes[TransType],0)),1,MATCH(Transactions[[#This Row],[TransType]],TransTypes[TransType],0))</f>
        <v>6</v>
      </c>
      <c r="M493" s="105">
        <f>IF( AND( INDEX(TransTypes[],Transactions[[#This Row],[TTR]],TT_COL_GLFlag)=1, INDEX(TransTypes[],Transactions[[#This Row],[TTR]],TT_COL_LONGORSHORT)="S" ),
      Transactions[[#This Row],[PL]],
      IF(INDEX(TransTypes[],Transactions[[#This Row],[TTR]],TT_COL_LONGORSHORT)="S",0,Transactions[[#This Row],[CalCashImpact]])
)</f>
        <v>-1.42</v>
      </c>
      <c r="N493" s="106">
        <f>IF(VLOOKUP(Transactions[[#This Row],[Symbol]],Symbols[],COLUMN(Symbols[Currency])-COLUMN(Symbols[])+1,FALSE)=
       VLOOKUP(Transactions[[#This Row],[Account]],Accounts[],COLUMN(Accounts[Currency])-COLUMN(Accounts[])+1,FALSE),
     Transactions[[#This Row],[OrigCashImpact]],
     0
)</f>
        <v>-1.42</v>
      </c>
      <c r="O49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844.19999999984543</v>
      </c>
      <c r="P49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9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493" s="41">
        <f>ROW()</f>
        <v>493</v>
      </c>
      <c r="S4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49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493" s="111">
        <f>IF(INDEX(TransTypes[],Transactions[[#This Row],[TTR]],TT_COL_GLFlag)=1,Transactions[[#This Row],[CalCashImpact]]+Transactions[[#This Row],[CostImpact]],0)</f>
        <v>0</v>
      </c>
      <c r="W493" s="112">
        <f>Transactions[[#This Row],[Amount]]*INDEX(TransTypes[],Transactions[[#This Row],[TTR]],TT_COL_AmntSign)</f>
        <v>-1.42</v>
      </c>
      <c r="X493" s="112">
        <f>IF(INDEX(TransTypes[],Transactions[[#This Row],[TTR]],TT_COL_LONGORSHORT)="S",
      IF( OR(INDEX(TransTypes[],Transactions[[#This Row],[TTR]],TT_COL_GLFlag)=1, INDEX(TransTypes[], Transactions[[#This Row],[TTR]], TT_COL_ShareTransferFlag)=1),
            Transactions[[#This Row],[CostImpact]]*-1,
            Transactions[[#This Row],[CalCashImpact]]
      ),
     0
)</f>
        <v>0</v>
      </c>
      <c r="Y493" s="113" t="str">
        <f>VLOOKUP(Transactions[[#This Row],[Symbol]],Symbols[], COLUMN(Symbols[Currency])-COLUMN(Symbols[])+1,FALSE)</f>
        <v>USD</v>
      </c>
    </row>
    <row r="494" spans="1:25">
      <c r="A494" s="100" t="s">
        <v>77</v>
      </c>
      <c r="B494" s="101">
        <v>43070</v>
      </c>
      <c r="C494" s="100" t="s">
        <v>118</v>
      </c>
      <c r="D494" s="100"/>
      <c r="E494" s="100" t="s">
        <v>313</v>
      </c>
      <c r="F494" s="102"/>
      <c r="G494" s="103"/>
      <c r="H494" s="102"/>
      <c r="I494" s="102"/>
      <c r="J494" s="104">
        <v>251.18</v>
      </c>
      <c r="K494" s="6" t="s">
        <v>561</v>
      </c>
      <c r="L494" s="20">
        <f>IF(ISNA(MATCH(Transactions[[#This Row],[TransType]],TransTypes[TransType],0)),1,MATCH(Transactions[[#This Row],[TransType]],TransTypes[TransType],0))</f>
        <v>4</v>
      </c>
      <c r="M494" s="105">
        <f>IF( AND( INDEX(TransTypes[],Transactions[[#This Row],[TTR]],TT_COL_GLFlag)=1, INDEX(TransTypes[],Transactions[[#This Row],[TTR]],TT_COL_LONGORSHORT)="S" ),
      Transactions[[#This Row],[PL]],
      IF(INDEX(TransTypes[],Transactions[[#This Row],[TTR]],TT_COL_LONGORSHORT)="S",0,Transactions[[#This Row],[CalCashImpact]])
)</f>
        <v>251.18</v>
      </c>
      <c r="N494" s="106">
        <f>IF(VLOOKUP(Transactions[[#This Row],[Symbol]],Symbols[],COLUMN(Symbols[Currency])-COLUMN(Symbols[])+1,FALSE)=
       VLOOKUP(Transactions[[#This Row],[Account]],Accounts[],COLUMN(Accounts[Currency])-COLUMN(Accounts[])+1,FALSE),
     Transactions[[#This Row],[OrigCashImpact]],
     0
)</f>
        <v>251.18</v>
      </c>
      <c r="O49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1095.3799999998462</v>
      </c>
      <c r="P49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9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1322</v>
      </c>
      <c r="R494" s="41">
        <f>ROW()</f>
        <v>494</v>
      </c>
      <c r="S4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35000.82</v>
      </c>
      <c r="U49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1322</v>
      </c>
      <c r="V494" s="111">
        <f>IF(INDEX(TransTypes[],Transactions[[#This Row],[TTR]],TT_COL_GLFlag)=1,Transactions[[#This Row],[CalCashImpact]]+Transactions[[#This Row],[CostImpact]],0)</f>
        <v>0</v>
      </c>
      <c r="W494" s="112">
        <f>Transactions[[#This Row],[Amount]]*INDEX(TransTypes[],Transactions[[#This Row],[TTR]],TT_COL_AmntSign)</f>
        <v>251.18</v>
      </c>
      <c r="X494" s="112">
        <f>IF(INDEX(TransTypes[],Transactions[[#This Row],[TTR]],TT_COL_LONGORSHORT)="S",
      IF( OR(INDEX(TransTypes[],Transactions[[#This Row],[TTR]],TT_COL_GLFlag)=1, INDEX(TransTypes[], Transactions[[#This Row],[TTR]], TT_COL_ShareTransferFlag)=1),
            Transactions[[#This Row],[CostImpact]]*-1,
            Transactions[[#This Row],[CalCashImpact]]
      ),
     0
)</f>
        <v>0</v>
      </c>
      <c r="Y494" s="113" t="str">
        <f>VLOOKUP(Transactions[[#This Row],[Symbol]],Symbols[], COLUMN(Symbols[Currency])-COLUMN(Symbols[])+1,FALSE)</f>
        <v>USD</v>
      </c>
    </row>
    <row r="495" spans="1:25">
      <c r="A495" s="100" t="s">
        <v>77</v>
      </c>
      <c r="B495" s="101">
        <v>43070</v>
      </c>
      <c r="C495" s="100" t="s">
        <v>123</v>
      </c>
      <c r="D495" s="100"/>
      <c r="E495" s="100" t="s">
        <v>313</v>
      </c>
      <c r="F495" s="102"/>
      <c r="G495" s="103"/>
      <c r="H495" s="102"/>
      <c r="I495" s="102"/>
      <c r="J495" s="104">
        <v>37.68</v>
      </c>
      <c r="K495" s="6" t="s">
        <v>562</v>
      </c>
      <c r="L495" s="20">
        <f>IF(ISNA(MATCH(Transactions[[#This Row],[TransType]],TransTypes[TransType],0)),1,MATCH(Transactions[[#This Row],[TransType]],TransTypes[TransType],0))</f>
        <v>7</v>
      </c>
      <c r="M495" s="105">
        <f>IF( AND( INDEX(TransTypes[],Transactions[[#This Row],[TTR]],TT_COL_GLFlag)=1, INDEX(TransTypes[],Transactions[[#This Row],[TTR]],TT_COL_LONGORSHORT)="S" ),
      Transactions[[#This Row],[PL]],
      IF(INDEX(TransTypes[],Transactions[[#This Row],[TTR]],TT_COL_LONGORSHORT)="S",0,Transactions[[#This Row],[CalCashImpact]])
)</f>
        <v>-37.68</v>
      </c>
      <c r="N495" s="106">
        <f>IF(VLOOKUP(Transactions[[#This Row],[Symbol]],Symbols[],COLUMN(Symbols[Currency])-COLUMN(Symbols[])+1,FALSE)=
       VLOOKUP(Transactions[[#This Row],[Account]],Accounts[],COLUMN(Accounts[Currency])-COLUMN(Accounts[])+1,FALSE),
     Transactions[[#This Row],[OrigCashImpact]],
     0
)</f>
        <v>-37.68</v>
      </c>
      <c r="O49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1057.6999999998461</v>
      </c>
      <c r="P49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9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1322</v>
      </c>
      <c r="R495" s="41">
        <f>ROW()</f>
        <v>495</v>
      </c>
      <c r="S4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35000.82</v>
      </c>
      <c r="U49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1322</v>
      </c>
      <c r="V495" s="111">
        <f>IF(INDEX(TransTypes[],Transactions[[#This Row],[TTR]],TT_COL_GLFlag)=1,Transactions[[#This Row],[CalCashImpact]]+Transactions[[#This Row],[CostImpact]],0)</f>
        <v>0</v>
      </c>
      <c r="W495" s="112">
        <f>Transactions[[#This Row],[Amount]]*INDEX(TransTypes[],Transactions[[#This Row],[TTR]],TT_COL_AmntSign)</f>
        <v>-37.68</v>
      </c>
      <c r="X495" s="112">
        <f>IF(INDEX(TransTypes[],Transactions[[#This Row],[TTR]],TT_COL_LONGORSHORT)="S",
      IF( OR(INDEX(TransTypes[],Transactions[[#This Row],[TTR]],TT_COL_GLFlag)=1, INDEX(TransTypes[], Transactions[[#This Row],[TTR]], TT_COL_ShareTransferFlag)=1),
            Transactions[[#This Row],[CostImpact]]*-1,
            Transactions[[#This Row],[CalCashImpact]]
      ),
     0
)</f>
        <v>0</v>
      </c>
      <c r="Y495" s="113" t="str">
        <f>VLOOKUP(Transactions[[#This Row],[Symbol]],Symbols[], COLUMN(Symbols[Currency])-COLUMN(Symbols[])+1,FALSE)</f>
        <v>USD</v>
      </c>
    </row>
    <row r="496" spans="1:25">
      <c r="A496" s="100" t="s">
        <v>77</v>
      </c>
      <c r="B496" s="101">
        <v>43070</v>
      </c>
      <c r="C496" s="100" t="s">
        <v>113</v>
      </c>
      <c r="D496" s="100" t="s">
        <v>531</v>
      </c>
      <c r="E496" s="100" t="s">
        <v>313</v>
      </c>
      <c r="F496" s="102">
        <v>8</v>
      </c>
      <c r="G496" s="103">
        <v>26.071249999999999</v>
      </c>
      <c r="H496" s="102"/>
      <c r="I496" s="102"/>
      <c r="J496" s="104">
        <v>208.57</v>
      </c>
      <c r="K496" s="6" t="s">
        <v>563</v>
      </c>
      <c r="L496" s="20">
        <f>IF(ISNA(MATCH(Transactions[[#This Row],[TransType]],TransTypes[TransType],0)),1,MATCH(Transactions[[#This Row],[TransType]],TransTypes[TransType],0))</f>
        <v>2</v>
      </c>
      <c r="M496" s="105">
        <f>IF( AND( INDEX(TransTypes[],Transactions[[#This Row],[TTR]],TT_COL_GLFlag)=1, INDEX(TransTypes[],Transactions[[#This Row],[TTR]],TT_COL_LONGORSHORT)="S" ),
      Transactions[[#This Row],[PL]],
      IF(INDEX(TransTypes[],Transactions[[#This Row],[TTR]],TT_COL_LONGORSHORT)="S",0,Transactions[[#This Row],[CalCashImpact]])
)</f>
        <v>-208.57</v>
      </c>
      <c r="N496" s="106">
        <f>IF(VLOOKUP(Transactions[[#This Row],[Symbol]],Symbols[],COLUMN(Symbols[Currency])-COLUMN(Symbols[])+1,FALSE)=
       VLOOKUP(Transactions[[#This Row],[Account]],Accounts[],COLUMN(Accounts[Currency])-COLUMN(Accounts[])+1,FALSE),
     Transactions[[#This Row],[OrigCashImpact]],
     0
)</f>
        <v>-208.57</v>
      </c>
      <c r="O49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849.12999999984618</v>
      </c>
      <c r="P49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v>
      </c>
      <c r="Q49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1330</v>
      </c>
      <c r="R496" s="41">
        <f>ROW()</f>
        <v>496</v>
      </c>
      <c r="S4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208.57</v>
      </c>
      <c r="T4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35209.39</v>
      </c>
      <c r="U49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1330</v>
      </c>
      <c r="V496" s="111">
        <f>IF(INDEX(TransTypes[],Transactions[[#This Row],[TTR]],TT_COL_GLFlag)=1,Transactions[[#This Row],[CalCashImpact]]+Transactions[[#This Row],[CostImpact]],0)</f>
        <v>0</v>
      </c>
      <c r="W496" s="112">
        <f>Transactions[[#This Row],[Amount]]*INDEX(TransTypes[],Transactions[[#This Row],[TTR]],TT_COL_AmntSign)</f>
        <v>-208.57</v>
      </c>
      <c r="X496" s="112">
        <f>IF(INDEX(TransTypes[],Transactions[[#This Row],[TTR]],TT_COL_LONGORSHORT)="S",
      IF( OR(INDEX(TransTypes[],Transactions[[#This Row],[TTR]],TT_COL_GLFlag)=1, INDEX(TransTypes[], Transactions[[#This Row],[TTR]], TT_COL_ShareTransferFlag)=1),
            Transactions[[#This Row],[CostImpact]]*-1,
            Transactions[[#This Row],[CalCashImpact]]
      ),
     0
)</f>
        <v>0</v>
      </c>
      <c r="Y496" s="113" t="str">
        <f>VLOOKUP(Transactions[[#This Row],[Symbol]],Symbols[], COLUMN(Symbols[Currency])-COLUMN(Symbols[])+1,FALSE)</f>
        <v>USD</v>
      </c>
    </row>
    <row r="497" spans="1:25">
      <c r="A497" s="100" t="s">
        <v>77</v>
      </c>
      <c r="B497" s="101">
        <v>43076</v>
      </c>
      <c r="C497" s="100" t="s">
        <v>113</v>
      </c>
      <c r="D497" s="100" t="s">
        <v>531</v>
      </c>
      <c r="E497" s="100" t="s">
        <v>20</v>
      </c>
      <c r="F497" s="102">
        <v>1</v>
      </c>
      <c r="G497" s="103">
        <v>128.1</v>
      </c>
      <c r="H497" s="102"/>
      <c r="I497" s="102"/>
      <c r="J497" s="104">
        <v>128.1</v>
      </c>
      <c r="K497" s="6" t="s">
        <v>564</v>
      </c>
      <c r="L497" s="20">
        <f>IF(ISNA(MATCH(Transactions[[#This Row],[TransType]],TransTypes[TransType],0)),1,MATCH(Transactions[[#This Row],[TransType]],TransTypes[TransType],0))</f>
        <v>2</v>
      </c>
      <c r="M497" s="105">
        <f>IF( AND( INDEX(TransTypes[],Transactions[[#This Row],[TTR]],TT_COL_GLFlag)=1, INDEX(TransTypes[],Transactions[[#This Row],[TTR]],TT_COL_LONGORSHORT)="S" ),
      Transactions[[#This Row],[PL]],
      IF(INDEX(TransTypes[],Transactions[[#This Row],[TTR]],TT_COL_LONGORSHORT)="S",0,Transactions[[#This Row],[CalCashImpact]])
)</f>
        <v>-128.1</v>
      </c>
      <c r="N497" s="106">
        <f>IF(VLOOKUP(Transactions[[#This Row],[Symbol]],Symbols[],COLUMN(Symbols[Currency])-COLUMN(Symbols[])+1,FALSE)=
       VLOOKUP(Transactions[[#This Row],[Account]],Accounts[],COLUMN(Accounts[Currency])-COLUMN(Accounts[])+1,FALSE),
     Transactions[[#This Row],[OrigCashImpact]],
     0
)</f>
        <v>-128.1</v>
      </c>
      <c r="O49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721.02999999984615</v>
      </c>
      <c r="P49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49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993</v>
      </c>
      <c r="R497" s="41">
        <f>ROW()</f>
        <v>497</v>
      </c>
      <c r="S4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128.1</v>
      </c>
      <c r="T4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122980.2660652553</v>
      </c>
      <c r="U49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993</v>
      </c>
      <c r="V497" s="111">
        <f>IF(INDEX(TransTypes[],Transactions[[#This Row],[TTR]],TT_COL_GLFlag)=1,Transactions[[#This Row],[CalCashImpact]]+Transactions[[#This Row],[CostImpact]],0)</f>
        <v>0</v>
      </c>
      <c r="W497" s="112">
        <f>Transactions[[#This Row],[Amount]]*INDEX(TransTypes[],Transactions[[#This Row],[TTR]],TT_COL_AmntSign)</f>
        <v>-128.1</v>
      </c>
      <c r="X497" s="112">
        <f>IF(INDEX(TransTypes[],Transactions[[#This Row],[TTR]],TT_COL_LONGORSHORT)="S",
      IF( OR(INDEX(TransTypes[],Transactions[[#This Row],[TTR]],TT_COL_GLFlag)=1, INDEX(TransTypes[], Transactions[[#This Row],[TTR]], TT_COL_ShareTransferFlag)=1),
            Transactions[[#This Row],[CostImpact]]*-1,
            Transactions[[#This Row],[CalCashImpact]]
      ),
     0
)</f>
        <v>0</v>
      </c>
      <c r="Y497" s="113" t="str">
        <f>VLOOKUP(Transactions[[#This Row],[Symbol]],Symbols[], COLUMN(Symbols[Currency])-COLUMN(Symbols[])+1,FALSE)</f>
        <v>USD</v>
      </c>
    </row>
    <row r="498" spans="1:25">
      <c r="A498" s="100" t="s">
        <v>77</v>
      </c>
      <c r="B498" s="101">
        <v>43076</v>
      </c>
      <c r="C498" s="100" t="s">
        <v>118</v>
      </c>
      <c r="D498" s="100"/>
      <c r="E498" s="100" t="s">
        <v>505</v>
      </c>
      <c r="F498" s="102"/>
      <c r="G498" s="103"/>
      <c r="H498" s="102"/>
      <c r="I498" s="102"/>
      <c r="J498" s="104">
        <v>74.900000000000006</v>
      </c>
      <c r="K498" s="6" t="s">
        <v>565</v>
      </c>
      <c r="L498" s="20">
        <f>IF(ISNA(MATCH(Transactions[[#This Row],[TransType]],TransTypes[TransType],0)),1,MATCH(Transactions[[#This Row],[TransType]],TransTypes[TransType],0))</f>
        <v>4</v>
      </c>
      <c r="M498" s="105">
        <f>IF( AND( INDEX(TransTypes[],Transactions[[#This Row],[TTR]],TT_COL_GLFlag)=1, INDEX(TransTypes[],Transactions[[#This Row],[TTR]],TT_COL_LONGORSHORT)="S" ),
      Transactions[[#This Row],[PL]],
      IF(INDEX(TransTypes[],Transactions[[#This Row],[TTR]],TT_COL_LONGORSHORT)="S",0,Transactions[[#This Row],[CalCashImpact]])
)</f>
        <v>74.900000000000006</v>
      </c>
      <c r="N498" s="106">
        <f>IF(VLOOKUP(Transactions[[#This Row],[Symbol]],Symbols[],COLUMN(Symbols[Currency])-COLUMN(Symbols[])+1,FALSE)=
       VLOOKUP(Transactions[[#This Row],[Account]],Accounts[],COLUMN(Accounts[Currency])-COLUMN(Accounts[])+1,FALSE),
     Transactions[[#This Row],[OrigCashImpact]],
     0
)</f>
        <v>74.900000000000006</v>
      </c>
      <c r="O49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795.92999999984613</v>
      </c>
      <c r="P49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9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498" s="41">
        <f>ROW()</f>
        <v>498</v>
      </c>
      <c r="S4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49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498" s="111">
        <f>IF(INDEX(TransTypes[],Transactions[[#This Row],[TTR]],TT_COL_GLFlag)=1,Transactions[[#This Row],[CalCashImpact]]+Transactions[[#This Row],[CostImpact]],0)</f>
        <v>0</v>
      </c>
      <c r="W498" s="112">
        <f>Transactions[[#This Row],[Amount]]*INDEX(TransTypes[],Transactions[[#This Row],[TTR]],TT_COL_AmntSign)</f>
        <v>74.900000000000006</v>
      </c>
      <c r="X498" s="112">
        <f>IF(INDEX(TransTypes[],Transactions[[#This Row],[TTR]],TT_COL_LONGORSHORT)="S",
      IF( OR(INDEX(TransTypes[],Transactions[[#This Row],[TTR]],TT_COL_GLFlag)=1, INDEX(TransTypes[], Transactions[[#This Row],[TTR]], TT_COL_ShareTransferFlag)=1),
            Transactions[[#This Row],[CostImpact]]*-1,
            Transactions[[#This Row],[CalCashImpact]]
      ),
     0
)</f>
        <v>0</v>
      </c>
      <c r="Y498" s="113" t="str">
        <f>VLOOKUP(Transactions[[#This Row],[Symbol]],Symbols[], COLUMN(Symbols[Currency])-COLUMN(Symbols[])+1,FALSE)</f>
        <v>USD</v>
      </c>
    </row>
    <row r="499" spans="1:25">
      <c r="A499" s="100" t="s">
        <v>77</v>
      </c>
      <c r="B499" s="101">
        <v>43076</v>
      </c>
      <c r="C499" s="100" t="s">
        <v>118</v>
      </c>
      <c r="D499" s="100"/>
      <c r="E499" s="100" t="s">
        <v>20</v>
      </c>
      <c r="F499" s="102"/>
      <c r="G499" s="103"/>
      <c r="H499" s="102"/>
      <c r="I499" s="102"/>
      <c r="J499" s="104">
        <v>252.67</v>
      </c>
      <c r="K499" s="6" t="s">
        <v>528</v>
      </c>
      <c r="L499" s="20">
        <f>IF(ISNA(MATCH(Transactions[[#This Row],[TransType]],TransTypes[TransType],0)),1,MATCH(Transactions[[#This Row],[TransType]],TransTypes[TransType],0))</f>
        <v>4</v>
      </c>
      <c r="M499" s="105">
        <f>IF( AND( INDEX(TransTypes[],Transactions[[#This Row],[TTR]],TT_COL_GLFlag)=1, INDEX(TransTypes[],Transactions[[#This Row],[TTR]],TT_COL_LONGORSHORT)="S" ),
      Transactions[[#This Row],[PL]],
      IF(INDEX(TransTypes[],Transactions[[#This Row],[TTR]],TT_COL_LONGORSHORT)="S",0,Transactions[[#This Row],[CalCashImpact]])
)</f>
        <v>252.67</v>
      </c>
      <c r="N499" s="106">
        <f>IF(VLOOKUP(Transactions[[#This Row],[Symbol]],Symbols[],COLUMN(Symbols[Currency])-COLUMN(Symbols[])+1,FALSE)=
       VLOOKUP(Transactions[[#This Row],[Account]],Accounts[],COLUMN(Accounts[Currency])-COLUMN(Accounts[])+1,FALSE),
     Transactions[[#This Row],[OrigCashImpact]],
     0
)</f>
        <v>252.67</v>
      </c>
      <c r="O49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1048.5999999998462</v>
      </c>
      <c r="P49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49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993</v>
      </c>
      <c r="R499" s="41">
        <f>ROW()</f>
        <v>499</v>
      </c>
      <c r="S4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4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122980.2660652553</v>
      </c>
      <c r="U49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993</v>
      </c>
      <c r="V499" s="111">
        <f>IF(INDEX(TransTypes[],Transactions[[#This Row],[TTR]],TT_COL_GLFlag)=1,Transactions[[#This Row],[CalCashImpact]]+Transactions[[#This Row],[CostImpact]],0)</f>
        <v>0</v>
      </c>
      <c r="W499" s="112">
        <f>Transactions[[#This Row],[Amount]]*INDEX(TransTypes[],Transactions[[#This Row],[TTR]],TT_COL_AmntSign)</f>
        <v>252.67</v>
      </c>
      <c r="X499" s="112">
        <f>IF(INDEX(TransTypes[],Transactions[[#This Row],[TTR]],TT_COL_LONGORSHORT)="S",
      IF( OR(INDEX(TransTypes[],Transactions[[#This Row],[TTR]],TT_COL_GLFlag)=1, INDEX(TransTypes[], Transactions[[#This Row],[TTR]], TT_COL_ShareTransferFlag)=1),
            Transactions[[#This Row],[CostImpact]]*-1,
            Transactions[[#This Row],[CalCashImpact]]
      ),
     0
)</f>
        <v>0</v>
      </c>
      <c r="Y499" s="113" t="str">
        <f>VLOOKUP(Transactions[[#This Row],[Symbol]],Symbols[], COLUMN(Symbols[Currency])-COLUMN(Symbols[])+1,FALSE)</f>
        <v>USD</v>
      </c>
    </row>
    <row r="500" spans="1:25">
      <c r="A500" s="100" t="s">
        <v>77</v>
      </c>
      <c r="B500" s="101">
        <v>43076</v>
      </c>
      <c r="C500" s="100" t="s">
        <v>123</v>
      </c>
      <c r="D500" s="100"/>
      <c r="E500" s="100" t="s">
        <v>505</v>
      </c>
      <c r="F500" s="102"/>
      <c r="G500" s="103"/>
      <c r="H500" s="102"/>
      <c r="I500" s="102"/>
      <c r="J500" s="104">
        <v>11.23</v>
      </c>
      <c r="K500" s="6" t="s">
        <v>566</v>
      </c>
      <c r="L500" s="20">
        <f>IF(ISNA(MATCH(Transactions[[#This Row],[TransType]],TransTypes[TransType],0)),1,MATCH(Transactions[[#This Row],[TransType]],TransTypes[TransType],0))</f>
        <v>7</v>
      </c>
      <c r="M500" s="105">
        <f>IF( AND( INDEX(TransTypes[],Transactions[[#This Row],[TTR]],TT_COL_GLFlag)=1, INDEX(TransTypes[],Transactions[[#This Row],[TTR]],TT_COL_LONGORSHORT)="S" ),
      Transactions[[#This Row],[PL]],
      IF(INDEX(TransTypes[],Transactions[[#This Row],[TTR]],TT_COL_LONGORSHORT)="S",0,Transactions[[#This Row],[CalCashImpact]])
)</f>
        <v>-11.23</v>
      </c>
      <c r="N500" s="106">
        <f>IF(VLOOKUP(Transactions[[#This Row],[Symbol]],Symbols[],COLUMN(Symbols[Currency])-COLUMN(Symbols[])+1,FALSE)=
       VLOOKUP(Transactions[[#This Row],[Account]],Accounts[],COLUMN(Accounts[Currency])-COLUMN(Accounts[])+1,FALSE),
     Transactions[[#This Row],[OrigCashImpact]],
     0
)</f>
        <v>-11.23</v>
      </c>
      <c r="O50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1037.3699999998462</v>
      </c>
      <c r="P50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0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500" s="41">
        <f>ROW()</f>
        <v>500</v>
      </c>
      <c r="S5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50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500" s="111">
        <f>IF(INDEX(TransTypes[],Transactions[[#This Row],[TTR]],TT_COL_GLFlag)=1,Transactions[[#This Row],[CalCashImpact]]+Transactions[[#This Row],[CostImpact]],0)</f>
        <v>0</v>
      </c>
      <c r="W500" s="112">
        <f>Transactions[[#This Row],[Amount]]*INDEX(TransTypes[],Transactions[[#This Row],[TTR]],TT_COL_AmntSign)</f>
        <v>-11.23</v>
      </c>
      <c r="X500" s="112">
        <f>IF(INDEX(TransTypes[],Transactions[[#This Row],[TTR]],TT_COL_LONGORSHORT)="S",
      IF( OR(INDEX(TransTypes[],Transactions[[#This Row],[TTR]],TT_COL_GLFlag)=1, INDEX(TransTypes[], Transactions[[#This Row],[TTR]], TT_COL_ShareTransferFlag)=1),
            Transactions[[#This Row],[CostImpact]]*-1,
            Transactions[[#This Row],[CalCashImpact]]
      ),
     0
)</f>
        <v>0</v>
      </c>
      <c r="Y500" s="113" t="str">
        <f>VLOOKUP(Transactions[[#This Row],[Symbol]],Symbols[], COLUMN(Symbols[Currency])-COLUMN(Symbols[])+1,FALSE)</f>
        <v>USD</v>
      </c>
    </row>
    <row r="501" spans="1:25">
      <c r="A501" s="100" t="s">
        <v>77</v>
      </c>
      <c r="B501" s="101">
        <v>43076</v>
      </c>
      <c r="C501" s="100" t="s">
        <v>123</v>
      </c>
      <c r="D501" s="100"/>
      <c r="E501" s="100" t="s">
        <v>20</v>
      </c>
      <c r="F501" s="102"/>
      <c r="G501" s="103"/>
      <c r="H501" s="102"/>
      <c r="I501" s="102"/>
      <c r="J501" s="104">
        <v>37.9</v>
      </c>
      <c r="K501" s="6" t="s">
        <v>529</v>
      </c>
      <c r="L501" s="20">
        <f>IF(ISNA(MATCH(Transactions[[#This Row],[TransType]],TransTypes[TransType],0)),1,MATCH(Transactions[[#This Row],[TransType]],TransTypes[TransType],0))</f>
        <v>7</v>
      </c>
      <c r="M501" s="105">
        <f>IF( AND( INDEX(TransTypes[],Transactions[[#This Row],[TTR]],TT_COL_GLFlag)=1, INDEX(TransTypes[],Transactions[[#This Row],[TTR]],TT_COL_LONGORSHORT)="S" ),
      Transactions[[#This Row],[PL]],
      IF(INDEX(TransTypes[],Transactions[[#This Row],[TTR]],TT_COL_LONGORSHORT)="S",0,Transactions[[#This Row],[CalCashImpact]])
)</f>
        <v>-37.9</v>
      </c>
      <c r="N501" s="106">
        <f>IF(VLOOKUP(Transactions[[#This Row],[Symbol]],Symbols[],COLUMN(Symbols[Currency])-COLUMN(Symbols[])+1,FALSE)=
       VLOOKUP(Transactions[[#This Row],[Account]],Accounts[],COLUMN(Accounts[Currency])-COLUMN(Accounts[])+1,FALSE),
     Transactions[[#This Row],[OrigCashImpact]],
     0
)</f>
        <v>-37.9</v>
      </c>
      <c r="O50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999.46999999984621</v>
      </c>
      <c r="P50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0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993</v>
      </c>
      <c r="R501" s="41">
        <f>ROW()</f>
        <v>501</v>
      </c>
      <c r="S5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122980.2660652553</v>
      </c>
      <c r="U50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993</v>
      </c>
      <c r="V501" s="111">
        <f>IF(INDEX(TransTypes[],Transactions[[#This Row],[TTR]],TT_COL_GLFlag)=1,Transactions[[#This Row],[CalCashImpact]]+Transactions[[#This Row],[CostImpact]],0)</f>
        <v>0</v>
      </c>
      <c r="W501" s="112">
        <f>Transactions[[#This Row],[Amount]]*INDEX(TransTypes[],Transactions[[#This Row],[TTR]],TT_COL_AmntSign)</f>
        <v>-37.9</v>
      </c>
      <c r="X501" s="112">
        <f>IF(INDEX(TransTypes[],Transactions[[#This Row],[TTR]],TT_COL_LONGORSHORT)="S",
      IF( OR(INDEX(TransTypes[],Transactions[[#This Row],[TTR]],TT_COL_GLFlag)=1, INDEX(TransTypes[], Transactions[[#This Row],[TTR]], TT_COL_ShareTransferFlag)=1),
            Transactions[[#This Row],[CostImpact]]*-1,
            Transactions[[#This Row],[CalCashImpact]]
      ),
     0
)</f>
        <v>0</v>
      </c>
      <c r="Y501" s="113" t="str">
        <f>VLOOKUP(Transactions[[#This Row],[Symbol]],Symbols[], COLUMN(Symbols[Currency])-COLUMN(Symbols[])+1,FALSE)</f>
        <v>USD</v>
      </c>
    </row>
    <row r="502" spans="1:25">
      <c r="A502" s="100" t="s">
        <v>77</v>
      </c>
      <c r="B502" s="101">
        <v>43088</v>
      </c>
      <c r="C502" s="100" t="s">
        <v>115</v>
      </c>
      <c r="D502" s="100"/>
      <c r="E502" s="100" t="s">
        <v>16</v>
      </c>
      <c r="F502" s="102">
        <v>11</v>
      </c>
      <c r="G502" s="103">
        <v>267.55454545454501</v>
      </c>
      <c r="H502" s="102">
        <v>9.99</v>
      </c>
      <c r="I502" s="102"/>
      <c r="J502" s="104">
        <v>2933.11</v>
      </c>
      <c r="K502" s="6" t="s">
        <v>567</v>
      </c>
      <c r="L502" s="20">
        <f>IF(ISNA(MATCH(Transactions[[#This Row],[TransType]],TransTypes[TransType],0)),1,MATCH(Transactions[[#This Row],[TransType]],TransTypes[TransType],0))</f>
        <v>3</v>
      </c>
      <c r="M502" s="105">
        <f>IF( AND( INDEX(TransTypes[],Transactions[[#This Row],[TTR]],TT_COL_GLFlag)=1, INDEX(TransTypes[],Transactions[[#This Row],[TTR]],TT_COL_LONGORSHORT)="S" ),
      Transactions[[#This Row],[PL]],
      IF(INDEX(TransTypes[],Transactions[[#This Row],[TTR]],TT_COL_LONGORSHORT)="S",0,Transactions[[#This Row],[CalCashImpact]])
)</f>
        <v>2933.11</v>
      </c>
      <c r="N502" s="106">
        <f>IF(VLOOKUP(Transactions[[#This Row],[Symbol]],Symbols[],COLUMN(Symbols[Currency])-COLUMN(Symbols[])+1,FALSE)=
       VLOOKUP(Transactions[[#This Row],[Account]],Accounts[],COLUMN(Accounts[Currency])-COLUMN(Accounts[])+1,FALSE),
     Transactions[[#This Row],[OrigCashImpact]],
     0
)</f>
        <v>2933.11</v>
      </c>
      <c r="O50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3932.5799999998462</v>
      </c>
      <c r="P50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v>
      </c>
      <c r="Q50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432</v>
      </c>
      <c r="R502" s="41">
        <f>ROW()</f>
        <v>502</v>
      </c>
      <c r="S5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-2849.0225959367949</v>
      </c>
      <c r="T5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111888.88740406321</v>
      </c>
      <c r="U50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443</v>
      </c>
      <c r="V502" s="111">
        <f>IF(INDEX(TransTypes[],Transactions[[#This Row],[TTR]],TT_COL_GLFlag)=1,Transactions[[#This Row],[CalCashImpact]]+Transactions[[#This Row],[CostImpact]],0)</f>
        <v>84.087404063205213</v>
      </c>
      <c r="W502" s="112">
        <f>Transactions[[#This Row],[Amount]]*INDEX(TransTypes[],Transactions[[#This Row],[TTR]],TT_COL_AmntSign)</f>
        <v>2933.11</v>
      </c>
      <c r="X502" s="112">
        <f>IF(INDEX(TransTypes[],Transactions[[#This Row],[TTR]],TT_COL_LONGORSHORT)="S",
      IF( OR(INDEX(TransTypes[],Transactions[[#This Row],[TTR]],TT_COL_GLFlag)=1, INDEX(TransTypes[], Transactions[[#This Row],[TTR]], TT_COL_ShareTransferFlag)=1),
            Transactions[[#This Row],[CostImpact]]*-1,
            Transactions[[#This Row],[CalCashImpact]]
      ),
     0
)</f>
        <v>0</v>
      </c>
      <c r="Y502" s="113" t="str">
        <f>VLOOKUP(Transactions[[#This Row],[Symbol]],Symbols[], COLUMN(Symbols[Currency])-COLUMN(Symbols[])+1,FALSE)</f>
        <v>USD</v>
      </c>
    </row>
    <row r="503" spans="1:25">
      <c r="A503" s="100" t="s">
        <v>77</v>
      </c>
      <c r="B503" s="101">
        <v>43088</v>
      </c>
      <c r="C503" s="100" t="s">
        <v>115</v>
      </c>
      <c r="D503" s="100"/>
      <c r="E503" s="100" t="s">
        <v>508</v>
      </c>
      <c r="F503" s="102">
        <v>334</v>
      </c>
      <c r="G503" s="103">
        <v>157.39568862275399</v>
      </c>
      <c r="H503" s="102">
        <v>9.99</v>
      </c>
      <c r="I503" s="102"/>
      <c r="J503" s="104">
        <v>52560.17</v>
      </c>
      <c r="K503" s="6" t="s">
        <v>568</v>
      </c>
      <c r="L503" s="20">
        <f>IF(ISNA(MATCH(Transactions[[#This Row],[TransType]],TransTypes[TransType],0)),1,MATCH(Transactions[[#This Row],[TransType]],TransTypes[TransType],0))</f>
        <v>3</v>
      </c>
      <c r="M503" s="105">
        <f>IF( AND( INDEX(TransTypes[],Transactions[[#This Row],[TTR]],TT_COL_GLFlag)=1, INDEX(TransTypes[],Transactions[[#This Row],[TTR]],TT_COL_LONGORSHORT)="S" ),
      Transactions[[#This Row],[PL]],
      IF(INDEX(TransTypes[],Transactions[[#This Row],[TTR]],TT_COL_LONGORSHORT)="S",0,Transactions[[#This Row],[CalCashImpact]])
)</f>
        <v>52560.17</v>
      </c>
      <c r="N503" s="106">
        <f>IF(VLOOKUP(Transactions[[#This Row],[Symbol]],Symbols[],COLUMN(Symbols[Currency])-COLUMN(Symbols[])+1,FALSE)=
       VLOOKUP(Transactions[[#This Row],[Account]],Accounts[],COLUMN(Accounts[Currency])-COLUMN(Accounts[])+1,FALSE),
     Transactions[[#This Row],[OrigCashImpact]],
     0
)</f>
        <v>52560.17</v>
      </c>
      <c r="O50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56492.749999999847</v>
      </c>
      <c r="P50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-334</v>
      </c>
      <c r="Q50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319</v>
      </c>
      <c r="R503" s="41">
        <f>ROW()</f>
        <v>503</v>
      </c>
      <c r="S5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-51933.613966309342</v>
      </c>
      <c r="T5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49601.266033690663</v>
      </c>
      <c r="U50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653</v>
      </c>
      <c r="V503" s="111">
        <f>IF(INDEX(TransTypes[],Transactions[[#This Row],[TTR]],TT_COL_GLFlag)=1,Transactions[[#This Row],[CalCashImpact]]+Transactions[[#This Row],[CostImpact]],0)</f>
        <v>626.55603369065648</v>
      </c>
      <c r="W503" s="112">
        <f>Transactions[[#This Row],[Amount]]*INDEX(TransTypes[],Transactions[[#This Row],[TTR]],TT_COL_AmntSign)</f>
        <v>52560.17</v>
      </c>
      <c r="X503" s="112">
        <f>IF(INDEX(TransTypes[],Transactions[[#This Row],[TTR]],TT_COL_LONGORSHORT)="S",
      IF( OR(INDEX(TransTypes[],Transactions[[#This Row],[TTR]],TT_COL_GLFlag)=1, INDEX(TransTypes[], Transactions[[#This Row],[TTR]], TT_COL_ShareTransferFlag)=1),
            Transactions[[#This Row],[CostImpact]]*-1,
            Transactions[[#This Row],[CalCashImpact]]
      ),
     0
)</f>
        <v>0</v>
      </c>
      <c r="Y503" s="113" t="str">
        <f>VLOOKUP(Transactions[[#This Row],[Symbol]],Symbols[], COLUMN(Symbols[Currency])-COLUMN(Symbols[])+1,FALSE)</f>
        <v>USD</v>
      </c>
    </row>
    <row r="504" spans="1:25">
      <c r="A504" s="100" t="s">
        <v>77</v>
      </c>
      <c r="B504" s="101">
        <v>43088</v>
      </c>
      <c r="C504" s="100" t="s">
        <v>113</v>
      </c>
      <c r="D504" s="100"/>
      <c r="E504" s="100" t="s">
        <v>503</v>
      </c>
      <c r="F504" s="102">
        <v>1649</v>
      </c>
      <c r="G504" s="103">
        <v>30.505300181928401</v>
      </c>
      <c r="H504" s="102">
        <v>9.99</v>
      </c>
      <c r="I504" s="102"/>
      <c r="J504" s="104">
        <v>50313.23</v>
      </c>
      <c r="K504" s="6" t="s">
        <v>569</v>
      </c>
      <c r="L504" s="20">
        <f>IF(ISNA(MATCH(Transactions[[#This Row],[TransType]],TransTypes[TransType],0)),1,MATCH(Transactions[[#This Row],[TransType]],TransTypes[TransType],0))</f>
        <v>2</v>
      </c>
      <c r="M504" s="105">
        <f>IF( AND( INDEX(TransTypes[],Transactions[[#This Row],[TTR]],TT_COL_GLFlag)=1, INDEX(TransTypes[],Transactions[[#This Row],[TTR]],TT_COL_LONGORSHORT)="S" ),
      Transactions[[#This Row],[PL]],
      IF(INDEX(TransTypes[],Transactions[[#This Row],[TTR]],TT_COL_LONGORSHORT)="S",0,Transactions[[#This Row],[CalCashImpact]])
)</f>
        <v>-50313.23</v>
      </c>
      <c r="N504" s="106">
        <f>IF(VLOOKUP(Transactions[[#This Row],[Symbol]],Symbols[],COLUMN(Symbols[Currency])-COLUMN(Symbols[])+1,FALSE)=
       VLOOKUP(Transactions[[#This Row],[Account]],Accounts[],COLUMN(Accounts[Currency])-COLUMN(Accounts[])+1,FALSE),
     Transactions[[#This Row],[OrigCashImpact]],
     0
)</f>
        <v>-50313.23</v>
      </c>
      <c r="O50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6179.5199999998422</v>
      </c>
      <c r="P50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1649</v>
      </c>
      <c r="Q50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1649</v>
      </c>
      <c r="R504" s="41">
        <f>ROW()</f>
        <v>504</v>
      </c>
      <c r="S5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50313.23</v>
      </c>
      <c r="T5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50313.23</v>
      </c>
      <c r="U50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1649</v>
      </c>
      <c r="V504" s="111">
        <f>IF(INDEX(TransTypes[],Transactions[[#This Row],[TTR]],TT_COL_GLFlag)=1,Transactions[[#This Row],[CalCashImpact]]+Transactions[[#This Row],[CostImpact]],0)</f>
        <v>0</v>
      </c>
      <c r="W504" s="112">
        <f>Transactions[[#This Row],[Amount]]*INDEX(TransTypes[],Transactions[[#This Row],[TTR]],TT_COL_AmntSign)</f>
        <v>-50313.23</v>
      </c>
      <c r="X504" s="112">
        <f>IF(INDEX(TransTypes[],Transactions[[#This Row],[TTR]],TT_COL_LONGORSHORT)="S",
      IF( OR(INDEX(TransTypes[],Transactions[[#This Row],[TTR]],TT_COL_GLFlag)=1, INDEX(TransTypes[], Transactions[[#This Row],[TTR]], TT_COL_ShareTransferFlag)=1),
            Transactions[[#This Row],[CostImpact]]*-1,
            Transactions[[#This Row],[CalCashImpact]]
      ),
     0
)</f>
        <v>0</v>
      </c>
      <c r="Y504" s="113" t="str">
        <f>VLOOKUP(Transactions[[#This Row],[Symbol]],Symbols[], COLUMN(Symbols[Currency])-COLUMN(Symbols[])+1,FALSE)</f>
        <v>USD</v>
      </c>
    </row>
    <row r="505" spans="1:25">
      <c r="A505" s="100" t="s">
        <v>77</v>
      </c>
      <c r="B505" s="101">
        <v>43088</v>
      </c>
      <c r="C505" s="100" t="s">
        <v>121</v>
      </c>
      <c r="D505" s="100"/>
      <c r="E505" s="100" t="s">
        <v>208</v>
      </c>
      <c r="F505" s="102"/>
      <c r="G505" s="103"/>
      <c r="H505" s="102"/>
      <c r="I505" s="102"/>
      <c r="J505" s="104">
        <v>1.29</v>
      </c>
      <c r="K505" s="6" t="s">
        <v>570</v>
      </c>
      <c r="L505" s="20">
        <f>IF(ISNA(MATCH(Transactions[[#This Row],[TransType]],TransTypes[TransType],0)),1,MATCH(Transactions[[#This Row],[TransType]],TransTypes[TransType],0))</f>
        <v>6</v>
      </c>
      <c r="M505" s="105">
        <f>IF( AND( INDEX(TransTypes[],Transactions[[#This Row],[TTR]],TT_COL_GLFlag)=1, INDEX(TransTypes[],Transactions[[#This Row],[TTR]],TT_COL_LONGORSHORT)="S" ),
      Transactions[[#This Row],[PL]],
      IF(INDEX(TransTypes[],Transactions[[#This Row],[TTR]],TT_COL_LONGORSHORT)="S",0,Transactions[[#This Row],[CalCashImpact]])
)</f>
        <v>-1.29</v>
      </c>
      <c r="N505" s="106">
        <f>IF(VLOOKUP(Transactions[[#This Row],[Symbol]],Symbols[],COLUMN(Symbols[Currency])-COLUMN(Symbols[])+1,FALSE)=
       VLOOKUP(Transactions[[#This Row],[Account]],Accounts[],COLUMN(Accounts[Currency])-COLUMN(Accounts[])+1,FALSE),
     Transactions[[#This Row],[OrigCashImpact]],
     0
)</f>
        <v>-1.29</v>
      </c>
      <c r="O50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6178.2299999998422</v>
      </c>
      <c r="P50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0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05" s="41">
        <f>ROW()</f>
        <v>505</v>
      </c>
      <c r="S5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0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05" s="111">
        <f>IF(INDEX(TransTypes[],Transactions[[#This Row],[TTR]],TT_COL_GLFlag)=1,Transactions[[#This Row],[CalCashImpact]]+Transactions[[#This Row],[CostImpact]],0)</f>
        <v>0</v>
      </c>
      <c r="W505" s="112">
        <f>Transactions[[#This Row],[Amount]]*INDEX(TransTypes[],Transactions[[#This Row],[TTR]],TT_COL_AmntSign)</f>
        <v>-1.29</v>
      </c>
      <c r="X505" s="112">
        <f>IF(INDEX(TransTypes[],Transactions[[#This Row],[TTR]],TT_COL_LONGORSHORT)="S",
      IF( OR(INDEX(TransTypes[],Transactions[[#This Row],[TTR]],TT_COL_GLFlag)=1, INDEX(TransTypes[], Transactions[[#This Row],[TTR]], TT_COL_ShareTransferFlag)=1),
            Transactions[[#This Row],[CostImpact]]*-1,
            Transactions[[#This Row],[CalCashImpact]]
      ),
     0
)</f>
        <v>0</v>
      </c>
      <c r="Y505" s="113" t="str">
        <f>VLOOKUP(Transactions[[#This Row],[Symbol]],Symbols[], COLUMN(Symbols[Currency])-COLUMN(Symbols[])+1,FALSE)</f>
        <v>USD</v>
      </c>
    </row>
    <row r="506" spans="1:25">
      <c r="A506" s="100" t="s">
        <v>77</v>
      </c>
      <c r="B506" s="101">
        <v>43096</v>
      </c>
      <c r="C506" s="100" t="s">
        <v>118</v>
      </c>
      <c r="D506" s="100"/>
      <c r="E506" s="100" t="s">
        <v>510</v>
      </c>
      <c r="F506" s="102"/>
      <c r="G506" s="103"/>
      <c r="H506" s="102"/>
      <c r="I506" s="102"/>
      <c r="J506" s="104">
        <v>118.14</v>
      </c>
      <c r="K506" s="6" t="s">
        <v>571</v>
      </c>
      <c r="L506" s="20">
        <f>IF(ISNA(MATCH(Transactions[[#This Row],[TransType]],TransTypes[TransType],0)),1,MATCH(Transactions[[#This Row],[TransType]],TransTypes[TransType],0))</f>
        <v>4</v>
      </c>
      <c r="M506" s="105">
        <f>IF( AND( INDEX(TransTypes[],Transactions[[#This Row],[TTR]],TT_COL_GLFlag)=1, INDEX(TransTypes[],Transactions[[#This Row],[TTR]],TT_COL_LONGORSHORT)="S" ),
      Transactions[[#This Row],[PL]],
      IF(INDEX(TransTypes[],Transactions[[#This Row],[TTR]],TT_COL_LONGORSHORT)="S",0,Transactions[[#This Row],[CalCashImpact]])
)</f>
        <v>118.14</v>
      </c>
      <c r="N506" s="106">
        <f>IF(VLOOKUP(Transactions[[#This Row],[Symbol]],Symbols[],COLUMN(Symbols[Currency])-COLUMN(Symbols[])+1,FALSE)=
       VLOOKUP(Transactions[[#This Row],[Account]],Accounts[],COLUMN(Accounts[Currency])-COLUMN(Accounts[])+1,FALSE),
     Transactions[[#This Row],[OrigCashImpact]],
     0
)</f>
        <v>118.14</v>
      </c>
      <c r="O50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6296.3699999998444</v>
      </c>
      <c r="P50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0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557</v>
      </c>
      <c r="R506" s="41">
        <f>ROW()</f>
        <v>506</v>
      </c>
      <c r="S5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25007.759999999998</v>
      </c>
      <c r="U50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557</v>
      </c>
      <c r="V506" s="111">
        <f>IF(INDEX(TransTypes[],Transactions[[#This Row],[TTR]],TT_COL_GLFlag)=1,Transactions[[#This Row],[CalCashImpact]]+Transactions[[#This Row],[CostImpact]],0)</f>
        <v>0</v>
      </c>
      <c r="W506" s="112">
        <f>Transactions[[#This Row],[Amount]]*INDEX(TransTypes[],Transactions[[#This Row],[TTR]],TT_COL_AmntSign)</f>
        <v>118.14</v>
      </c>
      <c r="X506" s="112">
        <f>IF(INDEX(TransTypes[],Transactions[[#This Row],[TTR]],TT_COL_LONGORSHORT)="S",
      IF( OR(INDEX(TransTypes[],Transactions[[#This Row],[TTR]],TT_COL_GLFlag)=1, INDEX(TransTypes[], Transactions[[#This Row],[TTR]], TT_COL_ShareTransferFlag)=1),
            Transactions[[#This Row],[CostImpact]]*-1,
            Transactions[[#This Row],[CalCashImpact]]
      ),
     0
)</f>
        <v>0</v>
      </c>
      <c r="Y506" s="113" t="str">
        <f>VLOOKUP(Transactions[[#This Row],[Symbol]],Symbols[], COLUMN(Symbols[Currency])-COLUMN(Symbols[])+1,FALSE)</f>
        <v>USD</v>
      </c>
    </row>
    <row r="507" spans="1:25">
      <c r="A507" s="100" t="s">
        <v>77</v>
      </c>
      <c r="B507" s="101">
        <v>43096</v>
      </c>
      <c r="C507" s="100" t="s">
        <v>123</v>
      </c>
      <c r="D507" s="100"/>
      <c r="E507" s="100" t="s">
        <v>510</v>
      </c>
      <c r="F507" s="102"/>
      <c r="G507" s="103"/>
      <c r="H507" s="102"/>
      <c r="I507" s="102"/>
      <c r="J507" s="104">
        <v>17.72</v>
      </c>
      <c r="K507" s="6" t="s">
        <v>572</v>
      </c>
      <c r="L507" s="20">
        <f>IF(ISNA(MATCH(Transactions[[#This Row],[TransType]],TransTypes[TransType],0)),1,MATCH(Transactions[[#This Row],[TransType]],TransTypes[TransType],0))</f>
        <v>7</v>
      </c>
      <c r="M507" s="105">
        <f>IF( AND( INDEX(TransTypes[],Transactions[[#This Row],[TTR]],TT_COL_GLFlag)=1, INDEX(TransTypes[],Transactions[[#This Row],[TTR]],TT_COL_LONGORSHORT)="S" ),
      Transactions[[#This Row],[PL]],
      IF(INDEX(TransTypes[],Transactions[[#This Row],[TTR]],TT_COL_LONGORSHORT)="S",0,Transactions[[#This Row],[CalCashImpact]])
)</f>
        <v>-17.72</v>
      </c>
      <c r="N507" s="106">
        <f>IF(VLOOKUP(Transactions[[#This Row],[Symbol]],Symbols[],COLUMN(Symbols[Currency])-COLUMN(Symbols[])+1,FALSE)=
       VLOOKUP(Transactions[[#This Row],[Account]],Accounts[],COLUMN(Accounts[Currency])-COLUMN(Accounts[])+1,FALSE),
     Transactions[[#This Row],[OrigCashImpact]],
     0
)</f>
        <v>-17.72</v>
      </c>
      <c r="O50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6278.6499999998441</v>
      </c>
      <c r="P50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0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557</v>
      </c>
      <c r="R507" s="41">
        <f>ROW()</f>
        <v>507</v>
      </c>
      <c r="S5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25007.759999999998</v>
      </c>
      <c r="U50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557</v>
      </c>
      <c r="V507" s="111">
        <f>IF(INDEX(TransTypes[],Transactions[[#This Row],[TTR]],TT_COL_GLFlag)=1,Transactions[[#This Row],[CalCashImpact]]+Transactions[[#This Row],[CostImpact]],0)</f>
        <v>0</v>
      </c>
      <c r="W507" s="112">
        <f>Transactions[[#This Row],[Amount]]*INDEX(TransTypes[],Transactions[[#This Row],[TTR]],TT_COL_AmntSign)</f>
        <v>-17.72</v>
      </c>
      <c r="X507" s="112">
        <f>IF(INDEX(TransTypes[],Transactions[[#This Row],[TTR]],TT_COL_LONGORSHORT)="S",
      IF( OR(INDEX(TransTypes[],Transactions[[#This Row],[TTR]],TT_COL_GLFlag)=1, INDEX(TransTypes[], Transactions[[#This Row],[TTR]], TT_COL_ShareTransferFlag)=1),
            Transactions[[#This Row],[CostImpact]]*-1,
            Transactions[[#This Row],[CalCashImpact]]
      ),
     0
)</f>
        <v>0</v>
      </c>
      <c r="Y507" s="113" t="str">
        <f>VLOOKUP(Transactions[[#This Row],[Symbol]],Symbols[], COLUMN(Symbols[Currency])-COLUMN(Symbols[])+1,FALSE)</f>
        <v>USD</v>
      </c>
    </row>
    <row r="508" spans="1:25">
      <c r="A508" s="100" t="s">
        <v>77</v>
      </c>
      <c r="B508" s="101">
        <v>43097</v>
      </c>
      <c r="C508" s="100" t="s">
        <v>113</v>
      </c>
      <c r="D508" s="100" t="s">
        <v>531</v>
      </c>
      <c r="E508" s="100" t="s">
        <v>510</v>
      </c>
      <c r="F508" s="102">
        <v>2</v>
      </c>
      <c r="G508" s="103">
        <v>45.494999999999997</v>
      </c>
      <c r="H508" s="102"/>
      <c r="I508" s="102"/>
      <c r="J508" s="104">
        <v>90.99</v>
      </c>
      <c r="K508" s="6" t="s">
        <v>573</v>
      </c>
      <c r="L508" s="20">
        <f>IF(ISNA(MATCH(Transactions[[#This Row],[TransType]],TransTypes[TransType],0)),1,MATCH(Transactions[[#This Row],[TransType]],TransTypes[TransType],0))</f>
        <v>2</v>
      </c>
      <c r="M508" s="105">
        <f>IF( AND( INDEX(TransTypes[],Transactions[[#This Row],[TTR]],TT_COL_GLFlag)=1, INDEX(TransTypes[],Transactions[[#This Row],[TTR]],TT_COL_LONGORSHORT)="S" ),
      Transactions[[#This Row],[PL]],
      IF(INDEX(TransTypes[],Transactions[[#This Row],[TTR]],TT_COL_LONGORSHORT)="S",0,Transactions[[#This Row],[CalCashImpact]])
)</f>
        <v>-90.99</v>
      </c>
      <c r="N508" s="106">
        <f>IF(VLOOKUP(Transactions[[#This Row],[Symbol]],Symbols[],COLUMN(Symbols[Currency])-COLUMN(Symbols[])+1,FALSE)=
       VLOOKUP(Transactions[[#This Row],[Account]],Accounts[],COLUMN(Accounts[Currency])-COLUMN(Accounts[])+1,FALSE),
     Transactions[[#This Row],[OrigCashImpact]],
     0
)</f>
        <v>-90.99</v>
      </c>
      <c r="O50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6187.6599999998443</v>
      </c>
      <c r="P50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50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559</v>
      </c>
      <c r="R508" s="41">
        <f>ROW()</f>
        <v>508</v>
      </c>
      <c r="S5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90.99</v>
      </c>
      <c r="T5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25098.75</v>
      </c>
      <c r="U50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559</v>
      </c>
      <c r="V508" s="111">
        <f>IF(INDEX(TransTypes[],Transactions[[#This Row],[TTR]],TT_COL_GLFlag)=1,Transactions[[#This Row],[CalCashImpact]]+Transactions[[#This Row],[CostImpact]],0)</f>
        <v>0</v>
      </c>
      <c r="W508" s="112">
        <f>Transactions[[#This Row],[Amount]]*INDEX(TransTypes[],Transactions[[#This Row],[TTR]],TT_COL_AmntSign)</f>
        <v>-90.99</v>
      </c>
      <c r="X508" s="112">
        <f>IF(INDEX(TransTypes[],Transactions[[#This Row],[TTR]],TT_COL_LONGORSHORT)="S",
      IF( OR(INDEX(TransTypes[],Transactions[[#This Row],[TTR]],TT_COL_GLFlag)=1, INDEX(TransTypes[], Transactions[[#This Row],[TTR]], TT_COL_ShareTransferFlag)=1),
            Transactions[[#This Row],[CostImpact]]*-1,
            Transactions[[#This Row],[CalCashImpact]]
      ),
     0
)</f>
        <v>0</v>
      </c>
      <c r="Y508" s="113" t="str">
        <f>VLOOKUP(Transactions[[#This Row],[Symbol]],Symbols[], COLUMN(Symbols[Currency])-COLUMN(Symbols[])+1,FALSE)</f>
        <v>USD</v>
      </c>
    </row>
    <row r="509" spans="1:25">
      <c r="A509" s="100" t="s">
        <v>77</v>
      </c>
      <c r="B509" s="101">
        <v>43097</v>
      </c>
      <c r="C509" s="100" t="s">
        <v>118</v>
      </c>
      <c r="D509" s="100"/>
      <c r="E509" s="100" t="s">
        <v>505</v>
      </c>
      <c r="F509" s="102"/>
      <c r="G509" s="103"/>
      <c r="H509" s="102"/>
      <c r="I509" s="102"/>
      <c r="J509" s="104">
        <v>76.98</v>
      </c>
      <c r="K509" s="6" t="s">
        <v>565</v>
      </c>
      <c r="L509" s="20">
        <f>IF(ISNA(MATCH(Transactions[[#This Row],[TransType]],TransTypes[TransType],0)),1,MATCH(Transactions[[#This Row],[TransType]],TransTypes[TransType],0))</f>
        <v>4</v>
      </c>
      <c r="M509" s="105">
        <f>IF( AND( INDEX(TransTypes[],Transactions[[#This Row],[TTR]],TT_COL_GLFlag)=1, INDEX(TransTypes[],Transactions[[#This Row],[TTR]],TT_COL_LONGORSHORT)="S" ),
      Transactions[[#This Row],[PL]],
      IF(INDEX(TransTypes[],Transactions[[#This Row],[TTR]],TT_COL_LONGORSHORT)="S",0,Transactions[[#This Row],[CalCashImpact]])
)</f>
        <v>76.98</v>
      </c>
      <c r="N509" s="106">
        <f>IF(VLOOKUP(Transactions[[#This Row],[Symbol]],Symbols[],COLUMN(Symbols[Currency])-COLUMN(Symbols[])+1,FALSE)=
       VLOOKUP(Transactions[[#This Row],[Account]],Accounts[],COLUMN(Accounts[Currency])-COLUMN(Accounts[])+1,FALSE),
     Transactions[[#This Row],[OrigCashImpact]],
     0
)</f>
        <v>76.98</v>
      </c>
      <c r="O50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6264.6399999998439</v>
      </c>
      <c r="P50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0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509" s="41">
        <f>ROW()</f>
        <v>509</v>
      </c>
      <c r="S5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50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509" s="111">
        <f>IF(INDEX(TransTypes[],Transactions[[#This Row],[TTR]],TT_COL_GLFlag)=1,Transactions[[#This Row],[CalCashImpact]]+Transactions[[#This Row],[CostImpact]],0)</f>
        <v>0</v>
      </c>
      <c r="W509" s="112">
        <f>Transactions[[#This Row],[Amount]]*INDEX(TransTypes[],Transactions[[#This Row],[TTR]],TT_COL_AmntSign)</f>
        <v>76.98</v>
      </c>
      <c r="X509" s="112">
        <f>IF(INDEX(TransTypes[],Transactions[[#This Row],[TTR]],TT_COL_LONGORSHORT)="S",
      IF( OR(INDEX(TransTypes[],Transactions[[#This Row],[TTR]],TT_COL_GLFlag)=1, INDEX(TransTypes[], Transactions[[#This Row],[TTR]], TT_COL_ShareTransferFlag)=1),
            Transactions[[#This Row],[CostImpact]]*-1,
            Transactions[[#This Row],[CalCashImpact]]
      ),
     0
)</f>
        <v>0</v>
      </c>
      <c r="Y509" s="113" t="str">
        <f>VLOOKUP(Transactions[[#This Row],[Symbol]],Symbols[], COLUMN(Symbols[Currency])-COLUMN(Symbols[])+1,FALSE)</f>
        <v>USD</v>
      </c>
    </row>
    <row r="510" spans="1:25">
      <c r="A510" s="100" t="s">
        <v>77</v>
      </c>
      <c r="B510" s="101">
        <v>43097</v>
      </c>
      <c r="C510" s="100" t="s">
        <v>118</v>
      </c>
      <c r="D510" s="100"/>
      <c r="E510" s="100" t="s">
        <v>20</v>
      </c>
      <c r="F510" s="102"/>
      <c r="G510" s="103"/>
      <c r="H510" s="102"/>
      <c r="I510" s="102"/>
      <c r="J510" s="104">
        <v>259.73</v>
      </c>
      <c r="K510" s="6" t="s">
        <v>528</v>
      </c>
      <c r="L510" s="20">
        <f>IF(ISNA(MATCH(Transactions[[#This Row],[TransType]],TransTypes[TransType],0)),1,MATCH(Transactions[[#This Row],[TransType]],TransTypes[TransType],0))</f>
        <v>4</v>
      </c>
      <c r="M510" s="105">
        <f>IF( AND( INDEX(TransTypes[],Transactions[[#This Row],[TTR]],TT_COL_GLFlag)=1, INDEX(TransTypes[],Transactions[[#This Row],[TTR]],TT_COL_LONGORSHORT)="S" ),
      Transactions[[#This Row],[PL]],
      IF(INDEX(TransTypes[],Transactions[[#This Row],[TTR]],TT_COL_LONGORSHORT)="S",0,Transactions[[#This Row],[CalCashImpact]])
)</f>
        <v>259.73</v>
      </c>
      <c r="N510" s="106">
        <f>IF(VLOOKUP(Transactions[[#This Row],[Symbol]],Symbols[],COLUMN(Symbols[Currency])-COLUMN(Symbols[])+1,FALSE)=
       VLOOKUP(Transactions[[#This Row],[Account]],Accounts[],COLUMN(Accounts[Currency])-COLUMN(Accounts[])+1,FALSE),
     Transactions[[#This Row],[OrigCashImpact]],
     0
)</f>
        <v>259.73</v>
      </c>
      <c r="O51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6524.3699999998444</v>
      </c>
      <c r="P51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1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993</v>
      </c>
      <c r="R510" s="41">
        <f>ROW()</f>
        <v>510</v>
      </c>
      <c r="S5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122980.2660652553</v>
      </c>
      <c r="U51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993</v>
      </c>
      <c r="V510" s="111">
        <f>IF(INDEX(TransTypes[],Transactions[[#This Row],[TTR]],TT_COL_GLFlag)=1,Transactions[[#This Row],[CalCashImpact]]+Transactions[[#This Row],[CostImpact]],0)</f>
        <v>0</v>
      </c>
      <c r="W510" s="112">
        <f>Transactions[[#This Row],[Amount]]*INDEX(TransTypes[],Transactions[[#This Row],[TTR]],TT_COL_AmntSign)</f>
        <v>259.73</v>
      </c>
      <c r="X510" s="112">
        <f>IF(INDEX(TransTypes[],Transactions[[#This Row],[TTR]],TT_COL_LONGORSHORT)="S",
      IF( OR(INDEX(TransTypes[],Transactions[[#This Row],[TTR]],TT_COL_GLFlag)=1, INDEX(TransTypes[], Transactions[[#This Row],[TTR]], TT_COL_ShareTransferFlag)=1),
            Transactions[[#This Row],[CostImpact]]*-1,
            Transactions[[#This Row],[CalCashImpact]]
      ),
     0
)</f>
        <v>0</v>
      </c>
      <c r="Y510" s="113" t="str">
        <f>VLOOKUP(Transactions[[#This Row],[Symbol]],Symbols[], COLUMN(Symbols[Currency])-COLUMN(Symbols[])+1,FALSE)</f>
        <v>USD</v>
      </c>
    </row>
    <row r="511" spans="1:25">
      <c r="A511" s="100" t="s">
        <v>77</v>
      </c>
      <c r="B511" s="101">
        <v>43097</v>
      </c>
      <c r="C511" s="100" t="s">
        <v>123</v>
      </c>
      <c r="D511" s="100"/>
      <c r="E511" s="100" t="s">
        <v>505</v>
      </c>
      <c r="F511" s="102"/>
      <c r="G511" s="103"/>
      <c r="H511" s="102"/>
      <c r="I511" s="102"/>
      <c r="J511" s="104">
        <v>11.55</v>
      </c>
      <c r="K511" s="6" t="s">
        <v>566</v>
      </c>
      <c r="L511" s="20">
        <f>IF(ISNA(MATCH(Transactions[[#This Row],[TransType]],TransTypes[TransType],0)),1,MATCH(Transactions[[#This Row],[TransType]],TransTypes[TransType],0))</f>
        <v>7</v>
      </c>
      <c r="M511" s="105">
        <f>IF( AND( INDEX(TransTypes[],Transactions[[#This Row],[TTR]],TT_COL_GLFlag)=1, INDEX(TransTypes[],Transactions[[#This Row],[TTR]],TT_COL_LONGORSHORT)="S" ),
      Transactions[[#This Row],[PL]],
      IF(INDEX(TransTypes[],Transactions[[#This Row],[TTR]],TT_COL_LONGORSHORT)="S",0,Transactions[[#This Row],[CalCashImpact]])
)</f>
        <v>-11.55</v>
      </c>
      <c r="N511" s="106">
        <f>IF(VLOOKUP(Transactions[[#This Row],[Symbol]],Symbols[],COLUMN(Symbols[Currency])-COLUMN(Symbols[])+1,FALSE)=
       VLOOKUP(Transactions[[#This Row],[Account]],Accounts[],COLUMN(Accounts[Currency])-COLUMN(Accounts[])+1,FALSE),
     Transactions[[#This Row],[OrigCashImpact]],
     0
)</f>
        <v>-11.55</v>
      </c>
      <c r="O51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6512.8199999998442</v>
      </c>
      <c r="P51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1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511" s="41">
        <f>ROW()</f>
        <v>511</v>
      </c>
      <c r="S5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51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511" s="111">
        <f>IF(INDEX(TransTypes[],Transactions[[#This Row],[TTR]],TT_COL_GLFlag)=1,Transactions[[#This Row],[CalCashImpact]]+Transactions[[#This Row],[CostImpact]],0)</f>
        <v>0</v>
      </c>
      <c r="W511" s="112">
        <f>Transactions[[#This Row],[Amount]]*INDEX(TransTypes[],Transactions[[#This Row],[TTR]],TT_COL_AmntSign)</f>
        <v>-11.55</v>
      </c>
      <c r="X511" s="112">
        <f>IF(INDEX(TransTypes[],Transactions[[#This Row],[TTR]],TT_COL_LONGORSHORT)="S",
      IF( OR(INDEX(TransTypes[],Transactions[[#This Row],[TTR]],TT_COL_GLFlag)=1, INDEX(TransTypes[], Transactions[[#This Row],[TTR]], TT_COL_ShareTransferFlag)=1),
            Transactions[[#This Row],[CostImpact]]*-1,
            Transactions[[#This Row],[CalCashImpact]]
      ),
     0
)</f>
        <v>0</v>
      </c>
      <c r="Y511" s="113" t="str">
        <f>VLOOKUP(Transactions[[#This Row],[Symbol]],Symbols[], COLUMN(Symbols[Currency])-COLUMN(Symbols[])+1,FALSE)</f>
        <v>USD</v>
      </c>
    </row>
    <row r="512" spans="1:25">
      <c r="A512" s="100" t="s">
        <v>77</v>
      </c>
      <c r="B512" s="101">
        <v>43097</v>
      </c>
      <c r="C512" s="100" t="s">
        <v>123</v>
      </c>
      <c r="D512" s="100"/>
      <c r="E512" s="100" t="s">
        <v>20</v>
      </c>
      <c r="F512" s="102"/>
      <c r="G512" s="103"/>
      <c r="H512" s="102"/>
      <c r="I512" s="102"/>
      <c r="J512" s="104">
        <v>38.96</v>
      </c>
      <c r="K512" s="6" t="s">
        <v>529</v>
      </c>
      <c r="L512" s="20">
        <f>IF(ISNA(MATCH(Transactions[[#This Row],[TransType]],TransTypes[TransType],0)),1,MATCH(Transactions[[#This Row],[TransType]],TransTypes[TransType],0))</f>
        <v>7</v>
      </c>
      <c r="M512" s="105">
        <f>IF( AND( INDEX(TransTypes[],Transactions[[#This Row],[TTR]],TT_COL_GLFlag)=1, INDEX(TransTypes[],Transactions[[#This Row],[TTR]],TT_COL_LONGORSHORT)="S" ),
      Transactions[[#This Row],[PL]],
      IF(INDEX(TransTypes[],Transactions[[#This Row],[TTR]],TT_COL_LONGORSHORT)="S",0,Transactions[[#This Row],[CalCashImpact]])
)</f>
        <v>-38.96</v>
      </c>
      <c r="N512" s="106">
        <f>IF(VLOOKUP(Transactions[[#This Row],[Symbol]],Symbols[],COLUMN(Symbols[Currency])-COLUMN(Symbols[])+1,FALSE)=
       VLOOKUP(Transactions[[#This Row],[Account]],Accounts[],COLUMN(Accounts[Currency])-COLUMN(Accounts[])+1,FALSE),
     Transactions[[#This Row],[OrigCashImpact]],
     0
)</f>
        <v>-38.96</v>
      </c>
      <c r="O51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6473.8599999998441</v>
      </c>
      <c r="P51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1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993</v>
      </c>
      <c r="R512" s="41">
        <f>ROW()</f>
        <v>512</v>
      </c>
      <c r="S5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122980.2660652553</v>
      </c>
      <c r="U51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993</v>
      </c>
      <c r="V512" s="111">
        <f>IF(INDEX(TransTypes[],Transactions[[#This Row],[TTR]],TT_COL_GLFlag)=1,Transactions[[#This Row],[CalCashImpact]]+Transactions[[#This Row],[CostImpact]],0)</f>
        <v>0</v>
      </c>
      <c r="W512" s="112">
        <f>Transactions[[#This Row],[Amount]]*INDEX(TransTypes[],Transactions[[#This Row],[TTR]],TT_COL_AmntSign)</f>
        <v>-38.96</v>
      </c>
      <c r="X512" s="112">
        <f>IF(INDEX(TransTypes[],Transactions[[#This Row],[TTR]],TT_COL_LONGORSHORT)="S",
      IF( OR(INDEX(TransTypes[],Transactions[[#This Row],[TTR]],TT_COL_GLFlag)=1, INDEX(TransTypes[], Transactions[[#This Row],[TTR]], TT_COL_ShareTransferFlag)=1),
            Transactions[[#This Row],[CostImpact]]*-1,
            Transactions[[#This Row],[CalCashImpact]]
      ),
     0
)</f>
        <v>0</v>
      </c>
      <c r="Y512" s="113" t="str">
        <f>VLOOKUP(Transactions[[#This Row],[Symbol]],Symbols[], COLUMN(Symbols[Currency])-COLUMN(Symbols[])+1,FALSE)</f>
        <v>USD</v>
      </c>
    </row>
    <row r="513" spans="1:25">
      <c r="A513" s="100" t="s">
        <v>77</v>
      </c>
      <c r="B513" s="101">
        <v>43098</v>
      </c>
      <c r="C513" s="100" t="s">
        <v>113</v>
      </c>
      <c r="D513" s="100" t="s">
        <v>531</v>
      </c>
      <c r="E513" s="100" t="s">
        <v>20</v>
      </c>
      <c r="F513" s="102">
        <v>1</v>
      </c>
      <c r="G513" s="103">
        <v>126.45</v>
      </c>
      <c r="H513" s="102"/>
      <c r="I513" s="102"/>
      <c r="J513" s="104">
        <v>126.45</v>
      </c>
      <c r="K513" s="6" t="s">
        <v>532</v>
      </c>
      <c r="L513" s="20">
        <f>IF(ISNA(MATCH(Transactions[[#This Row],[TransType]],TransTypes[TransType],0)),1,MATCH(Transactions[[#This Row],[TransType]],TransTypes[TransType],0))</f>
        <v>2</v>
      </c>
      <c r="M513" s="105">
        <f>IF( AND( INDEX(TransTypes[],Transactions[[#This Row],[TTR]],TT_COL_GLFlag)=1, INDEX(TransTypes[],Transactions[[#This Row],[TTR]],TT_COL_LONGORSHORT)="S" ),
      Transactions[[#This Row],[PL]],
      IF(INDEX(TransTypes[],Transactions[[#This Row],[TTR]],TT_COL_LONGORSHORT)="S",0,Transactions[[#This Row],[CalCashImpact]])
)</f>
        <v>-126.45</v>
      </c>
      <c r="N513" s="106">
        <f>IF(VLOOKUP(Transactions[[#This Row],[Symbol]],Symbols[],COLUMN(Symbols[Currency])-COLUMN(Symbols[])+1,FALSE)=
       VLOOKUP(Transactions[[#This Row],[Account]],Accounts[],COLUMN(Accounts[Currency])-COLUMN(Accounts[])+1,FALSE),
     Transactions[[#This Row],[OrigCashImpact]],
     0
)</f>
        <v>-126.45</v>
      </c>
      <c r="O51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6347.4099999998443</v>
      </c>
      <c r="P51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51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994</v>
      </c>
      <c r="R513" s="41">
        <f>ROW()</f>
        <v>513</v>
      </c>
      <c r="S5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126.45</v>
      </c>
      <c r="T5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123106.7160652553</v>
      </c>
      <c r="U51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994</v>
      </c>
      <c r="V513" s="111">
        <f>IF(INDEX(TransTypes[],Transactions[[#This Row],[TTR]],TT_COL_GLFlag)=1,Transactions[[#This Row],[CalCashImpact]]+Transactions[[#This Row],[CostImpact]],0)</f>
        <v>0</v>
      </c>
      <c r="W513" s="112">
        <f>Transactions[[#This Row],[Amount]]*INDEX(TransTypes[],Transactions[[#This Row],[TTR]],TT_COL_AmntSign)</f>
        <v>-126.45</v>
      </c>
      <c r="X513" s="112">
        <f>IF(INDEX(TransTypes[],Transactions[[#This Row],[TTR]],TT_COL_LONGORSHORT)="S",
      IF( OR(INDEX(TransTypes[],Transactions[[#This Row],[TTR]],TT_COL_GLFlag)=1, INDEX(TransTypes[], Transactions[[#This Row],[TTR]], TT_COL_ShareTransferFlag)=1),
            Transactions[[#This Row],[CostImpact]]*-1,
            Transactions[[#This Row],[CalCashImpact]]
      ),
     0
)</f>
        <v>0</v>
      </c>
      <c r="Y513" s="113" t="str">
        <f>VLOOKUP(Transactions[[#This Row],[Symbol]],Symbols[], COLUMN(Symbols[Currency])-COLUMN(Symbols[])+1,FALSE)</f>
        <v>USD</v>
      </c>
    </row>
    <row r="514" spans="1:25">
      <c r="A514" s="100" t="s">
        <v>77</v>
      </c>
      <c r="B514" s="101">
        <v>43098</v>
      </c>
      <c r="C514" s="100" t="s">
        <v>113</v>
      </c>
      <c r="D514" s="100" t="s">
        <v>531</v>
      </c>
      <c r="E514" s="100" t="s">
        <v>508</v>
      </c>
      <c r="F514" s="102">
        <v>1</v>
      </c>
      <c r="G514" s="103">
        <v>156.29</v>
      </c>
      <c r="H514" s="102"/>
      <c r="I514" s="102"/>
      <c r="J514" s="104">
        <v>156.29</v>
      </c>
      <c r="K514" s="6" t="s">
        <v>574</v>
      </c>
      <c r="L514" s="20">
        <f>IF(ISNA(MATCH(Transactions[[#This Row],[TransType]],TransTypes[TransType],0)),1,MATCH(Transactions[[#This Row],[TransType]],TransTypes[TransType],0))</f>
        <v>2</v>
      </c>
      <c r="M514" s="105">
        <f>IF( AND( INDEX(TransTypes[],Transactions[[#This Row],[TTR]],TT_COL_GLFlag)=1, INDEX(TransTypes[],Transactions[[#This Row],[TTR]],TT_COL_LONGORSHORT)="S" ),
      Transactions[[#This Row],[PL]],
      IF(INDEX(TransTypes[],Transactions[[#This Row],[TTR]],TT_COL_LONGORSHORT)="S",0,Transactions[[#This Row],[CalCashImpact]])
)</f>
        <v>-156.29</v>
      </c>
      <c r="N514" s="106">
        <f>IF(VLOOKUP(Transactions[[#This Row],[Symbol]],Symbols[],COLUMN(Symbols[Currency])-COLUMN(Symbols[])+1,FALSE)=
       VLOOKUP(Transactions[[#This Row],[Account]],Accounts[],COLUMN(Accounts[Currency])-COLUMN(Accounts[])+1,FALSE),
     Transactions[[#This Row],[OrigCashImpact]],
     0
)</f>
        <v>-156.29</v>
      </c>
      <c r="O51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6191.1199999998444</v>
      </c>
      <c r="P51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51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320</v>
      </c>
      <c r="R514" s="41">
        <f>ROW()</f>
        <v>514</v>
      </c>
      <c r="S5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156.29</v>
      </c>
      <c r="T5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49757.556033690664</v>
      </c>
      <c r="U51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320</v>
      </c>
      <c r="V514" s="111">
        <f>IF(INDEX(TransTypes[],Transactions[[#This Row],[TTR]],TT_COL_GLFlag)=1,Transactions[[#This Row],[CalCashImpact]]+Transactions[[#This Row],[CostImpact]],0)</f>
        <v>0</v>
      </c>
      <c r="W514" s="112">
        <f>Transactions[[#This Row],[Amount]]*INDEX(TransTypes[],Transactions[[#This Row],[TTR]],TT_COL_AmntSign)</f>
        <v>-156.29</v>
      </c>
      <c r="X514" s="112">
        <f>IF(INDEX(TransTypes[],Transactions[[#This Row],[TTR]],TT_COL_LONGORSHORT)="S",
      IF( OR(INDEX(TransTypes[],Transactions[[#This Row],[TTR]],TT_COL_GLFlag)=1, INDEX(TransTypes[], Transactions[[#This Row],[TTR]], TT_COL_ShareTransferFlag)=1),
            Transactions[[#This Row],[CostImpact]]*-1,
            Transactions[[#This Row],[CalCashImpact]]
      ),
     0
)</f>
        <v>0</v>
      </c>
      <c r="Y514" s="113" t="str">
        <f>VLOOKUP(Transactions[[#This Row],[Symbol]],Symbols[], COLUMN(Symbols[Currency])-COLUMN(Symbols[])+1,FALSE)</f>
        <v>USD</v>
      </c>
    </row>
    <row r="515" spans="1:25">
      <c r="A515" s="100" t="s">
        <v>77</v>
      </c>
      <c r="B515" s="101">
        <v>43098</v>
      </c>
      <c r="C515" s="100" t="s">
        <v>118</v>
      </c>
      <c r="D515" s="100"/>
      <c r="E515" s="100" t="s">
        <v>508</v>
      </c>
      <c r="F515" s="102"/>
      <c r="G515" s="103"/>
      <c r="H515" s="102"/>
      <c r="I515" s="102"/>
      <c r="J515" s="104">
        <v>215.1</v>
      </c>
      <c r="K515" s="6" t="s">
        <v>575</v>
      </c>
      <c r="L515" s="20">
        <f>IF(ISNA(MATCH(Transactions[[#This Row],[TransType]],TransTypes[TransType],0)),1,MATCH(Transactions[[#This Row],[TransType]],TransTypes[TransType],0))</f>
        <v>4</v>
      </c>
      <c r="M515" s="105">
        <f>IF( AND( INDEX(TransTypes[],Transactions[[#This Row],[TTR]],TT_COL_GLFlag)=1, INDEX(TransTypes[],Transactions[[#This Row],[TTR]],TT_COL_LONGORSHORT)="S" ),
      Transactions[[#This Row],[PL]],
      IF(INDEX(TransTypes[],Transactions[[#This Row],[TTR]],TT_COL_LONGORSHORT)="S",0,Transactions[[#This Row],[CalCashImpact]])
)</f>
        <v>215.1</v>
      </c>
      <c r="N515" s="106">
        <f>IF(VLOOKUP(Transactions[[#This Row],[Symbol]],Symbols[],COLUMN(Symbols[Currency])-COLUMN(Symbols[])+1,FALSE)=
       VLOOKUP(Transactions[[#This Row],[Account]],Accounts[],COLUMN(Accounts[Currency])-COLUMN(Accounts[])+1,FALSE),
     Transactions[[#This Row],[OrigCashImpact]],
     0
)</f>
        <v>215.1</v>
      </c>
      <c r="O51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6406.2199999998438</v>
      </c>
      <c r="P51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1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320</v>
      </c>
      <c r="R515" s="41">
        <f>ROW()</f>
        <v>515</v>
      </c>
      <c r="S5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49757.556033690664</v>
      </c>
      <c r="U51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320</v>
      </c>
      <c r="V515" s="111">
        <f>IF(INDEX(TransTypes[],Transactions[[#This Row],[TTR]],TT_COL_GLFlag)=1,Transactions[[#This Row],[CalCashImpact]]+Transactions[[#This Row],[CostImpact]],0)</f>
        <v>0</v>
      </c>
      <c r="W515" s="112">
        <f>Transactions[[#This Row],[Amount]]*INDEX(TransTypes[],Transactions[[#This Row],[TTR]],TT_COL_AmntSign)</f>
        <v>215.1</v>
      </c>
      <c r="X515" s="112">
        <f>IF(INDEX(TransTypes[],Transactions[[#This Row],[TTR]],TT_COL_LONGORSHORT)="S",
      IF( OR(INDEX(TransTypes[],Transactions[[#This Row],[TTR]],TT_COL_GLFlag)=1, INDEX(TransTypes[], Transactions[[#This Row],[TTR]], TT_COL_ShareTransferFlag)=1),
            Transactions[[#This Row],[CostImpact]]*-1,
            Transactions[[#This Row],[CalCashImpact]]
      ),
     0
)</f>
        <v>0</v>
      </c>
      <c r="Y515" s="113" t="str">
        <f>VLOOKUP(Transactions[[#This Row],[Symbol]],Symbols[], COLUMN(Symbols[Currency])-COLUMN(Symbols[])+1,FALSE)</f>
        <v>USD</v>
      </c>
    </row>
    <row r="516" spans="1:25">
      <c r="A516" s="100" t="s">
        <v>77</v>
      </c>
      <c r="B516" s="101">
        <v>43098</v>
      </c>
      <c r="C516" s="100" t="s">
        <v>123</v>
      </c>
      <c r="D516" s="100"/>
      <c r="E516" s="100" t="s">
        <v>508</v>
      </c>
      <c r="F516" s="102"/>
      <c r="G516" s="103"/>
      <c r="H516" s="102"/>
      <c r="I516" s="102"/>
      <c r="J516" s="104">
        <v>32.270000000000003</v>
      </c>
      <c r="K516" s="6" t="s">
        <v>576</v>
      </c>
      <c r="L516" s="20">
        <f>IF(ISNA(MATCH(Transactions[[#This Row],[TransType]],TransTypes[TransType],0)),1,MATCH(Transactions[[#This Row],[TransType]],TransTypes[TransType],0))</f>
        <v>7</v>
      </c>
      <c r="M516" s="105">
        <f>IF( AND( INDEX(TransTypes[],Transactions[[#This Row],[TTR]],TT_COL_GLFlag)=1, INDEX(TransTypes[],Transactions[[#This Row],[TTR]],TT_COL_LONGORSHORT)="S" ),
      Transactions[[#This Row],[PL]],
      IF(INDEX(TransTypes[],Transactions[[#This Row],[TTR]],TT_COL_LONGORSHORT)="S",0,Transactions[[#This Row],[CalCashImpact]])
)</f>
        <v>-32.270000000000003</v>
      </c>
      <c r="N516" s="106">
        <f>IF(VLOOKUP(Transactions[[#This Row],[Symbol]],Symbols[],COLUMN(Symbols[Currency])-COLUMN(Symbols[])+1,FALSE)=
       VLOOKUP(Transactions[[#This Row],[Account]],Accounts[],COLUMN(Accounts[Currency])-COLUMN(Accounts[])+1,FALSE),
     Transactions[[#This Row],[OrigCashImpact]],
     0
)</f>
        <v>-32.270000000000003</v>
      </c>
      <c r="O51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6373.9499999998443</v>
      </c>
      <c r="P51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1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320</v>
      </c>
      <c r="R516" s="41">
        <f>ROW()</f>
        <v>516</v>
      </c>
      <c r="S5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49757.556033690664</v>
      </c>
      <c r="U51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320</v>
      </c>
      <c r="V516" s="111">
        <f>IF(INDEX(TransTypes[],Transactions[[#This Row],[TTR]],TT_COL_GLFlag)=1,Transactions[[#This Row],[CalCashImpact]]+Transactions[[#This Row],[CostImpact]],0)</f>
        <v>0</v>
      </c>
      <c r="W516" s="112">
        <f>Transactions[[#This Row],[Amount]]*INDEX(TransTypes[],Transactions[[#This Row],[TTR]],TT_COL_AmntSign)</f>
        <v>-32.270000000000003</v>
      </c>
      <c r="X516" s="112">
        <f>IF(INDEX(TransTypes[],Transactions[[#This Row],[TTR]],TT_COL_LONGORSHORT)="S",
      IF( OR(INDEX(TransTypes[],Transactions[[#This Row],[TTR]],TT_COL_GLFlag)=1, INDEX(TransTypes[], Transactions[[#This Row],[TTR]], TT_COL_ShareTransferFlag)=1),
            Transactions[[#This Row],[CostImpact]]*-1,
            Transactions[[#This Row],[CalCashImpact]]
      ),
     0
)</f>
        <v>0</v>
      </c>
      <c r="Y516" s="113" t="str">
        <f>VLOOKUP(Transactions[[#This Row],[Symbol]],Symbols[], COLUMN(Symbols[Currency])-COLUMN(Symbols[])+1,FALSE)</f>
        <v>USD</v>
      </c>
    </row>
    <row r="517" spans="1:25">
      <c r="A517" s="100" t="s">
        <v>77</v>
      </c>
      <c r="B517" s="101">
        <v>43102</v>
      </c>
      <c r="C517" s="100" t="s">
        <v>113</v>
      </c>
      <c r="D517" s="100" t="s">
        <v>531</v>
      </c>
      <c r="E517" s="100" t="s">
        <v>313</v>
      </c>
      <c r="F517" s="102">
        <v>8</v>
      </c>
      <c r="G517" s="103">
        <v>26.112500000000001</v>
      </c>
      <c r="H517" s="102"/>
      <c r="I517" s="102"/>
      <c r="J517" s="104">
        <v>208.9</v>
      </c>
      <c r="K517" s="6" t="s">
        <v>563</v>
      </c>
      <c r="L517" s="20">
        <f>IF(ISNA(MATCH(Transactions[[#This Row],[TransType]],TransTypes[TransType],0)),1,MATCH(Transactions[[#This Row],[TransType]],TransTypes[TransType],0))</f>
        <v>2</v>
      </c>
      <c r="M517" s="105">
        <f>IF( AND( INDEX(TransTypes[],Transactions[[#This Row],[TTR]],TT_COL_GLFlag)=1, INDEX(TransTypes[],Transactions[[#This Row],[TTR]],TT_COL_LONGORSHORT)="S" ),
      Transactions[[#This Row],[PL]],
      IF(INDEX(TransTypes[],Transactions[[#This Row],[TTR]],TT_COL_LONGORSHORT)="S",0,Transactions[[#This Row],[CalCashImpact]])
)</f>
        <v>-208.9</v>
      </c>
      <c r="N517" s="106">
        <f>IF(VLOOKUP(Transactions[[#This Row],[Symbol]],Symbols[],COLUMN(Symbols[Currency])-COLUMN(Symbols[])+1,FALSE)=
       VLOOKUP(Transactions[[#This Row],[Account]],Accounts[],COLUMN(Accounts[Currency])-COLUMN(Accounts[])+1,FALSE),
     Transactions[[#This Row],[OrigCashImpact]],
     0
)</f>
        <v>-208.9</v>
      </c>
      <c r="O51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6165.0499999998447</v>
      </c>
      <c r="P51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v>
      </c>
      <c r="Q51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1338</v>
      </c>
      <c r="R517" s="41">
        <f>ROW()</f>
        <v>517</v>
      </c>
      <c r="S5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208.9</v>
      </c>
      <c r="T5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35418.29</v>
      </c>
      <c r="U51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1338</v>
      </c>
      <c r="V517" s="111">
        <f>IF(INDEX(TransTypes[],Transactions[[#This Row],[TTR]],TT_COL_GLFlag)=1,Transactions[[#This Row],[CalCashImpact]]+Transactions[[#This Row],[CostImpact]],0)</f>
        <v>0</v>
      </c>
      <c r="W517" s="112">
        <f>Transactions[[#This Row],[Amount]]*INDEX(TransTypes[],Transactions[[#This Row],[TTR]],TT_COL_AmntSign)</f>
        <v>-208.9</v>
      </c>
      <c r="X517" s="112">
        <f>IF(INDEX(TransTypes[],Transactions[[#This Row],[TTR]],TT_COL_LONGORSHORT)="S",
      IF( OR(INDEX(TransTypes[],Transactions[[#This Row],[TTR]],TT_COL_GLFlag)=1, INDEX(TransTypes[], Transactions[[#This Row],[TTR]], TT_COL_ShareTransferFlag)=1),
            Transactions[[#This Row],[CostImpact]]*-1,
            Transactions[[#This Row],[CalCashImpact]]
      ),
     0
)</f>
        <v>0</v>
      </c>
      <c r="Y517" s="113" t="str">
        <f>VLOOKUP(Transactions[[#This Row],[Symbol]],Symbols[], COLUMN(Symbols[Currency])-COLUMN(Symbols[])+1,FALSE)</f>
        <v>USD</v>
      </c>
    </row>
    <row r="518" spans="1:25">
      <c r="A518" s="100" t="s">
        <v>77</v>
      </c>
      <c r="B518" s="101">
        <v>43102</v>
      </c>
      <c r="C518" s="100" t="s">
        <v>118</v>
      </c>
      <c r="D518" s="100"/>
      <c r="E518" s="100" t="s">
        <v>313</v>
      </c>
      <c r="F518" s="102"/>
      <c r="G518" s="103"/>
      <c r="H518" s="102"/>
      <c r="I518" s="102"/>
      <c r="J518" s="104">
        <v>252.7</v>
      </c>
      <c r="K518" s="6" t="s">
        <v>561</v>
      </c>
      <c r="L518" s="20">
        <f>IF(ISNA(MATCH(Transactions[[#This Row],[TransType]],TransTypes[TransType],0)),1,MATCH(Transactions[[#This Row],[TransType]],TransTypes[TransType],0))</f>
        <v>4</v>
      </c>
      <c r="M518" s="105">
        <f>IF( AND( INDEX(TransTypes[],Transactions[[#This Row],[TTR]],TT_COL_GLFlag)=1, INDEX(TransTypes[],Transactions[[#This Row],[TTR]],TT_COL_LONGORSHORT)="S" ),
      Transactions[[#This Row],[PL]],
      IF(INDEX(TransTypes[],Transactions[[#This Row],[TTR]],TT_COL_LONGORSHORT)="S",0,Transactions[[#This Row],[CalCashImpact]])
)</f>
        <v>252.7</v>
      </c>
      <c r="N518" s="106">
        <f>IF(VLOOKUP(Transactions[[#This Row],[Symbol]],Symbols[],COLUMN(Symbols[Currency])-COLUMN(Symbols[])+1,FALSE)=
       VLOOKUP(Transactions[[#This Row],[Account]],Accounts[],COLUMN(Accounts[Currency])-COLUMN(Accounts[])+1,FALSE),
     Transactions[[#This Row],[OrigCashImpact]],
     0
)</f>
        <v>252.7</v>
      </c>
      <c r="O51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6417.7499999998445</v>
      </c>
      <c r="P51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1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1338</v>
      </c>
      <c r="R518" s="41">
        <f>ROW()</f>
        <v>518</v>
      </c>
      <c r="S5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35418.29</v>
      </c>
      <c r="U51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1338</v>
      </c>
      <c r="V518" s="111">
        <f>IF(INDEX(TransTypes[],Transactions[[#This Row],[TTR]],TT_COL_GLFlag)=1,Transactions[[#This Row],[CalCashImpact]]+Transactions[[#This Row],[CostImpact]],0)</f>
        <v>0</v>
      </c>
      <c r="W518" s="112">
        <f>Transactions[[#This Row],[Amount]]*INDEX(TransTypes[],Transactions[[#This Row],[TTR]],TT_COL_AmntSign)</f>
        <v>252.7</v>
      </c>
      <c r="X518" s="112">
        <f>IF(INDEX(TransTypes[],Transactions[[#This Row],[TTR]],TT_COL_LONGORSHORT)="S",
      IF( OR(INDEX(TransTypes[],Transactions[[#This Row],[TTR]],TT_COL_GLFlag)=1, INDEX(TransTypes[], Transactions[[#This Row],[TTR]], TT_COL_ShareTransferFlag)=1),
            Transactions[[#This Row],[CostImpact]]*-1,
            Transactions[[#This Row],[CalCashImpact]]
      ),
     0
)</f>
        <v>0</v>
      </c>
      <c r="Y518" s="113" t="str">
        <f>VLOOKUP(Transactions[[#This Row],[Symbol]],Symbols[], COLUMN(Symbols[Currency])-COLUMN(Symbols[])+1,FALSE)</f>
        <v>USD</v>
      </c>
    </row>
    <row r="519" spans="1:25">
      <c r="A519" s="100" t="s">
        <v>77</v>
      </c>
      <c r="B519" s="101">
        <v>43102</v>
      </c>
      <c r="C519" s="100" t="s">
        <v>123</v>
      </c>
      <c r="D519" s="100"/>
      <c r="E519" s="100" t="s">
        <v>313</v>
      </c>
      <c r="F519" s="102"/>
      <c r="G519" s="103"/>
      <c r="H519" s="102"/>
      <c r="I519" s="102"/>
      <c r="J519" s="104">
        <v>37.909999999999997</v>
      </c>
      <c r="K519" s="6" t="s">
        <v>562</v>
      </c>
      <c r="L519" s="20">
        <f>IF(ISNA(MATCH(Transactions[[#This Row],[TransType]],TransTypes[TransType],0)),1,MATCH(Transactions[[#This Row],[TransType]],TransTypes[TransType],0))</f>
        <v>7</v>
      </c>
      <c r="M519" s="105">
        <f>IF( AND( INDEX(TransTypes[],Transactions[[#This Row],[TTR]],TT_COL_GLFlag)=1, INDEX(TransTypes[],Transactions[[#This Row],[TTR]],TT_COL_LONGORSHORT)="S" ),
      Transactions[[#This Row],[PL]],
      IF(INDEX(TransTypes[],Transactions[[#This Row],[TTR]],TT_COL_LONGORSHORT)="S",0,Transactions[[#This Row],[CalCashImpact]])
)</f>
        <v>-37.909999999999997</v>
      </c>
      <c r="N519" s="106">
        <f>IF(VLOOKUP(Transactions[[#This Row],[Symbol]],Symbols[],COLUMN(Symbols[Currency])-COLUMN(Symbols[])+1,FALSE)=
       VLOOKUP(Transactions[[#This Row],[Account]],Accounts[],COLUMN(Accounts[Currency])-COLUMN(Accounts[])+1,FALSE),
     Transactions[[#This Row],[OrigCashImpact]],
     0
)</f>
        <v>-37.909999999999997</v>
      </c>
      <c r="O51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6379.8399999998446</v>
      </c>
      <c r="P51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1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1338</v>
      </c>
      <c r="R519" s="41">
        <f>ROW()</f>
        <v>519</v>
      </c>
      <c r="S5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35418.29</v>
      </c>
      <c r="U51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1338</v>
      </c>
      <c r="V519" s="111">
        <f>IF(INDEX(TransTypes[],Transactions[[#This Row],[TTR]],TT_COL_GLFlag)=1,Transactions[[#This Row],[CalCashImpact]]+Transactions[[#This Row],[CostImpact]],0)</f>
        <v>0</v>
      </c>
      <c r="W519" s="112">
        <f>Transactions[[#This Row],[Amount]]*INDEX(TransTypes[],Transactions[[#This Row],[TTR]],TT_COL_AmntSign)</f>
        <v>-37.909999999999997</v>
      </c>
      <c r="X519" s="112">
        <f>IF(INDEX(TransTypes[],Transactions[[#This Row],[TTR]],TT_COL_LONGORSHORT)="S",
      IF( OR(INDEX(TransTypes[],Transactions[[#This Row],[TTR]],TT_COL_GLFlag)=1, INDEX(TransTypes[], Transactions[[#This Row],[TTR]], TT_COL_ShareTransferFlag)=1),
            Transactions[[#This Row],[CostImpact]]*-1,
            Transactions[[#This Row],[CalCashImpact]]
      ),
     0
)</f>
        <v>0</v>
      </c>
      <c r="Y519" s="113" t="str">
        <f>VLOOKUP(Transactions[[#This Row],[Symbol]],Symbols[], COLUMN(Symbols[Currency])-COLUMN(Symbols[])+1,FALSE)</f>
        <v>USD</v>
      </c>
    </row>
    <row r="520" spans="1:25">
      <c r="A520" s="100" t="s">
        <v>77</v>
      </c>
      <c r="B520" s="101">
        <v>43131</v>
      </c>
      <c r="C520" s="100" t="s">
        <v>118</v>
      </c>
      <c r="D520" s="100"/>
      <c r="E520" s="100" t="s">
        <v>16</v>
      </c>
      <c r="F520" s="102"/>
      <c r="G520" s="103"/>
      <c r="H520" s="102"/>
      <c r="I520" s="102"/>
      <c r="J520" s="104">
        <v>598.64</v>
      </c>
      <c r="K520" s="6" t="s">
        <v>577</v>
      </c>
      <c r="L520" s="20">
        <f>IF(ISNA(MATCH(Transactions[[#This Row],[TransType]],TransTypes[TransType],0)),1,MATCH(Transactions[[#This Row],[TransType]],TransTypes[TransType],0))</f>
        <v>4</v>
      </c>
      <c r="M520" s="105">
        <f>IF( AND( INDEX(TransTypes[],Transactions[[#This Row],[TTR]],TT_COL_GLFlag)=1, INDEX(TransTypes[],Transactions[[#This Row],[TTR]],TT_COL_LONGORSHORT)="S" ),
      Transactions[[#This Row],[PL]],
      IF(INDEX(TransTypes[],Transactions[[#This Row],[TTR]],TT_COL_LONGORSHORT)="S",0,Transactions[[#This Row],[CalCashImpact]])
)</f>
        <v>598.64</v>
      </c>
      <c r="N520" s="106">
        <f>IF(VLOOKUP(Transactions[[#This Row],[Symbol]],Symbols[],COLUMN(Symbols[Currency])-COLUMN(Symbols[])+1,FALSE)=
       VLOOKUP(Transactions[[#This Row],[Account]],Accounts[],COLUMN(Accounts[Currency])-COLUMN(Accounts[])+1,FALSE),
     Transactions[[#This Row],[OrigCashImpact]],
     0
)</f>
        <v>598.64</v>
      </c>
      <c r="O52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6978.4799999998449</v>
      </c>
      <c r="P52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2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432</v>
      </c>
      <c r="R520" s="41">
        <f>ROW()</f>
        <v>520</v>
      </c>
      <c r="S5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111888.88740406321</v>
      </c>
      <c r="U52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432</v>
      </c>
      <c r="V520" s="111">
        <f>IF(INDEX(TransTypes[],Transactions[[#This Row],[TTR]],TT_COL_GLFlag)=1,Transactions[[#This Row],[CalCashImpact]]+Transactions[[#This Row],[CostImpact]],0)</f>
        <v>0</v>
      </c>
      <c r="W520" s="112">
        <f>Transactions[[#This Row],[Amount]]*INDEX(TransTypes[],Transactions[[#This Row],[TTR]],TT_COL_AmntSign)</f>
        <v>598.64</v>
      </c>
      <c r="X520" s="112">
        <f>IF(INDEX(TransTypes[],Transactions[[#This Row],[TTR]],TT_COL_LONGORSHORT)="S",
      IF( OR(INDEX(TransTypes[],Transactions[[#This Row],[TTR]],TT_COL_GLFlag)=1, INDEX(TransTypes[], Transactions[[#This Row],[TTR]], TT_COL_ShareTransferFlag)=1),
            Transactions[[#This Row],[CostImpact]]*-1,
            Transactions[[#This Row],[CalCashImpact]]
      ),
     0
)</f>
        <v>0</v>
      </c>
      <c r="Y520" s="113" t="str">
        <f>VLOOKUP(Transactions[[#This Row],[Symbol]],Symbols[], COLUMN(Symbols[Currency])-COLUMN(Symbols[])+1,FALSE)</f>
        <v>USD</v>
      </c>
    </row>
    <row r="521" spans="1:25">
      <c r="A521" s="100" t="s">
        <v>77</v>
      </c>
      <c r="B521" s="101">
        <v>43131</v>
      </c>
      <c r="C521" s="100" t="s">
        <v>113</v>
      </c>
      <c r="D521" s="100" t="s">
        <v>531</v>
      </c>
      <c r="E521" s="100" t="s">
        <v>16</v>
      </c>
      <c r="F521" s="102">
        <v>1</v>
      </c>
      <c r="G521" s="103">
        <v>282.93</v>
      </c>
      <c r="H521" s="102"/>
      <c r="I521" s="102"/>
      <c r="J521" s="104">
        <v>282.93</v>
      </c>
      <c r="K521" s="6" t="s">
        <v>578</v>
      </c>
      <c r="L521" s="20">
        <f>IF(ISNA(MATCH(Transactions[[#This Row],[TransType]],TransTypes[TransType],0)),1,MATCH(Transactions[[#This Row],[TransType]],TransTypes[TransType],0))</f>
        <v>2</v>
      </c>
      <c r="M521" s="105">
        <f>IF( AND( INDEX(TransTypes[],Transactions[[#This Row],[TTR]],TT_COL_GLFlag)=1, INDEX(TransTypes[],Transactions[[#This Row],[TTR]],TT_COL_LONGORSHORT)="S" ),
      Transactions[[#This Row],[PL]],
      IF(INDEX(TransTypes[],Transactions[[#This Row],[TTR]],TT_COL_LONGORSHORT)="S",0,Transactions[[#This Row],[CalCashImpact]])
)</f>
        <v>-282.93</v>
      </c>
      <c r="N521" s="106">
        <f>IF(VLOOKUP(Transactions[[#This Row],[Symbol]],Symbols[],COLUMN(Symbols[Currency])-COLUMN(Symbols[])+1,FALSE)=
       VLOOKUP(Transactions[[#This Row],[Account]],Accounts[],COLUMN(Accounts[Currency])-COLUMN(Accounts[])+1,FALSE),
     Transactions[[#This Row],[OrigCashImpact]],
     0
)</f>
        <v>-282.93</v>
      </c>
      <c r="O52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6695.5499999998447</v>
      </c>
      <c r="P52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52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433</v>
      </c>
      <c r="R521" s="41">
        <f>ROW()</f>
        <v>521</v>
      </c>
      <c r="S5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282.93</v>
      </c>
      <c r="T5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112171.8174040632</v>
      </c>
      <c r="U52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433</v>
      </c>
      <c r="V521" s="111">
        <f>IF(INDEX(TransTypes[],Transactions[[#This Row],[TTR]],TT_COL_GLFlag)=1,Transactions[[#This Row],[CalCashImpact]]+Transactions[[#This Row],[CostImpact]],0)</f>
        <v>0</v>
      </c>
      <c r="W521" s="112">
        <f>Transactions[[#This Row],[Amount]]*INDEX(TransTypes[],Transactions[[#This Row],[TTR]],TT_COL_AmntSign)</f>
        <v>-282.93</v>
      </c>
      <c r="X521" s="112">
        <f>IF(INDEX(TransTypes[],Transactions[[#This Row],[TTR]],TT_COL_LONGORSHORT)="S",
      IF( OR(INDEX(TransTypes[],Transactions[[#This Row],[TTR]],TT_COL_GLFlag)=1, INDEX(TransTypes[], Transactions[[#This Row],[TTR]], TT_COL_ShareTransferFlag)=1),
            Transactions[[#This Row],[CostImpact]]*-1,
            Transactions[[#This Row],[CalCashImpact]]
      ),
     0
)</f>
        <v>0</v>
      </c>
      <c r="Y521" s="113" t="str">
        <f>VLOOKUP(Transactions[[#This Row],[Symbol]],Symbols[], COLUMN(Symbols[Currency])-COLUMN(Symbols[])+1,FALSE)</f>
        <v>USD</v>
      </c>
    </row>
    <row r="522" spans="1:25">
      <c r="A522" s="100" t="s">
        <v>77</v>
      </c>
      <c r="B522" s="101">
        <v>43131</v>
      </c>
      <c r="C522" s="100" t="s">
        <v>123</v>
      </c>
      <c r="D522" s="100"/>
      <c r="E522" s="100" t="s">
        <v>16</v>
      </c>
      <c r="F522" s="102"/>
      <c r="G522" s="103"/>
      <c r="H522" s="102"/>
      <c r="I522" s="102"/>
      <c r="J522" s="104">
        <v>89.8</v>
      </c>
      <c r="K522" s="6" t="s">
        <v>579</v>
      </c>
      <c r="L522" s="20">
        <f>IF(ISNA(MATCH(Transactions[[#This Row],[TransType]],TransTypes[TransType],0)),1,MATCH(Transactions[[#This Row],[TransType]],TransTypes[TransType],0))</f>
        <v>7</v>
      </c>
      <c r="M522" s="105">
        <f>IF( AND( INDEX(TransTypes[],Transactions[[#This Row],[TTR]],TT_COL_GLFlag)=1, INDEX(TransTypes[],Transactions[[#This Row],[TTR]],TT_COL_LONGORSHORT)="S" ),
      Transactions[[#This Row],[PL]],
      IF(INDEX(TransTypes[],Transactions[[#This Row],[TTR]],TT_COL_LONGORSHORT)="S",0,Transactions[[#This Row],[CalCashImpact]])
)</f>
        <v>-89.8</v>
      </c>
      <c r="N522" s="106">
        <f>IF(VLOOKUP(Transactions[[#This Row],[Symbol]],Symbols[],COLUMN(Symbols[Currency])-COLUMN(Symbols[])+1,FALSE)=
       VLOOKUP(Transactions[[#This Row],[Account]],Accounts[],COLUMN(Accounts[Currency])-COLUMN(Accounts[])+1,FALSE),
     Transactions[[#This Row],[OrigCashImpact]],
     0
)</f>
        <v>-89.8</v>
      </c>
      <c r="O52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6605.7499999998445</v>
      </c>
      <c r="P52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2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433</v>
      </c>
      <c r="R522" s="41">
        <f>ROW()</f>
        <v>522</v>
      </c>
      <c r="S5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112171.8174040632</v>
      </c>
      <c r="U52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433</v>
      </c>
      <c r="V522" s="111">
        <f>IF(INDEX(TransTypes[],Transactions[[#This Row],[TTR]],TT_COL_GLFlag)=1,Transactions[[#This Row],[CalCashImpact]]+Transactions[[#This Row],[CostImpact]],0)</f>
        <v>0</v>
      </c>
      <c r="W522" s="112">
        <f>Transactions[[#This Row],[Amount]]*INDEX(TransTypes[],Transactions[[#This Row],[TTR]],TT_COL_AmntSign)</f>
        <v>-89.8</v>
      </c>
      <c r="X522" s="112">
        <f>IF(INDEX(TransTypes[],Transactions[[#This Row],[TTR]],TT_COL_LONGORSHORT)="S",
      IF( OR(INDEX(TransTypes[],Transactions[[#This Row],[TTR]],TT_COL_GLFlag)=1, INDEX(TransTypes[], Transactions[[#This Row],[TTR]], TT_COL_ShareTransferFlag)=1),
            Transactions[[#This Row],[CostImpact]]*-1,
            Transactions[[#This Row],[CalCashImpact]]
      ),
     0
)</f>
        <v>0</v>
      </c>
      <c r="Y522" s="113" t="str">
        <f>VLOOKUP(Transactions[[#This Row],[Symbol]],Symbols[], COLUMN(Symbols[Currency])-COLUMN(Symbols[])+1,FALSE)</f>
        <v>USD</v>
      </c>
    </row>
    <row r="523" spans="1:25">
      <c r="A523" s="100" t="s">
        <v>77</v>
      </c>
      <c r="B523" s="101">
        <v>43132</v>
      </c>
      <c r="C523" s="100" t="s">
        <v>118</v>
      </c>
      <c r="D523" s="100"/>
      <c r="E523" s="100" t="s">
        <v>313</v>
      </c>
      <c r="F523" s="102"/>
      <c r="G523" s="103"/>
      <c r="H523" s="102"/>
      <c r="I523" s="102"/>
      <c r="J523" s="104">
        <v>254.22</v>
      </c>
      <c r="K523" s="6" t="s">
        <v>561</v>
      </c>
      <c r="L523" s="20">
        <f>IF(ISNA(MATCH(Transactions[[#This Row],[TransType]],TransTypes[TransType],0)),1,MATCH(Transactions[[#This Row],[TransType]],TransTypes[TransType],0))</f>
        <v>4</v>
      </c>
      <c r="M523" s="105">
        <f>IF( AND( INDEX(TransTypes[],Transactions[[#This Row],[TTR]],TT_COL_GLFlag)=1, INDEX(TransTypes[],Transactions[[#This Row],[TTR]],TT_COL_LONGORSHORT)="S" ),
      Transactions[[#This Row],[PL]],
      IF(INDEX(TransTypes[],Transactions[[#This Row],[TTR]],TT_COL_LONGORSHORT)="S",0,Transactions[[#This Row],[CalCashImpact]])
)</f>
        <v>254.22</v>
      </c>
      <c r="N523" s="106">
        <f>IF(VLOOKUP(Transactions[[#This Row],[Symbol]],Symbols[],COLUMN(Symbols[Currency])-COLUMN(Symbols[])+1,FALSE)=
       VLOOKUP(Transactions[[#This Row],[Account]],Accounts[],COLUMN(Accounts[Currency])-COLUMN(Accounts[])+1,FALSE),
     Transactions[[#This Row],[OrigCashImpact]],
     0
)</f>
        <v>254.22</v>
      </c>
      <c r="O52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6859.9699999998447</v>
      </c>
      <c r="P52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2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1338</v>
      </c>
      <c r="R523" s="41">
        <f>ROW()</f>
        <v>523</v>
      </c>
      <c r="S5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35418.29</v>
      </c>
      <c r="U52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1338</v>
      </c>
      <c r="V523" s="111">
        <f>IF(INDEX(TransTypes[],Transactions[[#This Row],[TTR]],TT_COL_GLFlag)=1,Transactions[[#This Row],[CalCashImpact]]+Transactions[[#This Row],[CostImpact]],0)</f>
        <v>0</v>
      </c>
      <c r="W523" s="112">
        <f>Transactions[[#This Row],[Amount]]*INDEX(TransTypes[],Transactions[[#This Row],[TTR]],TT_COL_AmntSign)</f>
        <v>254.22</v>
      </c>
      <c r="X523" s="112">
        <f>IF(INDEX(TransTypes[],Transactions[[#This Row],[TTR]],TT_COL_LONGORSHORT)="S",
      IF( OR(INDEX(TransTypes[],Transactions[[#This Row],[TTR]],TT_COL_GLFlag)=1, INDEX(TransTypes[], Transactions[[#This Row],[TTR]], TT_COL_ShareTransferFlag)=1),
            Transactions[[#This Row],[CostImpact]]*-1,
            Transactions[[#This Row],[CalCashImpact]]
      ),
     0
)</f>
        <v>0</v>
      </c>
      <c r="Y523" s="113" t="str">
        <f>VLOOKUP(Transactions[[#This Row],[Symbol]],Symbols[], COLUMN(Symbols[Currency])-COLUMN(Symbols[])+1,FALSE)</f>
        <v>USD</v>
      </c>
    </row>
    <row r="524" spans="1:25">
      <c r="A524" s="100" t="s">
        <v>77</v>
      </c>
      <c r="B524" s="101">
        <v>43132</v>
      </c>
      <c r="C524" s="100" t="s">
        <v>123</v>
      </c>
      <c r="D524" s="100"/>
      <c r="E524" s="100" t="s">
        <v>313</v>
      </c>
      <c r="F524" s="102"/>
      <c r="G524" s="103"/>
      <c r="H524" s="102"/>
      <c r="I524" s="102"/>
      <c r="J524" s="104">
        <v>38.130000000000003</v>
      </c>
      <c r="K524" s="6" t="s">
        <v>562</v>
      </c>
      <c r="L524" s="20">
        <f>IF(ISNA(MATCH(Transactions[[#This Row],[TransType]],TransTypes[TransType],0)),1,MATCH(Transactions[[#This Row],[TransType]],TransTypes[TransType],0))</f>
        <v>7</v>
      </c>
      <c r="M524" s="105">
        <f>IF( AND( INDEX(TransTypes[],Transactions[[#This Row],[TTR]],TT_COL_GLFlag)=1, INDEX(TransTypes[],Transactions[[#This Row],[TTR]],TT_COL_LONGORSHORT)="S" ),
      Transactions[[#This Row],[PL]],
      IF(INDEX(TransTypes[],Transactions[[#This Row],[TTR]],TT_COL_LONGORSHORT)="S",0,Transactions[[#This Row],[CalCashImpact]])
)</f>
        <v>-38.130000000000003</v>
      </c>
      <c r="N524" s="106">
        <f>IF(VLOOKUP(Transactions[[#This Row],[Symbol]],Symbols[],COLUMN(Symbols[Currency])-COLUMN(Symbols[])+1,FALSE)=
       VLOOKUP(Transactions[[#This Row],[Account]],Accounts[],COLUMN(Accounts[Currency])-COLUMN(Accounts[])+1,FALSE),
     Transactions[[#This Row],[OrigCashImpact]],
     0
)</f>
        <v>-38.130000000000003</v>
      </c>
      <c r="O52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6821.8399999998446</v>
      </c>
      <c r="P52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2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1338</v>
      </c>
      <c r="R524" s="41">
        <f>ROW()</f>
        <v>524</v>
      </c>
      <c r="S5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35418.29</v>
      </c>
      <c r="U52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1338</v>
      </c>
      <c r="V524" s="111">
        <f>IF(INDEX(TransTypes[],Transactions[[#This Row],[TTR]],TT_COL_GLFlag)=1,Transactions[[#This Row],[CalCashImpact]]+Transactions[[#This Row],[CostImpact]],0)</f>
        <v>0</v>
      </c>
      <c r="W524" s="112">
        <f>Transactions[[#This Row],[Amount]]*INDEX(TransTypes[],Transactions[[#This Row],[TTR]],TT_COL_AmntSign)</f>
        <v>-38.130000000000003</v>
      </c>
      <c r="X524" s="112">
        <f>IF(INDEX(TransTypes[],Transactions[[#This Row],[TTR]],TT_COL_LONGORSHORT)="S",
      IF( OR(INDEX(TransTypes[],Transactions[[#This Row],[TTR]],TT_COL_GLFlag)=1, INDEX(TransTypes[], Transactions[[#This Row],[TTR]], TT_COL_ShareTransferFlag)=1),
            Transactions[[#This Row],[CostImpact]]*-1,
            Transactions[[#This Row],[CalCashImpact]]
      ),
     0
)</f>
        <v>0</v>
      </c>
      <c r="Y524" s="113" t="str">
        <f>VLOOKUP(Transactions[[#This Row],[Symbol]],Symbols[], COLUMN(Symbols[Currency])-COLUMN(Symbols[])+1,FALSE)</f>
        <v>USD</v>
      </c>
    </row>
    <row r="525" spans="1:25">
      <c r="A525" s="100" t="s">
        <v>77</v>
      </c>
      <c r="B525" s="101">
        <v>43133</v>
      </c>
      <c r="C525" s="100" t="s">
        <v>113</v>
      </c>
      <c r="D525" s="100" t="s">
        <v>531</v>
      </c>
      <c r="E525" s="100" t="s">
        <v>313</v>
      </c>
      <c r="F525" s="102">
        <v>8</v>
      </c>
      <c r="G525" s="103">
        <v>25.806249999999999</v>
      </c>
      <c r="H525" s="102"/>
      <c r="I525" s="102"/>
      <c r="J525" s="104">
        <v>206.45</v>
      </c>
      <c r="K525" s="6" t="s">
        <v>580</v>
      </c>
      <c r="L525" s="20">
        <f>IF(ISNA(MATCH(Transactions[[#This Row],[TransType]],TransTypes[TransType],0)),1,MATCH(Transactions[[#This Row],[TransType]],TransTypes[TransType],0))</f>
        <v>2</v>
      </c>
      <c r="M525" s="105">
        <f>IF( AND( INDEX(TransTypes[],Transactions[[#This Row],[TTR]],TT_COL_GLFlag)=1, INDEX(TransTypes[],Transactions[[#This Row],[TTR]],TT_COL_LONGORSHORT)="S" ),
      Transactions[[#This Row],[PL]],
      IF(INDEX(TransTypes[],Transactions[[#This Row],[TTR]],TT_COL_LONGORSHORT)="S",0,Transactions[[#This Row],[CalCashImpact]])
)</f>
        <v>-206.45</v>
      </c>
      <c r="N525" s="106">
        <f>IF(VLOOKUP(Transactions[[#This Row],[Symbol]],Symbols[],COLUMN(Symbols[Currency])-COLUMN(Symbols[])+1,FALSE)=
       VLOOKUP(Transactions[[#This Row],[Account]],Accounts[],COLUMN(Accounts[Currency])-COLUMN(Accounts[])+1,FALSE),
     Transactions[[#This Row],[OrigCashImpact]],
     0
)</f>
        <v>-206.45</v>
      </c>
      <c r="O52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6615.3899999998448</v>
      </c>
      <c r="P52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v>
      </c>
      <c r="Q52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1346</v>
      </c>
      <c r="R525" s="41">
        <f>ROW()</f>
        <v>525</v>
      </c>
      <c r="S5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206.45</v>
      </c>
      <c r="T5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35624.74</v>
      </c>
      <c r="U52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1346</v>
      </c>
      <c r="V525" s="111">
        <f>IF(INDEX(TransTypes[],Transactions[[#This Row],[TTR]],TT_COL_GLFlag)=1,Transactions[[#This Row],[CalCashImpact]]+Transactions[[#This Row],[CostImpact]],0)</f>
        <v>0</v>
      </c>
      <c r="W525" s="112">
        <f>Transactions[[#This Row],[Amount]]*INDEX(TransTypes[],Transactions[[#This Row],[TTR]],TT_COL_AmntSign)</f>
        <v>-206.45</v>
      </c>
      <c r="X525" s="112">
        <f>IF(INDEX(TransTypes[],Transactions[[#This Row],[TTR]],TT_COL_LONGORSHORT)="S",
      IF( OR(INDEX(TransTypes[],Transactions[[#This Row],[TTR]],TT_COL_GLFlag)=1, INDEX(TransTypes[], Transactions[[#This Row],[TTR]], TT_COL_ShareTransferFlag)=1),
            Transactions[[#This Row],[CostImpact]]*-1,
            Transactions[[#This Row],[CalCashImpact]]
      ),
     0
)</f>
        <v>0</v>
      </c>
      <c r="Y525" s="113" t="str">
        <f>VLOOKUP(Transactions[[#This Row],[Symbol]],Symbols[], COLUMN(Symbols[Currency])-COLUMN(Symbols[])+1,FALSE)</f>
        <v>USD</v>
      </c>
    </row>
    <row r="526" spans="1:25">
      <c r="A526" s="100" t="s">
        <v>77</v>
      </c>
      <c r="B526" s="101">
        <v>43136</v>
      </c>
      <c r="C526" s="100" t="s">
        <v>115</v>
      </c>
      <c r="D526" s="100"/>
      <c r="E526" s="100" t="s">
        <v>16</v>
      </c>
      <c r="F526" s="102">
        <v>33</v>
      </c>
      <c r="G526" s="103">
        <v>273.84212121212101</v>
      </c>
      <c r="H526" s="102">
        <v>9.99</v>
      </c>
      <c r="I526" s="102"/>
      <c r="J526" s="104">
        <v>9026.7999999999993</v>
      </c>
      <c r="K526" s="6" t="s">
        <v>581</v>
      </c>
      <c r="L526" s="20">
        <f>IF(ISNA(MATCH(Transactions[[#This Row],[TransType]],TransTypes[TransType],0)),1,MATCH(Transactions[[#This Row],[TransType]],TransTypes[TransType],0))</f>
        <v>3</v>
      </c>
      <c r="M526" s="105">
        <f>IF( AND( INDEX(TransTypes[],Transactions[[#This Row],[TTR]],TT_COL_GLFlag)=1, INDEX(TransTypes[],Transactions[[#This Row],[TTR]],TT_COL_LONGORSHORT)="S" ),
      Transactions[[#This Row],[PL]],
      IF(INDEX(TransTypes[],Transactions[[#This Row],[TTR]],TT_COL_LONGORSHORT)="S",0,Transactions[[#This Row],[CalCashImpact]])
)</f>
        <v>9026.7999999999993</v>
      </c>
      <c r="N526" s="106">
        <f>IF(VLOOKUP(Transactions[[#This Row],[Symbol]],Symbols[],COLUMN(Symbols[Currency])-COLUMN(Symbols[])+1,FALSE)=
       VLOOKUP(Transactions[[#This Row],[Account]],Accounts[],COLUMN(Accounts[Currency])-COLUMN(Accounts[])+1,FALSE),
     Transactions[[#This Row],[OrigCashImpact]],
     0
)</f>
        <v>9026.7999999999993</v>
      </c>
      <c r="O52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15642.189999999844</v>
      </c>
      <c r="P52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-33</v>
      </c>
      <c r="Q52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526" s="41">
        <f>ROW()</f>
        <v>526</v>
      </c>
      <c r="S5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-8548.891395690729</v>
      </c>
      <c r="T5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103622.92600837247</v>
      </c>
      <c r="U52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433</v>
      </c>
      <c r="V526" s="111">
        <f>IF(INDEX(TransTypes[],Transactions[[#This Row],[TTR]],TT_COL_GLFlag)=1,Transactions[[#This Row],[CalCashImpact]]+Transactions[[#This Row],[CostImpact]],0)</f>
        <v>477.90860430927023</v>
      </c>
      <c r="W526" s="112">
        <f>Transactions[[#This Row],[Amount]]*INDEX(TransTypes[],Transactions[[#This Row],[TTR]],TT_COL_AmntSign)</f>
        <v>9026.7999999999993</v>
      </c>
      <c r="X526" s="112">
        <f>IF(INDEX(TransTypes[],Transactions[[#This Row],[TTR]],TT_COL_LONGORSHORT)="S",
      IF( OR(INDEX(TransTypes[],Transactions[[#This Row],[TTR]],TT_COL_GLFlag)=1, INDEX(TransTypes[], Transactions[[#This Row],[TTR]], TT_COL_ShareTransferFlag)=1),
            Transactions[[#This Row],[CostImpact]]*-1,
            Transactions[[#This Row],[CalCashImpact]]
      ),
     0
)</f>
        <v>0</v>
      </c>
      <c r="Y526" s="113" t="str">
        <f>VLOOKUP(Transactions[[#This Row],[Symbol]],Symbols[], COLUMN(Symbols[Currency])-COLUMN(Symbols[])+1,FALSE)</f>
        <v>USD</v>
      </c>
    </row>
    <row r="527" spans="1:25">
      <c r="A527" s="100" t="s">
        <v>77</v>
      </c>
      <c r="B527" s="101">
        <v>43136</v>
      </c>
      <c r="C527" s="100" t="s">
        <v>115</v>
      </c>
      <c r="D527" s="100"/>
      <c r="E527" s="100" t="s">
        <v>508</v>
      </c>
      <c r="F527" s="102">
        <v>20</v>
      </c>
      <c r="G527" s="103">
        <v>163.83600000000001</v>
      </c>
      <c r="H527" s="102">
        <v>9.99</v>
      </c>
      <c r="I527" s="102"/>
      <c r="J527" s="104">
        <v>3266.73</v>
      </c>
      <c r="K527" s="6" t="s">
        <v>582</v>
      </c>
      <c r="L527" s="20">
        <f>IF(ISNA(MATCH(Transactions[[#This Row],[TransType]],TransTypes[TransType],0)),1,MATCH(Transactions[[#This Row],[TransType]],TransTypes[TransType],0))</f>
        <v>3</v>
      </c>
      <c r="M527" s="105">
        <f>IF( AND( INDEX(TransTypes[],Transactions[[#This Row],[TTR]],TT_COL_GLFlag)=1, INDEX(TransTypes[],Transactions[[#This Row],[TTR]],TT_COL_LONGORSHORT)="S" ),
      Transactions[[#This Row],[PL]],
      IF(INDEX(TransTypes[],Transactions[[#This Row],[TTR]],TT_COL_LONGORSHORT)="S",0,Transactions[[#This Row],[CalCashImpact]])
)</f>
        <v>3266.73</v>
      </c>
      <c r="N527" s="106">
        <f>IF(VLOOKUP(Transactions[[#This Row],[Symbol]],Symbols[],COLUMN(Symbols[Currency])-COLUMN(Symbols[])+1,FALSE)=
       VLOOKUP(Transactions[[#This Row],[Account]],Accounts[],COLUMN(Accounts[Currency])-COLUMN(Accounts[])+1,FALSE),
     Transactions[[#This Row],[OrigCashImpact]],
     0
)</f>
        <v>3266.73</v>
      </c>
      <c r="O52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18908.919999999845</v>
      </c>
      <c r="P52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v>
      </c>
      <c r="Q52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527" s="41">
        <f>ROW()</f>
        <v>527</v>
      </c>
      <c r="S5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-3109.8472521056665</v>
      </c>
      <c r="T5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46647.708781584995</v>
      </c>
      <c r="U52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320</v>
      </c>
      <c r="V527" s="111">
        <f>IF(INDEX(TransTypes[],Transactions[[#This Row],[TTR]],TT_COL_GLFlag)=1,Transactions[[#This Row],[CalCashImpact]]+Transactions[[#This Row],[CostImpact]],0)</f>
        <v>156.88274789433353</v>
      </c>
      <c r="W527" s="112">
        <f>Transactions[[#This Row],[Amount]]*INDEX(TransTypes[],Transactions[[#This Row],[TTR]],TT_COL_AmntSign)</f>
        <v>3266.73</v>
      </c>
      <c r="X527" s="112">
        <f>IF(INDEX(TransTypes[],Transactions[[#This Row],[TTR]],TT_COL_LONGORSHORT)="S",
      IF( OR(INDEX(TransTypes[],Transactions[[#This Row],[TTR]],TT_COL_GLFlag)=1, INDEX(TransTypes[], Transactions[[#This Row],[TTR]], TT_COL_ShareTransferFlag)=1),
            Transactions[[#This Row],[CostImpact]]*-1,
            Transactions[[#This Row],[CalCashImpact]]
      ),
     0
)</f>
        <v>0</v>
      </c>
      <c r="Y527" s="113" t="str">
        <f>VLOOKUP(Transactions[[#This Row],[Symbol]],Symbols[], COLUMN(Symbols[Currency])-COLUMN(Symbols[])+1,FALSE)</f>
        <v>USD</v>
      </c>
    </row>
    <row r="528" spans="1:25">
      <c r="A528" s="100" t="s">
        <v>77</v>
      </c>
      <c r="B528" s="101">
        <v>43136</v>
      </c>
      <c r="C528" s="100" t="s">
        <v>113</v>
      </c>
      <c r="D528" s="100"/>
      <c r="E528" s="100" t="s">
        <v>20</v>
      </c>
      <c r="F528" s="102">
        <v>50</v>
      </c>
      <c r="G528" s="103">
        <v>119.0142</v>
      </c>
      <c r="H528" s="102">
        <v>9.99</v>
      </c>
      <c r="I528" s="102"/>
      <c r="J528" s="104">
        <v>5960.7</v>
      </c>
      <c r="K528" s="6" t="s">
        <v>583</v>
      </c>
      <c r="L528" s="20">
        <f>IF(ISNA(MATCH(Transactions[[#This Row],[TransType]],TransTypes[TransType],0)),1,MATCH(Transactions[[#This Row],[TransType]],TransTypes[TransType],0))</f>
        <v>2</v>
      </c>
      <c r="M528" s="105">
        <f>IF( AND( INDEX(TransTypes[],Transactions[[#This Row],[TTR]],TT_COL_GLFlag)=1, INDEX(TransTypes[],Transactions[[#This Row],[TTR]],TT_COL_LONGORSHORT)="S" ),
      Transactions[[#This Row],[PL]],
      IF(INDEX(TransTypes[],Transactions[[#This Row],[TTR]],TT_COL_LONGORSHORT)="S",0,Transactions[[#This Row],[CalCashImpact]])
)</f>
        <v>-5960.7</v>
      </c>
      <c r="N528" s="106">
        <f>IF(VLOOKUP(Transactions[[#This Row],[Symbol]],Symbols[],COLUMN(Symbols[Currency])-COLUMN(Symbols[])+1,FALSE)=
       VLOOKUP(Transactions[[#This Row],[Account]],Accounts[],COLUMN(Accounts[Currency])-COLUMN(Accounts[])+1,FALSE),
     Transactions[[#This Row],[OrigCashImpact]],
     0
)</f>
        <v>-5960.7</v>
      </c>
      <c r="O52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12948.219999999845</v>
      </c>
      <c r="P52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v>
      </c>
      <c r="Q52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1044</v>
      </c>
      <c r="R528" s="41">
        <f>ROW()</f>
        <v>528</v>
      </c>
      <c r="S5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5960.7</v>
      </c>
      <c r="T5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129067.4160652553</v>
      </c>
      <c r="U52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1044</v>
      </c>
      <c r="V528" s="111">
        <f>IF(INDEX(TransTypes[],Transactions[[#This Row],[TTR]],TT_COL_GLFlag)=1,Transactions[[#This Row],[CalCashImpact]]+Transactions[[#This Row],[CostImpact]],0)</f>
        <v>0</v>
      </c>
      <c r="W528" s="112">
        <f>Transactions[[#This Row],[Amount]]*INDEX(TransTypes[],Transactions[[#This Row],[TTR]],TT_COL_AmntSign)</f>
        <v>-5960.7</v>
      </c>
      <c r="X528" s="112">
        <f>IF(INDEX(TransTypes[],Transactions[[#This Row],[TTR]],TT_COL_LONGORSHORT)="S",
      IF( OR(INDEX(TransTypes[],Transactions[[#This Row],[TTR]],TT_COL_GLFlag)=1, INDEX(TransTypes[], Transactions[[#This Row],[TTR]], TT_COL_ShareTransferFlag)=1),
            Transactions[[#This Row],[CostImpact]]*-1,
            Transactions[[#This Row],[CalCashImpact]]
      ),
     0
)</f>
        <v>0</v>
      </c>
      <c r="Y528" s="113" t="str">
        <f>VLOOKUP(Transactions[[#This Row],[Symbol]],Symbols[], COLUMN(Symbols[Currency])-COLUMN(Symbols[])+1,FALSE)</f>
        <v>USD</v>
      </c>
    </row>
    <row r="529" spans="1:25">
      <c r="A529" s="100" t="s">
        <v>77</v>
      </c>
      <c r="B529" s="101">
        <v>43136</v>
      </c>
      <c r="C529" s="100" t="s">
        <v>121</v>
      </c>
      <c r="D529" s="100"/>
      <c r="E529" s="100" t="s">
        <v>208</v>
      </c>
      <c r="F529" s="102"/>
      <c r="G529" s="103"/>
      <c r="H529" s="102"/>
      <c r="I529" s="102"/>
      <c r="J529" s="104">
        <v>0.28999999999999998</v>
      </c>
      <c r="K529" s="6" t="s">
        <v>530</v>
      </c>
      <c r="L529" s="20">
        <f>IF(ISNA(MATCH(Transactions[[#This Row],[TransType]],TransTypes[TransType],0)),1,MATCH(Transactions[[#This Row],[TransType]],TransTypes[TransType],0))</f>
        <v>6</v>
      </c>
      <c r="M529" s="105">
        <f>IF( AND( INDEX(TransTypes[],Transactions[[#This Row],[TTR]],TT_COL_GLFlag)=1, INDEX(TransTypes[],Transactions[[#This Row],[TTR]],TT_COL_LONGORSHORT)="S" ),
      Transactions[[#This Row],[PL]],
      IF(INDEX(TransTypes[],Transactions[[#This Row],[TTR]],TT_COL_LONGORSHORT)="S",0,Transactions[[#This Row],[CalCashImpact]])
)</f>
        <v>-0.28999999999999998</v>
      </c>
      <c r="N529" s="106">
        <f>IF(VLOOKUP(Transactions[[#This Row],[Symbol]],Symbols[],COLUMN(Symbols[Currency])-COLUMN(Symbols[])+1,FALSE)=
       VLOOKUP(Transactions[[#This Row],[Account]],Accounts[],COLUMN(Accounts[Currency])-COLUMN(Accounts[])+1,FALSE),
     Transactions[[#This Row],[OrigCashImpact]],
     0
)</f>
        <v>-0.28999999999999998</v>
      </c>
      <c r="O52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12947.929999999844</v>
      </c>
      <c r="P52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2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29" s="41">
        <f>ROW()</f>
        <v>529</v>
      </c>
      <c r="S5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2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29" s="111">
        <f>IF(INDEX(TransTypes[],Transactions[[#This Row],[TTR]],TT_COL_GLFlag)=1,Transactions[[#This Row],[CalCashImpact]]+Transactions[[#This Row],[CostImpact]],0)</f>
        <v>0</v>
      </c>
      <c r="W529" s="112">
        <f>Transactions[[#This Row],[Amount]]*INDEX(TransTypes[],Transactions[[#This Row],[TTR]],TT_COL_AmntSign)</f>
        <v>-0.28999999999999998</v>
      </c>
      <c r="X529" s="112">
        <f>IF(INDEX(TransTypes[],Transactions[[#This Row],[TTR]],TT_COL_LONGORSHORT)="S",
      IF( OR(INDEX(TransTypes[],Transactions[[#This Row],[TTR]],TT_COL_GLFlag)=1, INDEX(TransTypes[], Transactions[[#This Row],[TTR]], TT_COL_ShareTransferFlag)=1),
            Transactions[[#This Row],[CostImpact]]*-1,
            Transactions[[#This Row],[CalCashImpact]]
      ),
     0
)</f>
        <v>0</v>
      </c>
      <c r="Y529" s="113" t="str">
        <f>VLOOKUP(Transactions[[#This Row],[Symbol]],Symbols[], COLUMN(Symbols[Currency])-COLUMN(Symbols[])+1,FALSE)</f>
        <v>USD</v>
      </c>
    </row>
    <row r="530" spans="1:25">
      <c r="A530" s="100" t="s">
        <v>77</v>
      </c>
      <c r="B530" s="101">
        <v>43138</v>
      </c>
      <c r="C530" s="100" t="s">
        <v>118</v>
      </c>
      <c r="D530" s="100"/>
      <c r="E530" s="100" t="s">
        <v>505</v>
      </c>
      <c r="F530" s="102"/>
      <c r="G530" s="103"/>
      <c r="H530" s="102"/>
      <c r="I530" s="102"/>
      <c r="J530" s="104">
        <v>78.67</v>
      </c>
      <c r="K530" s="6" t="s">
        <v>565</v>
      </c>
      <c r="L530" s="20">
        <f>IF(ISNA(MATCH(Transactions[[#This Row],[TransType]],TransTypes[TransType],0)),1,MATCH(Transactions[[#This Row],[TransType]],TransTypes[TransType],0))</f>
        <v>4</v>
      </c>
      <c r="M530" s="105">
        <f>IF( AND( INDEX(TransTypes[],Transactions[[#This Row],[TTR]],TT_COL_GLFlag)=1, INDEX(TransTypes[],Transactions[[#This Row],[TTR]],TT_COL_LONGORSHORT)="S" ),
      Transactions[[#This Row],[PL]],
      IF(INDEX(TransTypes[],Transactions[[#This Row],[TTR]],TT_COL_LONGORSHORT)="S",0,Transactions[[#This Row],[CalCashImpact]])
)</f>
        <v>78.67</v>
      </c>
      <c r="N530" s="106">
        <f>IF(VLOOKUP(Transactions[[#This Row],[Symbol]],Symbols[],COLUMN(Symbols[Currency])-COLUMN(Symbols[])+1,FALSE)=
       VLOOKUP(Transactions[[#This Row],[Account]],Accounts[],COLUMN(Accounts[Currency])-COLUMN(Accounts[])+1,FALSE),
     Transactions[[#This Row],[OrigCashImpact]],
     0
)</f>
        <v>78.67</v>
      </c>
      <c r="O53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13026.599999999844</v>
      </c>
      <c r="P53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3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530" s="41">
        <f>ROW()</f>
        <v>530</v>
      </c>
      <c r="S5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53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530" s="111">
        <f>IF(INDEX(TransTypes[],Transactions[[#This Row],[TTR]],TT_COL_GLFlag)=1,Transactions[[#This Row],[CalCashImpact]]+Transactions[[#This Row],[CostImpact]],0)</f>
        <v>0</v>
      </c>
      <c r="W530" s="112">
        <f>Transactions[[#This Row],[Amount]]*INDEX(TransTypes[],Transactions[[#This Row],[TTR]],TT_COL_AmntSign)</f>
        <v>78.67</v>
      </c>
      <c r="X530" s="112">
        <f>IF(INDEX(TransTypes[],Transactions[[#This Row],[TTR]],TT_COL_LONGORSHORT)="S",
      IF( OR(INDEX(TransTypes[],Transactions[[#This Row],[TTR]],TT_COL_GLFlag)=1, INDEX(TransTypes[], Transactions[[#This Row],[TTR]], TT_COL_ShareTransferFlag)=1),
            Transactions[[#This Row],[CostImpact]]*-1,
            Transactions[[#This Row],[CalCashImpact]]
      ),
     0
)</f>
        <v>0</v>
      </c>
      <c r="Y530" s="113" t="str">
        <f>VLOOKUP(Transactions[[#This Row],[Symbol]],Symbols[], COLUMN(Symbols[Currency])-COLUMN(Symbols[])+1,FALSE)</f>
        <v>USD</v>
      </c>
    </row>
    <row r="531" spans="1:25">
      <c r="A531" s="100" t="s">
        <v>77</v>
      </c>
      <c r="B531" s="101">
        <v>43138</v>
      </c>
      <c r="C531" s="100" t="s">
        <v>118</v>
      </c>
      <c r="D531" s="100"/>
      <c r="E531" s="100" t="s">
        <v>20</v>
      </c>
      <c r="F531" s="102"/>
      <c r="G531" s="103"/>
      <c r="H531" s="102"/>
      <c r="I531" s="102"/>
      <c r="J531" s="104">
        <v>253.02</v>
      </c>
      <c r="K531" s="6" t="s">
        <v>528</v>
      </c>
      <c r="L531" s="20">
        <f>IF(ISNA(MATCH(Transactions[[#This Row],[TransType]],TransTypes[TransType],0)),1,MATCH(Transactions[[#This Row],[TransType]],TransTypes[TransType],0))</f>
        <v>4</v>
      </c>
      <c r="M531" s="105">
        <f>IF( AND( INDEX(TransTypes[],Transactions[[#This Row],[TTR]],TT_COL_GLFlag)=1, INDEX(TransTypes[],Transactions[[#This Row],[TTR]],TT_COL_LONGORSHORT)="S" ),
      Transactions[[#This Row],[PL]],
      IF(INDEX(TransTypes[],Transactions[[#This Row],[TTR]],TT_COL_LONGORSHORT)="S",0,Transactions[[#This Row],[CalCashImpact]])
)</f>
        <v>253.02</v>
      </c>
      <c r="N531" s="106">
        <f>IF(VLOOKUP(Transactions[[#This Row],[Symbol]],Symbols[],COLUMN(Symbols[Currency])-COLUMN(Symbols[])+1,FALSE)=
       VLOOKUP(Transactions[[#This Row],[Account]],Accounts[],COLUMN(Accounts[Currency])-COLUMN(Accounts[])+1,FALSE),
     Transactions[[#This Row],[OrigCashImpact]],
     0
)</f>
        <v>253.02</v>
      </c>
      <c r="O53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13279.619999999844</v>
      </c>
      <c r="P53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3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1044</v>
      </c>
      <c r="R531" s="41">
        <f>ROW()</f>
        <v>531</v>
      </c>
      <c r="S5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129067.4160652553</v>
      </c>
      <c r="U53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1044</v>
      </c>
      <c r="V531" s="111">
        <f>IF(INDEX(TransTypes[],Transactions[[#This Row],[TTR]],TT_COL_GLFlag)=1,Transactions[[#This Row],[CalCashImpact]]+Transactions[[#This Row],[CostImpact]],0)</f>
        <v>0</v>
      </c>
      <c r="W531" s="112">
        <f>Transactions[[#This Row],[Amount]]*INDEX(TransTypes[],Transactions[[#This Row],[TTR]],TT_COL_AmntSign)</f>
        <v>253.02</v>
      </c>
      <c r="X531" s="112">
        <f>IF(INDEX(TransTypes[],Transactions[[#This Row],[TTR]],TT_COL_LONGORSHORT)="S",
      IF( OR(INDEX(TransTypes[],Transactions[[#This Row],[TTR]],TT_COL_GLFlag)=1, INDEX(TransTypes[], Transactions[[#This Row],[TTR]], TT_COL_ShareTransferFlag)=1),
            Transactions[[#This Row],[CostImpact]]*-1,
            Transactions[[#This Row],[CalCashImpact]]
      ),
     0
)</f>
        <v>0</v>
      </c>
      <c r="Y531" s="113" t="str">
        <f>VLOOKUP(Transactions[[#This Row],[Symbol]],Symbols[], COLUMN(Symbols[Currency])-COLUMN(Symbols[])+1,FALSE)</f>
        <v>USD</v>
      </c>
    </row>
    <row r="532" spans="1:25">
      <c r="A532" s="100" t="s">
        <v>77</v>
      </c>
      <c r="B532" s="101">
        <v>43138</v>
      </c>
      <c r="C532" s="100" t="s">
        <v>123</v>
      </c>
      <c r="D532" s="100"/>
      <c r="E532" s="100" t="s">
        <v>505</v>
      </c>
      <c r="F532" s="102"/>
      <c r="G532" s="103"/>
      <c r="H532" s="102"/>
      <c r="I532" s="102"/>
      <c r="J532" s="104">
        <v>11.8</v>
      </c>
      <c r="K532" s="6" t="s">
        <v>566</v>
      </c>
      <c r="L532" s="20">
        <f>IF(ISNA(MATCH(Transactions[[#This Row],[TransType]],TransTypes[TransType],0)),1,MATCH(Transactions[[#This Row],[TransType]],TransTypes[TransType],0))</f>
        <v>7</v>
      </c>
      <c r="M532" s="105">
        <f>IF( AND( INDEX(TransTypes[],Transactions[[#This Row],[TTR]],TT_COL_GLFlag)=1, INDEX(TransTypes[],Transactions[[#This Row],[TTR]],TT_COL_LONGORSHORT)="S" ),
      Transactions[[#This Row],[PL]],
      IF(INDEX(TransTypes[],Transactions[[#This Row],[TTR]],TT_COL_LONGORSHORT)="S",0,Transactions[[#This Row],[CalCashImpact]])
)</f>
        <v>-11.8</v>
      </c>
      <c r="N532" s="106">
        <f>IF(VLOOKUP(Transactions[[#This Row],[Symbol]],Symbols[],COLUMN(Symbols[Currency])-COLUMN(Symbols[])+1,FALSE)=
       VLOOKUP(Transactions[[#This Row],[Account]],Accounts[],COLUMN(Accounts[Currency])-COLUMN(Accounts[])+1,FALSE),
     Transactions[[#This Row],[OrigCashImpact]],
     0
)</f>
        <v>-11.8</v>
      </c>
      <c r="O53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13267.819999999843</v>
      </c>
      <c r="P53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3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532" s="41">
        <f>ROW()</f>
        <v>532</v>
      </c>
      <c r="S5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53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532" s="111">
        <f>IF(INDEX(TransTypes[],Transactions[[#This Row],[TTR]],TT_COL_GLFlag)=1,Transactions[[#This Row],[CalCashImpact]]+Transactions[[#This Row],[CostImpact]],0)</f>
        <v>0</v>
      </c>
      <c r="W532" s="112">
        <f>Transactions[[#This Row],[Amount]]*INDEX(TransTypes[],Transactions[[#This Row],[TTR]],TT_COL_AmntSign)</f>
        <v>-11.8</v>
      </c>
      <c r="X532" s="112">
        <f>IF(INDEX(TransTypes[],Transactions[[#This Row],[TTR]],TT_COL_LONGORSHORT)="S",
      IF( OR(INDEX(TransTypes[],Transactions[[#This Row],[TTR]],TT_COL_GLFlag)=1, INDEX(TransTypes[], Transactions[[#This Row],[TTR]], TT_COL_ShareTransferFlag)=1),
            Transactions[[#This Row],[CostImpact]]*-1,
            Transactions[[#This Row],[CalCashImpact]]
      ),
     0
)</f>
        <v>0</v>
      </c>
      <c r="Y532" s="113" t="str">
        <f>VLOOKUP(Transactions[[#This Row],[Symbol]],Symbols[], COLUMN(Symbols[Currency])-COLUMN(Symbols[])+1,FALSE)</f>
        <v>USD</v>
      </c>
    </row>
    <row r="533" spans="1:25">
      <c r="A533" s="100" t="s">
        <v>77</v>
      </c>
      <c r="B533" s="101">
        <v>43138</v>
      </c>
      <c r="C533" s="100" t="s">
        <v>123</v>
      </c>
      <c r="D533" s="100"/>
      <c r="E533" s="100" t="s">
        <v>20</v>
      </c>
      <c r="F533" s="102"/>
      <c r="G533" s="103"/>
      <c r="H533" s="102"/>
      <c r="I533" s="102"/>
      <c r="J533" s="104">
        <v>37.950000000000003</v>
      </c>
      <c r="K533" s="6" t="s">
        <v>529</v>
      </c>
      <c r="L533" s="20">
        <f>IF(ISNA(MATCH(Transactions[[#This Row],[TransType]],TransTypes[TransType],0)),1,MATCH(Transactions[[#This Row],[TransType]],TransTypes[TransType],0))</f>
        <v>7</v>
      </c>
      <c r="M533" s="105">
        <f>IF( AND( INDEX(TransTypes[],Transactions[[#This Row],[TTR]],TT_COL_GLFlag)=1, INDEX(TransTypes[],Transactions[[#This Row],[TTR]],TT_COL_LONGORSHORT)="S" ),
      Transactions[[#This Row],[PL]],
      IF(INDEX(TransTypes[],Transactions[[#This Row],[TTR]],TT_COL_LONGORSHORT)="S",0,Transactions[[#This Row],[CalCashImpact]])
)</f>
        <v>-37.950000000000003</v>
      </c>
      <c r="N533" s="106">
        <f>IF(VLOOKUP(Transactions[[#This Row],[Symbol]],Symbols[],COLUMN(Symbols[Currency])-COLUMN(Symbols[])+1,FALSE)=
       VLOOKUP(Transactions[[#This Row],[Account]],Accounts[],COLUMN(Accounts[Currency])-COLUMN(Accounts[])+1,FALSE),
     Transactions[[#This Row],[OrigCashImpact]],
     0
)</f>
        <v>-37.950000000000003</v>
      </c>
      <c r="O53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13229.869999999844</v>
      </c>
      <c r="P53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3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1044</v>
      </c>
      <c r="R533" s="41">
        <f>ROW()</f>
        <v>533</v>
      </c>
      <c r="S5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129067.4160652553</v>
      </c>
      <c r="U53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1044</v>
      </c>
      <c r="V533" s="111">
        <f>IF(INDEX(TransTypes[],Transactions[[#This Row],[TTR]],TT_COL_GLFlag)=1,Transactions[[#This Row],[CalCashImpact]]+Transactions[[#This Row],[CostImpact]],0)</f>
        <v>0</v>
      </c>
      <c r="W533" s="112">
        <f>Transactions[[#This Row],[Amount]]*INDEX(TransTypes[],Transactions[[#This Row],[TTR]],TT_COL_AmntSign)</f>
        <v>-37.950000000000003</v>
      </c>
      <c r="X533" s="112">
        <f>IF(INDEX(TransTypes[],Transactions[[#This Row],[TTR]],TT_COL_LONGORSHORT)="S",
      IF( OR(INDEX(TransTypes[],Transactions[[#This Row],[TTR]],TT_COL_GLFlag)=1, INDEX(TransTypes[], Transactions[[#This Row],[TTR]], TT_COL_ShareTransferFlag)=1),
            Transactions[[#This Row],[CostImpact]]*-1,
            Transactions[[#This Row],[CalCashImpact]]
      ),
     0
)</f>
        <v>0</v>
      </c>
      <c r="Y533" s="113" t="str">
        <f>VLOOKUP(Transactions[[#This Row],[Symbol]],Symbols[], COLUMN(Symbols[Currency])-COLUMN(Symbols[])+1,FALSE)</f>
        <v>USD</v>
      </c>
    </row>
    <row r="534" spans="1:25">
      <c r="A534" s="100" t="s">
        <v>77</v>
      </c>
      <c r="B534" s="101">
        <v>43139</v>
      </c>
      <c r="C534" s="100" t="s">
        <v>113</v>
      </c>
      <c r="D534" s="100" t="s">
        <v>531</v>
      </c>
      <c r="E534" s="100" t="s">
        <v>20</v>
      </c>
      <c r="F534" s="102">
        <v>1</v>
      </c>
      <c r="G534" s="103">
        <v>120.13</v>
      </c>
      <c r="H534" s="102"/>
      <c r="I534" s="102"/>
      <c r="J534" s="104">
        <v>120.13</v>
      </c>
      <c r="K534" s="6" t="s">
        <v>532</v>
      </c>
      <c r="L534" s="20">
        <f>IF(ISNA(MATCH(Transactions[[#This Row],[TransType]],TransTypes[TransType],0)),1,MATCH(Transactions[[#This Row],[TransType]],TransTypes[TransType],0))</f>
        <v>2</v>
      </c>
      <c r="M534" s="105">
        <f>IF( AND( INDEX(TransTypes[],Transactions[[#This Row],[TTR]],TT_COL_GLFlag)=1, INDEX(TransTypes[],Transactions[[#This Row],[TTR]],TT_COL_LONGORSHORT)="S" ),
      Transactions[[#This Row],[PL]],
      IF(INDEX(TransTypes[],Transactions[[#This Row],[TTR]],TT_COL_LONGORSHORT)="S",0,Transactions[[#This Row],[CalCashImpact]])
)</f>
        <v>-120.13</v>
      </c>
      <c r="N534" s="106">
        <f>IF(VLOOKUP(Transactions[[#This Row],[Symbol]],Symbols[],COLUMN(Symbols[Currency])-COLUMN(Symbols[])+1,FALSE)=
       VLOOKUP(Transactions[[#This Row],[Account]],Accounts[],COLUMN(Accounts[Currency])-COLUMN(Accounts[])+1,FALSE),
     Transactions[[#This Row],[OrigCashImpact]],
     0
)</f>
        <v>-120.13</v>
      </c>
      <c r="O53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13109.739999999845</v>
      </c>
      <c r="P53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v>
      </c>
      <c r="Q53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1045</v>
      </c>
      <c r="R534" s="41">
        <f>ROW()</f>
        <v>534</v>
      </c>
      <c r="S5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120.13</v>
      </c>
      <c r="T5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129187.5460652553</v>
      </c>
      <c r="U53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1045</v>
      </c>
      <c r="V534" s="111">
        <f>IF(INDEX(TransTypes[],Transactions[[#This Row],[TTR]],TT_COL_GLFlag)=1,Transactions[[#This Row],[CalCashImpact]]+Transactions[[#This Row],[CostImpact]],0)</f>
        <v>0</v>
      </c>
      <c r="W534" s="112">
        <f>Transactions[[#This Row],[Amount]]*INDEX(TransTypes[],Transactions[[#This Row],[TTR]],TT_COL_AmntSign)</f>
        <v>-120.13</v>
      </c>
      <c r="X534" s="112">
        <f>IF(INDEX(TransTypes[],Transactions[[#This Row],[TTR]],TT_COL_LONGORSHORT)="S",
      IF( OR(INDEX(TransTypes[],Transactions[[#This Row],[TTR]],TT_COL_GLFlag)=1, INDEX(TransTypes[], Transactions[[#This Row],[TTR]], TT_COL_ShareTransferFlag)=1),
            Transactions[[#This Row],[CostImpact]]*-1,
            Transactions[[#This Row],[CalCashImpact]]
      ),
     0
)</f>
        <v>0</v>
      </c>
      <c r="Y534" s="113" t="str">
        <f>VLOOKUP(Transactions[[#This Row],[Symbol]],Symbols[], COLUMN(Symbols[Currency])-COLUMN(Symbols[])+1,FALSE)</f>
        <v>USD</v>
      </c>
    </row>
    <row r="535" spans="1:25">
      <c r="A535" s="100" t="s">
        <v>77</v>
      </c>
      <c r="B535" s="101">
        <v>43139</v>
      </c>
      <c r="C535" s="100" t="s">
        <v>115</v>
      </c>
      <c r="D535" s="100"/>
      <c r="E535" s="100" t="s">
        <v>508</v>
      </c>
      <c r="F535" s="102">
        <v>200</v>
      </c>
      <c r="G535" s="103">
        <v>158.13</v>
      </c>
      <c r="H535" s="102">
        <v>9.99</v>
      </c>
      <c r="I535" s="102"/>
      <c r="J535" s="104">
        <v>31616.01</v>
      </c>
      <c r="K535" s="6" t="s">
        <v>584</v>
      </c>
      <c r="L535" s="20">
        <f>IF(ISNA(MATCH(Transactions[[#This Row],[TransType]],TransTypes[TransType],0)),1,MATCH(Transactions[[#This Row],[TransType]],TransTypes[TransType],0))</f>
        <v>3</v>
      </c>
      <c r="M535" s="105">
        <f>IF( AND( INDEX(TransTypes[],Transactions[[#This Row],[TTR]],TT_COL_GLFlag)=1, INDEX(TransTypes[],Transactions[[#This Row],[TTR]],TT_COL_LONGORSHORT)="S" ),
      Transactions[[#This Row],[PL]],
      IF(INDEX(TransTypes[],Transactions[[#This Row],[TTR]],TT_COL_LONGORSHORT)="S",0,Transactions[[#This Row],[CalCashImpact]])
)</f>
        <v>31616.01</v>
      </c>
      <c r="N535" s="106">
        <f>IF(VLOOKUP(Transactions[[#This Row],[Symbol]],Symbols[],COLUMN(Symbols[Currency])-COLUMN(Symbols[])+1,FALSE)=
       VLOOKUP(Transactions[[#This Row],[Account]],Accounts[],COLUMN(Accounts[Currency])-COLUMN(Accounts[])+1,FALSE),
     Transactions[[#This Row],[OrigCashImpact]],
     0
)</f>
        <v>31616.01</v>
      </c>
      <c r="O53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44725.74999999984</v>
      </c>
      <c r="P53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53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v>
      </c>
      <c r="R535" s="41">
        <f>ROW()</f>
        <v>535</v>
      </c>
      <c r="S5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-31098.472521056665</v>
      </c>
      <c r="T5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15549.236260528331</v>
      </c>
      <c r="U53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535" s="111">
        <f>IF(INDEX(TransTypes[],Transactions[[#This Row],[TTR]],TT_COL_GLFlag)=1,Transactions[[#This Row],[CalCashImpact]]+Transactions[[#This Row],[CostImpact]],0)</f>
        <v>517.53747894333355</v>
      </c>
      <c r="W535" s="112">
        <f>Transactions[[#This Row],[Amount]]*INDEX(TransTypes[],Transactions[[#This Row],[TTR]],TT_COL_AmntSign)</f>
        <v>31616.01</v>
      </c>
      <c r="X535" s="112">
        <f>IF(INDEX(TransTypes[],Transactions[[#This Row],[TTR]],TT_COL_LONGORSHORT)="S",
      IF( OR(INDEX(TransTypes[],Transactions[[#This Row],[TTR]],TT_COL_GLFlag)=1, INDEX(TransTypes[], Transactions[[#This Row],[TTR]], TT_COL_ShareTransferFlag)=1),
            Transactions[[#This Row],[CostImpact]]*-1,
            Transactions[[#This Row],[CalCashImpact]]
      ),
     0
)</f>
        <v>0</v>
      </c>
      <c r="Y535" s="113" t="str">
        <f>VLOOKUP(Transactions[[#This Row],[Symbol]],Symbols[], COLUMN(Symbols[Currency])-COLUMN(Symbols[])+1,FALSE)</f>
        <v>USD</v>
      </c>
    </row>
    <row r="536" spans="1:25">
      <c r="A536" s="100" t="s">
        <v>77</v>
      </c>
      <c r="B536" s="101">
        <v>43139</v>
      </c>
      <c r="C536" s="100" t="s">
        <v>115</v>
      </c>
      <c r="D536" s="100"/>
      <c r="E536" s="100" t="s">
        <v>503</v>
      </c>
      <c r="F536" s="102">
        <v>649</v>
      </c>
      <c r="G536" s="103">
        <v>31.109044684129401</v>
      </c>
      <c r="H536" s="102">
        <v>9.99</v>
      </c>
      <c r="I536" s="102"/>
      <c r="J536" s="104">
        <v>20179.78</v>
      </c>
      <c r="K536" s="6" t="s">
        <v>585</v>
      </c>
      <c r="L536" s="20">
        <f>IF(ISNA(MATCH(Transactions[[#This Row],[TransType]],TransTypes[TransType],0)),1,MATCH(Transactions[[#This Row],[TransType]],TransTypes[TransType],0))</f>
        <v>3</v>
      </c>
      <c r="M536" s="105">
        <f>IF( AND( INDEX(TransTypes[],Transactions[[#This Row],[TTR]],TT_COL_GLFlag)=1, INDEX(TransTypes[],Transactions[[#This Row],[TTR]],TT_COL_LONGORSHORT)="S" ),
      Transactions[[#This Row],[PL]],
      IF(INDEX(TransTypes[],Transactions[[#This Row],[TTR]],TT_COL_LONGORSHORT)="S",0,Transactions[[#This Row],[CalCashImpact]])
)</f>
        <v>20179.78</v>
      </c>
      <c r="N536" s="106">
        <f>IF(VLOOKUP(Transactions[[#This Row],[Symbol]],Symbols[],COLUMN(Symbols[Currency])-COLUMN(Symbols[])+1,FALSE)=
       VLOOKUP(Transactions[[#This Row],[Account]],Accounts[],COLUMN(Accounts[Currency])-COLUMN(Accounts[])+1,FALSE),
     Transactions[[#This Row],[OrigCashImpact]],
     0
)</f>
        <v>20179.78</v>
      </c>
      <c r="O53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64905.529999999839</v>
      </c>
      <c r="P53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-649</v>
      </c>
      <c r="Q53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536" s="41">
        <f>ROW()</f>
        <v>536</v>
      </c>
      <c r="S5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-19801.871600970288</v>
      </c>
      <c r="T5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30511.358399029716</v>
      </c>
      <c r="U53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1649</v>
      </c>
      <c r="V536" s="111">
        <f>IF(INDEX(TransTypes[],Transactions[[#This Row],[TTR]],TT_COL_GLFlag)=1,Transactions[[#This Row],[CalCashImpact]]+Transactions[[#This Row],[CostImpact]],0)</f>
        <v>377.90839902971129</v>
      </c>
      <c r="W536" s="112">
        <f>Transactions[[#This Row],[Amount]]*INDEX(TransTypes[],Transactions[[#This Row],[TTR]],TT_COL_AmntSign)</f>
        <v>20179.78</v>
      </c>
      <c r="X536" s="112">
        <f>IF(INDEX(TransTypes[],Transactions[[#This Row],[TTR]],TT_COL_LONGORSHORT)="S",
      IF( OR(INDEX(TransTypes[],Transactions[[#This Row],[TTR]],TT_COL_GLFlag)=1, INDEX(TransTypes[], Transactions[[#This Row],[TTR]], TT_COL_ShareTransferFlag)=1),
            Transactions[[#This Row],[CostImpact]]*-1,
            Transactions[[#This Row],[CalCashImpact]]
      ),
     0
)</f>
        <v>0</v>
      </c>
      <c r="Y536" s="113" t="str">
        <f>VLOOKUP(Transactions[[#This Row],[Symbol]],Symbols[], COLUMN(Symbols[Currency])-COLUMN(Symbols[])+1,FALSE)</f>
        <v>USD</v>
      </c>
    </row>
    <row r="537" spans="1:25">
      <c r="A537" s="100" t="s">
        <v>77</v>
      </c>
      <c r="B537" s="101">
        <v>43139</v>
      </c>
      <c r="C537" s="100" t="s">
        <v>113</v>
      </c>
      <c r="D537" s="100"/>
      <c r="E537" s="100" t="s">
        <v>20</v>
      </c>
      <c r="F537" s="102">
        <v>200</v>
      </c>
      <c r="G537" s="103">
        <v>118.125</v>
      </c>
      <c r="H537" s="102">
        <v>9.99</v>
      </c>
      <c r="I537" s="102"/>
      <c r="J537" s="104">
        <v>23634.99</v>
      </c>
      <c r="K537" s="6" t="s">
        <v>586</v>
      </c>
      <c r="L537" s="20">
        <f>IF(ISNA(MATCH(Transactions[[#This Row],[TransType]],TransTypes[TransType],0)),1,MATCH(Transactions[[#This Row],[TransType]],TransTypes[TransType],0))</f>
        <v>2</v>
      </c>
      <c r="M537" s="105">
        <f>IF( AND( INDEX(TransTypes[],Transactions[[#This Row],[TTR]],TT_COL_GLFlag)=1, INDEX(TransTypes[],Transactions[[#This Row],[TTR]],TT_COL_LONGORSHORT)="S" ),
      Transactions[[#This Row],[PL]],
      IF(INDEX(TransTypes[],Transactions[[#This Row],[TTR]],TT_COL_LONGORSHORT)="S",0,Transactions[[#This Row],[CalCashImpact]])
)</f>
        <v>-23634.99</v>
      </c>
      <c r="N537" s="106">
        <f>IF(VLOOKUP(Transactions[[#This Row],[Symbol]],Symbols[],COLUMN(Symbols[Currency])-COLUMN(Symbols[])+1,FALSE)=
       VLOOKUP(Transactions[[#This Row],[Account]],Accounts[],COLUMN(Accounts[Currency])-COLUMN(Accounts[])+1,FALSE),
     Transactions[[#This Row],[OrigCashImpact]],
     0
)</f>
        <v>-23634.99</v>
      </c>
      <c r="O53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41270.539999999841</v>
      </c>
      <c r="P53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53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1245</v>
      </c>
      <c r="R537" s="41">
        <f>ROW()</f>
        <v>537</v>
      </c>
      <c r="S5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23634.99</v>
      </c>
      <c r="T5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152822.53606525529</v>
      </c>
      <c r="U53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1245</v>
      </c>
      <c r="V537" s="111">
        <f>IF(INDEX(TransTypes[],Transactions[[#This Row],[TTR]],TT_COL_GLFlag)=1,Transactions[[#This Row],[CalCashImpact]]+Transactions[[#This Row],[CostImpact]],0)</f>
        <v>0</v>
      </c>
      <c r="W537" s="112">
        <f>Transactions[[#This Row],[Amount]]*INDEX(TransTypes[],Transactions[[#This Row],[TTR]],TT_COL_AmntSign)</f>
        <v>-23634.99</v>
      </c>
      <c r="X537" s="112">
        <f>IF(INDEX(TransTypes[],Transactions[[#This Row],[TTR]],TT_COL_LONGORSHORT)="S",
      IF( OR(INDEX(TransTypes[],Transactions[[#This Row],[TTR]],TT_COL_GLFlag)=1, INDEX(TransTypes[], Transactions[[#This Row],[TTR]], TT_COL_ShareTransferFlag)=1),
            Transactions[[#This Row],[CostImpact]]*-1,
            Transactions[[#This Row],[CalCashImpact]]
      ),
     0
)</f>
        <v>0</v>
      </c>
      <c r="Y537" s="113" t="str">
        <f>VLOOKUP(Transactions[[#This Row],[Symbol]],Symbols[], COLUMN(Symbols[Currency])-COLUMN(Symbols[])+1,FALSE)</f>
        <v>USD</v>
      </c>
    </row>
    <row r="538" spans="1:25">
      <c r="A538" s="100" t="s">
        <v>77</v>
      </c>
      <c r="B538" s="101">
        <v>43139</v>
      </c>
      <c r="C538" s="100" t="s">
        <v>113</v>
      </c>
      <c r="D538" s="100"/>
      <c r="E538" s="100" t="s">
        <v>27</v>
      </c>
      <c r="F538" s="102">
        <v>100</v>
      </c>
      <c r="G538" s="103">
        <v>124.69499999999999</v>
      </c>
      <c r="H538" s="102">
        <v>9.99</v>
      </c>
      <c r="I538" s="102"/>
      <c r="J538" s="104">
        <v>12479.49</v>
      </c>
      <c r="K538" s="6" t="s">
        <v>587</v>
      </c>
      <c r="L538" s="20">
        <f>IF(ISNA(MATCH(Transactions[[#This Row],[TransType]],TransTypes[TransType],0)),1,MATCH(Transactions[[#This Row],[TransType]],TransTypes[TransType],0))</f>
        <v>2</v>
      </c>
      <c r="M538" s="105">
        <f>IF( AND( INDEX(TransTypes[],Transactions[[#This Row],[TTR]],TT_COL_GLFlag)=1, INDEX(TransTypes[],Transactions[[#This Row],[TTR]],TT_COL_LONGORSHORT)="S" ),
      Transactions[[#This Row],[PL]],
      IF(INDEX(TransTypes[],Transactions[[#This Row],[TTR]],TT_COL_LONGORSHORT)="S",0,Transactions[[#This Row],[CalCashImpact]])
)</f>
        <v>-12479.49</v>
      </c>
      <c r="N538" s="106">
        <f>IF(VLOOKUP(Transactions[[#This Row],[Symbol]],Symbols[],COLUMN(Symbols[Currency])-COLUMN(Symbols[])+1,FALSE)=
       VLOOKUP(Transactions[[#This Row],[Account]],Accounts[],COLUMN(Accounts[Currency])-COLUMN(Accounts[])+1,FALSE),
     Transactions[[#This Row],[OrigCashImpact]],
     0
)</f>
        <v>-12479.49</v>
      </c>
      <c r="O53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28791.049999999839</v>
      </c>
      <c r="P53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53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305</v>
      </c>
      <c r="R538" s="41">
        <f>ROW()</f>
        <v>538</v>
      </c>
      <c r="S5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12479.49</v>
      </c>
      <c r="T5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37496.761224489797</v>
      </c>
      <c r="U53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305</v>
      </c>
      <c r="V538" s="111">
        <f>IF(INDEX(TransTypes[],Transactions[[#This Row],[TTR]],TT_COL_GLFlag)=1,Transactions[[#This Row],[CalCashImpact]]+Transactions[[#This Row],[CostImpact]],0)</f>
        <v>0</v>
      </c>
      <c r="W538" s="112">
        <f>Transactions[[#This Row],[Amount]]*INDEX(TransTypes[],Transactions[[#This Row],[TTR]],TT_COL_AmntSign)</f>
        <v>-12479.49</v>
      </c>
      <c r="X538" s="112">
        <f>IF(INDEX(TransTypes[],Transactions[[#This Row],[TTR]],TT_COL_LONGORSHORT)="S",
      IF( OR(INDEX(TransTypes[],Transactions[[#This Row],[TTR]],TT_COL_GLFlag)=1, INDEX(TransTypes[], Transactions[[#This Row],[TTR]], TT_COL_ShareTransferFlag)=1),
            Transactions[[#This Row],[CostImpact]]*-1,
            Transactions[[#This Row],[CalCashImpact]]
      ),
     0
)</f>
        <v>0</v>
      </c>
      <c r="Y538" s="113" t="str">
        <f>VLOOKUP(Transactions[[#This Row],[Symbol]],Symbols[], COLUMN(Symbols[Currency])-COLUMN(Symbols[])+1,FALSE)</f>
        <v>USD</v>
      </c>
    </row>
    <row r="539" spans="1:25">
      <c r="A539" s="100" t="s">
        <v>77</v>
      </c>
      <c r="B539" s="101">
        <v>43139</v>
      </c>
      <c r="C539" s="100" t="s">
        <v>113</v>
      </c>
      <c r="D539" s="100"/>
      <c r="E539" s="100" t="s">
        <v>513</v>
      </c>
      <c r="F539" s="102">
        <v>500</v>
      </c>
      <c r="G539" s="103">
        <v>16.526800000000001</v>
      </c>
      <c r="H539" s="102">
        <v>9.99</v>
      </c>
      <c r="I539" s="102"/>
      <c r="J539" s="104">
        <v>8273.39</v>
      </c>
      <c r="K539" s="6" t="s">
        <v>588</v>
      </c>
      <c r="L539" s="20">
        <f>IF(ISNA(MATCH(Transactions[[#This Row],[TransType]],TransTypes[TransType],0)),1,MATCH(Transactions[[#This Row],[TransType]],TransTypes[TransType],0))</f>
        <v>2</v>
      </c>
      <c r="M539" s="105">
        <f>IF( AND( INDEX(TransTypes[],Transactions[[#This Row],[TTR]],TT_COL_GLFlag)=1, INDEX(TransTypes[],Transactions[[#This Row],[TTR]],TT_COL_LONGORSHORT)="S" ),
      Transactions[[#This Row],[PL]],
      IF(INDEX(TransTypes[],Transactions[[#This Row],[TTR]],TT_COL_LONGORSHORT)="S",0,Transactions[[#This Row],[CalCashImpact]])
)</f>
        <v>-8273.39</v>
      </c>
      <c r="N539" s="106">
        <f>IF(VLOOKUP(Transactions[[#This Row],[Symbol]],Symbols[],COLUMN(Symbols[Currency])-COLUMN(Symbols[])+1,FALSE)=
       VLOOKUP(Transactions[[#This Row],[Account]],Accounts[],COLUMN(Accounts[Currency])-COLUMN(Accounts[])+1,FALSE),
     Transactions[[#This Row],[OrigCashImpact]],
     0
)</f>
        <v>-8273.39</v>
      </c>
      <c r="O53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20517.65999999984</v>
      </c>
      <c r="P53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53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1927</v>
      </c>
      <c r="R539" s="41">
        <f>ROW()</f>
        <v>539</v>
      </c>
      <c r="S5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8273.39</v>
      </c>
      <c r="T5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31733.387480790341</v>
      </c>
      <c r="U53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1927</v>
      </c>
      <c r="V539" s="111">
        <f>IF(INDEX(TransTypes[],Transactions[[#This Row],[TTR]],TT_COL_GLFlag)=1,Transactions[[#This Row],[CalCashImpact]]+Transactions[[#This Row],[CostImpact]],0)</f>
        <v>0</v>
      </c>
      <c r="W539" s="112">
        <f>Transactions[[#This Row],[Amount]]*INDEX(TransTypes[],Transactions[[#This Row],[TTR]],TT_COL_AmntSign)</f>
        <v>-8273.39</v>
      </c>
      <c r="X539" s="112">
        <f>IF(INDEX(TransTypes[],Transactions[[#This Row],[TTR]],TT_COL_LONGORSHORT)="S",
      IF( OR(INDEX(TransTypes[],Transactions[[#This Row],[TTR]],TT_COL_GLFlag)=1, INDEX(TransTypes[], Transactions[[#This Row],[TTR]], TT_COL_ShareTransferFlag)=1),
            Transactions[[#This Row],[CostImpact]]*-1,
            Transactions[[#This Row],[CalCashImpact]]
      ),
     0
)</f>
        <v>0</v>
      </c>
      <c r="Y539" s="113" t="str">
        <f>VLOOKUP(Transactions[[#This Row],[Symbol]],Symbols[], COLUMN(Symbols[Currency])-COLUMN(Symbols[])+1,FALSE)</f>
        <v>USD</v>
      </c>
    </row>
    <row r="540" spans="1:25">
      <c r="A540" s="100" t="s">
        <v>77</v>
      </c>
      <c r="B540" s="101">
        <v>43139</v>
      </c>
      <c r="C540" s="100" t="s">
        <v>113</v>
      </c>
      <c r="D540" s="100"/>
      <c r="E540" s="100" t="s">
        <v>502</v>
      </c>
      <c r="F540" s="102">
        <v>4</v>
      </c>
      <c r="G540" s="103">
        <v>3.49</v>
      </c>
      <c r="H540" s="102">
        <v>14.99</v>
      </c>
      <c r="I540" s="102"/>
      <c r="J540" s="104">
        <v>1410.99</v>
      </c>
      <c r="K540" s="6" t="s">
        <v>589</v>
      </c>
      <c r="L540" s="20">
        <f>IF(ISNA(MATCH(Transactions[[#This Row],[TransType]],TransTypes[TransType],0)),1,MATCH(Transactions[[#This Row],[TransType]],TransTypes[TransType],0))</f>
        <v>2</v>
      </c>
      <c r="M540" s="105">
        <f>IF( AND( INDEX(TransTypes[],Transactions[[#This Row],[TTR]],TT_COL_GLFlag)=1, INDEX(TransTypes[],Transactions[[#This Row],[TTR]],TT_COL_LONGORSHORT)="S" ),
      Transactions[[#This Row],[PL]],
      IF(INDEX(TransTypes[],Transactions[[#This Row],[TTR]],TT_COL_LONGORSHORT)="S",0,Transactions[[#This Row],[CalCashImpact]])
)</f>
        <v>-1410.99</v>
      </c>
      <c r="N540" s="106">
        <f>IF(VLOOKUP(Transactions[[#This Row],[Symbol]],Symbols[],COLUMN(Symbols[Currency])-COLUMN(Symbols[])+1,FALSE)=
       VLOOKUP(Transactions[[#This Row],[Account]],Accounts[],COLUMN(Accounts[Currency])-COLUMN(Accounts[])+1,FALSE),
     Transactions[[#This Row],[OrigCashImpact]],
     0
)</f>
        <v>-1410.99</v>
      </c>
      <c r="O54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19106.669999999838</v>
      </c>
      <c r="P54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54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v>
      </c>
      <c r="R540" s="41">
        <f>ROW()</f>
        <v>540</v>
      </c>
      <c r="S5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1410.99</v>
      </c>
      <c r="T5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1410.99</v>
      </c>
      <c r="U54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540" s="111">
        <f>IF(INDEX(TransTypes[],Transactions[[#This Row],[TTR]],TT_COL_GLFlag)=1,Transactions[[#This Row],[CalCashImpact]]+Transactions[[#This Row],[CostImpact]],0)</f>
        <v>0</v>
      </c>
      <c r="W540" s="112">
        <f>Transactions[[#This Row],[Amount]]*INDEX(TransTypes[],Transactions[[#This Row],[TTR]],TT_COL_AmntSign)</f>
        <v>-1410.99</v>
      </c>
      <c r="X540" s="112">
        <f>IF(INDEX(TransTypes[],Transactions[[#This Row],[TTR]],TT_COL_LONGORSHORT)="S",
      IF( OR(INDEX(TransTypes[],Transactions[[#This Row],[TTR]],TT_COL_GLFlag)=1, INDEX(TransTypes[], Transactions[[#This Row],[TTR]], TT_COL_ShareTransferFlag)=1),
            Transactions[[#This Row],[CostImpact]]*-1,
            Transactions[[#This Row],[CalCashImpact]]
      ),
     0
)</f>
        <v>0</v>
      </c>
      <c r="Y540" s="113" t="str">
        <f>VLOOKUP(Transactions[[#This Row],[Symbol]],Symbols[], COLUMN(Symbols[Currency])-COLUMN(Symbols[])+1,FALSE)</f>
        <v>USD</v>
      </c>
    </row>
    <row r="541" spans="1:25">
      <c r="A541" s="100" t="s">
        <v>77</v>
      </c>
      <c r="B541" s="101">
        <v>43139</v>
      </c>
      <c r="C541" s="100" t="s">
        <v>121</v>
      </c>
      <c r="D541" s="100"/>
      <c r="E541" s="100" t="s">
        <v>208</v>
      </c>
      <c r="F541" s="102"/>
      <c r="G541" s="103"/>
      <c r="H541" s="102"/>
      <c r="I541" s="102"/>
      <c r="J541" s="104">
        <v>1.21</v>
      </c>
      <c r="K541" s="6" t="s">
        <v>530</v>
      </c>
      <c r="L541" s="20">
        <f>IF(ISNA(MATCH(Transactions[[#This Row],[TransType]],TransTypes[TransType],0)),1,MATCH(Transactions[[#This Row],[TransType]],TransTypes[TransType],0))</f>
        <v>6</v>
      </c>
      <c r="M541" s="105">
        <f>IF( AND( INDEX(TransTypes[],Transactions[[#This Row],[TTR]],TT_COL_GLFlag)=1, INDEX(TransTypes[],Transactions[[#This Row],[TTR]],TT_COL_LONGORSHORT)="S" ),
      Transactions[[#This Row],[PL]],
      IF(INDEX(TransTypes[],Transactions[[#This Row],[TTR]],TT_COL_LONGORSHORT)="S",0,Transactions[[#This Row],[CalCashImpact]])
)</f>
        <v>-1.21</v>
      </c>
      <c r="N541" s="106">
        <f>IF(VLOOKUP(Transactions[[#This Row],[Symbol]],Symbols[],COLUMN(Symbols[Currency])-COLUMN(Symbols[])+1,FALSE)=
       VLOOKUP(Transactions[[#This Row],[Account]],Accounts[],COLUMN(Accounts[Currency])-COLUMN(Accounts[])+1,FALSE),
     Transactions[[#This Row],[OrigCashImpact]],
     0
)</f>
        <v>-1.21</v>
      </c>
      <c r="O54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19105.459999999839</v>
      </c>
      <c r="P54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4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41" s="41">
        <f>ROW()</f>
        <v>541</v>
      </c>
      <c r="S5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4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41" s="111">
        <f>IF(INDEX(TransTypes[],Transactions[[#This Row],[TTR]],TT_COL_GLFlag)=1,Transactions[[#This Row],[CalCashImpact]]+Transactions[[#This Row],[CostImpact]],0)</f>
        <v>0</v>
      </c>
      <c r="W541" s="112">
        <f>Transactions[[#This Row],[Amount]]*INDEX(TransTypes[],Transactions[[#This Row],[TTR]],TT_COL_AmntSign)</f>
        <v>-1.21</v>
      </c>
      <c r="X541" s="112">
        <f>IF(INDEX(TransTypes[],Transactions[[#This Row],[TTR]],TT_COL_LONGORSHORT)="S",
      IF( OR(INDEX(TransTypes[],Transactions[[#This Row],[TTR]],TT_COL_GLFlag)=1, INDEX(TransTypes[], Transactions[[#This Row],[TTR]], TT_COL_ShareTransferFlag)=1),
            Transactions[[#This Row],[CostImpact]]*-1,
            Transactions[[#This Row],[CalCashImpact]]
      ),
     0
)</f>
        <v>0</v>
      </c>
      <c r="Y541" s="113" t="str">
        <f>VLOOKUP(Transactions[[#This Row],[Symbol]],Symbols[], COLUMN(Symbols[Currency])-COLUMN(Symbols[])+1,FALSE)</f>
        <v>USD</v>
      </c>
    </row>
    <row r="542" spans="1:25">
      <c r="A542" s="100" t="s">
        <v>77</v>
      </c>
      <c r="B542" s="101">
        <v>43145</v>
      </c>
      <c r="C542" s="100" t="s">
        <v>115</v>
      </c>
      <c r="D542" s="100"/>
      <c r="E542" s="100" t="s">
        <v>502</v>
      </c>
      <c r="F542" s="102">
        <v>4</v>
      </c>
      <c r="G542" s="103">
        <v>1.2</v>
      </c>
      <c r="H542" s="102">
        <v>14.99</v>
      </c>
      <c r="I542" s="102"/>
      <c r="J542" s="104">
        <v>465.01</v>
      </c>
      <c r="K542" s="6" t="s">
        <v>590</v>
      </c>
      <c r="L542" s="20">
        <f>IF(ISNA(MATCH(Transactions[[#This Row],[TransType]],TransTypes[TransType],0)),1,MATCH(Transactions[[#This Row],[TransType]],TransTypes[TransType],0))</f>
        <v>3</v>
      </c>
      <c r="M542" s="105">
        <f>IF( AND( INDEX(TransTypes[],Transactions[[#This Row],[TTR]],TT_COL_GLFlag)=1, INDEX(TransTypes[],Transactions[[#This Row],[TTR]],TT_COL_LONGORSHORT)="S" ),
      Transactions[[#This Row],[PL]],
      IF(INDEX(TransTypes[],Transactions[[#This Row],[TTR]],TT_COL_LONGORSHORT)="S",0,Transactions[[#This Row],[CalCashImpact]])
)</f>
        <v>465.01</v>
      </c>
      <c r="N542" s="106">
        <f>IF(VLOOKUP(Transactions[[#This Row],[Symbol]],Symbols[],COLUMN(Symbols[Currency])-COLUMN(Symbols[])+1,FALSE)=
       VLOOKUP(Transactions[[#This Row],[Account]],Accounts[],COLUMN(Accounts[Currency])-COLUMN(Accounts[])+1,FALSE),
     Transactions[[#This Row],[OrigCashImpact]],
     0
)</f>
        <v>465.01</v>
      </c>
      <c r="O54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19570.469999999834</v>
      </c>
      <c r="P54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v>
      </c>
      <c r="Q54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42" s="41">
        <f>ROW()</f>
        <v>542</v>
      </c>
      <c r="S5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-1410.99</v>
      </c>
      <c r="T5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4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v>
      </c>
      <c r="V542" s="111">
        <f>IF(INDEX(TransTypes[],Transactions[[#This Row],[TTR]],TT_COL_GLFlag)=1,Transactions[[#This Row],[CalCashImpact]]+Transactions[[#This Row],[CostImpact]],0)</f>
        <v>-945.98</v>
      </c>
      <c r="W542" s="112">
        <f>Transactions[[#This Row],[Amount]]*INDEX(TransTypes[],Transactions[[#This Row],[TTR]],TT_COL_AmntSign)</f>
        <v>465.01</v>
      </c>
      <c r="X542" s="112">
        <f>IF(INDEX(TransTypes[],Transactions[[#This Row],[TTR]],TT_COL_LONGORSHORT)="S",
      IF( OR(INDEX(TransTypes[],Transactions[[#This Row],[TTR]],TT_COL_GLFlag)=1, INDEX(TransTypes[], Transactions[[#This Row],[TTR]], TT_COL_ShareTransferFlag)=1),
            Transactions[[#This Row],[CostImpact]]*-1,
            Transactions[[#This Row],[CalCashImpact]]
      ),
     0
)</f>
        <v>0</v>
      </c>
      <c r="Y542" s="113" t="str">
        <f>VLOOKUP(Transactions[[#This Row],[Symbol]],Symbols[], COLUMN(Symbols[Currency])-COLUMN(Symbols[])+1,FALSE)</f>
        <v>USD</v>
      </c>
    </row>
    <row r="543" spans="1:25">
      <c r="A543" s="100" t="s">
        <v>77</v>
      </c>
      <c r="B543" s="101">
        <v>43145</v>
      </c>
      <c r="C543" s="100" t="s">
        <v>121</v>
      </c>
      <c r="D543" s="100"/>
      <c r="E543" s="100" t="s">
        <v>208</v>
      </c>
      <c r="F543" s="102"/>
      <c r="G543" s="103"/>
      <c r="H543" s="102"/>
      <c r="I543" s="102"/>
      <c r="J543" s="104">
        <v>0.02</v>
      </c>
      <c r="K543" s="6" t="s">
        <v>530</v>
      </c>
      <c r="L543" s="20">
        <f>IF(ISNA(MATCH(Transactions[[#This Row],[TransType]],TransTypes[TransType],0)),1,MATCH(Transactions[[#This Row],[TransType]],TransTypes[TransType],0))</f>
        <v>6</v>
      </c>
      <c r="M543" s="105">
        <f>IF( AND( INDEX(TransTypes[],Transactions[[#This Row],[TTR]],TT_COL_GLFlag)=1, INDEX(TransTypes[],Transactions[[#This Row],[TTR]],TT_COL_LONGORSHORT)="S" ),
      Transactions[[#This Row],[PL]],
      IF(INDEX(TransTypes[],Transactions[[#This Row],[TTR]],TT_COL_LONGORSHORT)="S",0,Transactions[[#This Row],[CalCashImpact]])
)</f>
        <v>-0.02</v>
      </c>
      <c r="N543" s="106">
        <f>IF(VLOOKUP(Transactions[[#This Row],[Symbol]],Symbols[],COLUMN(Symbols[Currency])-COLUMN(Symbols[])+1,FALSE)=
       VLOOKUP(Transactions[[#This Row],[Account]],Accounts[],COLUMN(Accounts[Currency])-COLUMN(Accounts[])+1,FALSE),
     Transactions[[#This Row],[OrigCashImpact]],
     0
)</f>
        <v>-0.02</v>
      </c>
      <c r="O543"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19570.449999999837</v>
      </c>
      <c r="P543"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43"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43" s="41">
        <f>ROW()</f>
        <v>543</v>
      </c>
      <c r="S5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43"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43" s="111">
        <f>IF(INDEX(TransTypes[],Transactions[[#This Row],[TTR]],TT_COL_GLFlag)=1,Transactions[[#This Row],[CalCashImpact]]+Transactions[[#This Row],[CostImpact]],0)</f>
        <v>0</v>
      </c>
      <c r="W543" s="112">
        <f>Transactions[[#This Row],[Amount]]*INDEX(TransTypes[],Transactions[[#This Row],[TTR]],TT_COL_AmntSign)</f>
        <v>-0.02</v>
      </c>
      <c r="X543" s="112">
        <f>IF(INDEX(TransTypes[],Transactions[[#This Row],[TTR]],TT_COL_LONGORSHORT)="S",
      IF( OR(INDEX(TransTypes[],Transactions[[#This Row],[TTR]],TT_COL_GLFlag)=1, INDEX(TransTypes[], Transactions[[#This Row],[TTR]], TT_COL_ShareTransferFlag)=1),
            Transactions[[#This Row],[CostImpact]]*-1,
            Transactions[[#This Row],[CalCashImpact]]
      ),
     0
)</f>
        <v>0</v>
      </c>
      <c r="Y543" s="113" t="str">
        <f>VLOOKUP(Transactions[[#This Row],[Symbol]],Symbols[], COLUMN(Symbols[Currency])-COLUMN(Symbols[])+1,FALSE)</f>
        <v>USD</v>
      </c>
    </row>
    <row r="544" spans="1:25">
      <c r="A544" s="100" t="s">
        <v>77</v>
      </c>
      <c r="B544" s="101">
        <v>43147</v>
      </c>
      <c r="C544" s="100" t="s">
        <v>119</v>
      </c>
      <c r="D544" s="100"/>
      <c r="E544" s="100" t="s">
        <v>208</v>
      </c>
      <c r="F544" s="102"/>
      <c r="G544" s="103"/>
      <c r="H544" s="102"/>
      <c r="I544" s="102"/>
      <c r="J544" s="104">
        <v>8930.75</v>
      </c>
      <c r="K544" s="6" t="s">
        <v>591</v>
      </c>
      <c r="L544" s="20">
        <f>IF(ISNA(MATCH(Transactions[[#This Row],[TransType]],TransTypes[TransType],0)),1,MATCH(Transactions[[#This Row],[TransType]],TransTypes[TransType],0))</f>
        <v>5</v>
      </c>
      <c r="M544" s="105">
        <f>IF( AND( INDEX(TransTypes[],Transactions[[#This Row],[TTR]],TT_COL_GLFlag)=1, INDEX(TransTypes[],Transactions[[#This Row],[TTR]],TT_COL_LONGORSHORT)="S" ),
      Transactions[[#This Row],[PL]],
      IF(INDEX(TransTypes[],Transactions[[#This Row],[TTR]],TT_COL_LONGORSHORT)="S",0,Transactions[[#This Row],[CalCashImpact]])
)</f>
        <v>-8930.75</v>
      </c>
      <c r="N544" s="106">
        <f>IF(VLOOKUP(Transactions[[#This Row],[Symbol]],Symbols[],COLUMN(Symbols[Currency])-COLUMN(Symbols[])+1,FALSE)=
       VLOOKUP(Transactions[[#This Row],[Account]],Accounts[],COLUMN(Accounts[Currency])-COLUMN(Accounts[])+1,FALSE),
     Transactions[[#This Row],[OrigCashImpact]],
     0
)</f>
        <v>-8930.75</v>
      </c>
      <c r="O544"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10639.699999999833</v>
      </c>
      <c r="P544"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44"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44" s="41">
        <f>ROW()</f>
        <v>544</v>
      </c>
      <c r="S5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44"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44" s="111">
        <f>IF(INDEX(TransTypes[],Transactions[[#This Row],[TTR]],TT_COL_GLFlag)=1,Transactions[[#This Row],[CalCashImpact]]+Transactions[[#This Row],[CostImpact]],0)</f>
        <v>0</v>
      </c>
      <c r="W544" s="112">
        <f>Transactions[[#This Row],[Amount]]*INDEX(TransTypes[],Transactions[[#This Row],[TTR]],TT_COL_AmntSign)</f>
        <v>-8930.75</v>
      </c>
      <c r="X544" s="112">
        <f>IF(INDEX(TransTypes[],Transactions[[#This Row],[TTR]],TT_COL_LONGORSHORT)="S",
      IF( OR(INDEX(TransTypes[],Transactions[[#This Row],[TTR]],TT_COL_GLFlag)=1, INDEX(TransTypes[], Transactions[[#This Row],[TTR]], TT_COL_ShareTransferFlag)=1),
            Transactions[[#This Row],[CostImpact]]*-1,
            Transactions[[#This Row],[CalCashImpact]]
      ),
     0
)</f>
        <v>0</v>
      </c>
      <c r="Y544" s="113" t="str">
        <f>VLOOKUP(Transactions[[#This Row],[Symbol]],Symbols[], COLUMN(Symbols[Currency])-COLUMN(Symbols[])+1,FALSE)</f>
        <v>USD</v>
      </c>
    </row>
    <row r="545" spans="1:25">
      <c r="A545" s="100" t="s">
        <v>77</v>
      </c>
      <c r="B545" s="101">
        <v>43160</v>
      </c>
      <c r="C545" s="100" t="s">
        <v>118</v>
      </c>
      <c r="D545" s="100"/>
      <c r="E545" s="100" t="s">
        <v>313</v>
      </c>
      <c r="F545" s="102"/>
      <c r="G545" s="103"/>
      <c r="H545" s="102"/>
      <c r="I545" s="102"/>
      <c r="J545" s="104">
        <v>255.74</v>
      </c>
      <c r="K545" s="6" t="s">
        <v>561</v>
      </c>
      <c r="L545" s="20">
        <f>IF(ISNA(MATCH(Transactions[[#This Row],[TransType]],TransTypes[TransType],0)),1,MATCH(Transactions[[#This Row],[TransType]],TransTypes[TransType],0))</f>
        <v>4</v>
      </c>
      <c r="M545" s="105">
        <f>IF( AND( INDEX(TransTypes[],Transactions[[#This Row],[TTR]],TT_COL_GLFlag)=1, INDEX(TransTypes[],Transactions[[#This Row],[TTR]],TT_COL_LONGORSHORT)="S" ),
      Transactions[[#This Row],[PL]],
      IF(INDEX(TransTypes[],Transactions[[#This Row],[TTR]],TT_COL_LONGORSHORT)="S",0,Transactions[[#This Row],[CalCashImpact]])
)</f>
        <v>255.74</v>
      </c>
      <c r="N545" s="106">
        <f>IF(VLOOKUP(Transactions[[#This Row],[Symbol]],Symbols[],COLUMN(Symbols[Currency])-COLUMN(Symbols[])+1,FALSE)=
       VLOOKUP(Transactions[[#This Row],[Account]],Accounts[],COLUMN(Accounts[Currency])-COLUMN(Accounts[])+1,FALSE),
     Transactions[[#This Row],[OrigCashImpact]],
     0
)</f>
        <v>255.74</v>
      </c>
      <c r="O545"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10895.439999999833</v>
      </c>
      <c r="P545"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45"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1346</v>
      </c>
      <c r="R545" s="41">
        <f>ROW()</f>
        <v>545</v>
      </c>
      <c r="S5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35624.74</v>
      </c>
      <c r="U545"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1346</v>
      </c>
      <c r="V545" s="111">
        <f>IF(INDEX(TransTypes[],Transactions[[#This Row],[TTR]],TT_COL_GLFlag)=1,Transactions[[#This Row],[CalCashImpact]]+Transactions[[#This Row],[CostImpact]],0)</f>
        <v>0</v>
      </c>
      <c r="W545" s="112">
        <f>Transactions[[#This Row],[Amount]]*INDEX(TransTypes[],Transactions[[#This Row],[TTR]],TT_COL_AmntSign)</f>
        <v>255.74</v>
      </c>
      <c r="X545" s="112">
        <f>IF(INDEX(TransTypes[],Transactions[[#This Row],[TTR]],TT_COL_LONGORSHORT)="S",
      IF( OR(INDEX(TransTypes[],Transactions[[#This Row],[TTR]],TT_COL_GLFlag)=1, INDEX(TransTypes[], Transactions[[#This Row],[TTR]], TT_COL_ShareTransferFlag)=1),
            Transactions[[#This Row],[CostImpact]]*-1,
            Transactions[[#This Row],[CalCashImpact]]
      ),
     0
)</f>
        <v>0</v>
      </c>
      <c r="Y545" s="113" t="str">
        <f>VLOOKUP(Transactions[[#This Row],[Symbol]],Symbols[], COLUMN(Symbols[Currency])-COLUMN(Symbols[])+1,FALSE)</f>
        <v>USD</v>
      </c>
    </row>
    <row r="546" spans="1:25">
      <c r="A546" s="100" t="s">
        <v>77</v>
      </c>
      <c r="B546" s="101">
        <v>43160</v>
      </c>
      <c r="C546" s="100" t="s">
        <v>113</v>
      </c>
      <c r="D546" s="100" t="s">
        <v>531</v>
      </c>
      <c r="E546" s="100" t="s">
        <v>313</v>
      </c>
      <c r="F546" s="102">
        <v>8</v>
      </c>
      <c r="G546" s="103">
        <v>25.31</v>
      </c>
      <c r="H546" s="102"/>
      <c r="I546" s="102"/>
      <c r="J546" s="104">
        <v>202.48</v>
      </c>
      <c r="K546" s="6" t="s">
        <v>563</v>
      </c>
      <c r="L546" s="20">
        <f>IF(ISNA(MATCH(Transactions[[#This Row],[TransType]],TransTypes[TransType],0)),1,MATCH(Transactions[[#This Row],[TransType]],TransTypes[TransType],0))</f>
        <v>2</v>
      </c>
      <c r="M546" s="105">
        <f>IF( AND( INDEX(TransTypes[],Transactions[[#This Row],[TTR]],TT_COL_GLFlag)=1, INDEX(TransTypes[],Transactions[[#This Row],[TTR]],TT_COL_LONGORSHORT)="S" ),
      Transactions[[#This Row],[PL]],
      IF(INDEX(TransTypes[],Transactions[[#This Row],[TTR]],TT_COL_LONGORSHORT)="S",0,Transactions[[#This Row],[CalCashImpact]])
)</f>
        <v>-202.48</v>
      </c>
      <c r="N546" s="106">
        <f>IF(VLOOKUP(Transactions[[#This Row],[Symbol]],Symbols[],COLUMN(Symbols[Currency])-COLUMN(Symbols[])+1,FALSE)=
       VLOOKUP(Transactions[[#This Row],[Account]],Accounts[],COLUMN(Accounts[Currency])-COLUMN(Accounts[])+1,FALSE),
     Transactions[[#This Row],[OrigCashImpact]],
     0
)</f>
        <v>-202.48</v>
      </c>
      <c r="O546"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10692.959999999834</v>
      </c>
      <c r="P546"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v>
      </c>
      <c r="Q546"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1354</v>
      </c>
      <c r="R546" s="41">
        <f>ROW()</f>
        <v>546</v>
      </c>
      <c r="S5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202.48</v>
      </c>
      <c r="T5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35827.22</v>
      </c>
      <c r="U546"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1354</v>
      </c>
      <c r="V546" s="111">
        <f>IF(INDEX(TransTypes[],Transactions[[#This Row],[TTR]],TT_COL_GLFlag)=1,Transactions[[#This Row],[CalCashImpact]]+Transactions[[#This Row],[CostImpact]],0)</f>
        <v>0</v>
      </c>
      <c r="W546" s="112">
        <f>Transactions[[#This Row],[Amount]]*INDEX(TransTypes[],Transactions[[#This Row],[TTR]],TT_COL_AmntSign)</f>
        <v>-202.48</v>
      </c>
      <c r="X546" s="112">
        <f>IF(INDEX(TransTypes[],Transactions[[#This Row],[TTR]],TT_COL_LONGORSHORT)="S",
      IF( OR(INDEX(TransTypes[],Transactions[[#This Row],[TTR]],TT_COL_GLFlag)=1, INDEX(TransTypes[], Transactions[[#This Row],[TTR]], TT_COL_ShareTransferFlag)=1),
            Transactions[[#This Row],[CostImpact]]*-1,
            Transactions[[#This Row],[CalCashImpact]]
      ),
     0
)</f>
        <v>0</v>
      </c>
      <c r="Y546" s="113" t="str">
        <f>VLOOKUP(Transactions[[#This Row],[Symbol]],Symbols[], COLUMN(Symbols[Currency])-COLUMN(Symbols[])+1,FALSE)</f>
        <v>USD</v>
      </c>
    </row>
    <row r="547" spans="1:25">
      <c r="A547" s="100" t="s">
        <v>77</v>
      </c>
      <c r="B547" s="101">
        <v>43160</v>
      </c>
      <c r="C547" s="100" t="s">
        <v>123</v>
      </c>
      <c r="D547" s="100"/>
      <c r="E547" s="100" t="s">
        <v>313</v>
      </c>
      <c r="F547" s="102"/>
      <c r="G547" s="103"/>
      <c r="H547" s="102"/>
      <c r="I547" s="102"/>
      <c r="J547" s="104">
        <v>38.36</v>
      </c>
      <c r="K547" s="6" t="s">
        <v>562</v>
      </c>
      <c r="L547" s="20">
        <f>IF(ISNA(MATCH(Transactions[[#This Row],[TransType]],TransTypes[TransType],0)),1,MATCH(Transactions[[#This Row],[TransType]],TransTypes[TransType],0))</f>
        <v>7</v>
      </c>
      <c r="M547" s="105">
        <f>IF( AND( INDEX(TransTypes[],Transactions[[#This Row],[TTR]],TT_COL_GLFlag)=1, INDEX(TransTypes[],Transactions[[#This Row],[TTR]],TT_COL_LONGORSHORT)="S" ),
      Transactions[[#This Row],[PL]],
      IF(INDEX(TransTypes[],Transactions[[#This Row],[TTR]],TT_COL_LONGORSHORT)="S",0,Transactions[[#This Row],[CalCashImpact]])
)</f>
        <v>-38.36</v>
      </c>
      <c r="N547" s="106">
        <f>IF(VLOOKUP(Transactions[[#This Row],[Symbol]],Symbols[],COLUMN(Symbols[Currency])-COLUMN(Symbols[])+1,FALSE)=
       VLOOKUP(Transactions[[#This Row],[Account]],Accounts[],COLUMN(Accounts[Currency])-COLUMN(Accounts[])+1,FALSE),
     Transactions[[#This Row],[OrigCashImpact]],
     0
)</f>
        <v>-38.36</v>
      </c>
      <c r="O547"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10654.599999999833</v>
      </c>
      <c r="P547"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47"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1354</v>
      </c>
      <c r="R547" s="41">
        <f>ROW()</f>
        <v>547</v>
      </c>
      <c r="S5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35827.22</v>
      </c>
      <c r="U547"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1354</v>
      </c>
      <c r="V547" s="111">
        <f>IF(INDEX(TransTypes[],Transactions[[#This Row],[TTR]],TT_COL_GLFlag)=1,Transactions[[#This Row],[CalCashImpact]]+Transactions[[#This Row],[CostImpact]],0)</f>
        <v>0</v>
      </c>
      <c r="W547" s="112">
        <f>Transactions[[#This Row],[Amount]]*INDEX(TransTypes[],Transactions[[#This Row],[TTR]],TT_COL_AmntSign)</f>
        <v>-38.36</v>
      </c>
      <c r="X547" s="112">
        <f>IF(INDEX(TransTypes[],Transactions[[#This Row],[TTR]],TT_COL_LONGORSHORT)="S",
      IF( OR(INDEX(TransTypes[],Transactions[[#This Row],[TTR]],TT_COL_GLFlag)=1, INDEX(TransTypes[], Transactions[[#This Row],[TTR]], TT_COL_ShareTransferFlag)=1),
            Transactions[[#This Row],[CostImpact]]*-1,
            Transactions[[#This Row],[CalCashImpact]]
      ),
     0
)</f>
        <v>0</v>
      </c>
      <c r="Y547" s="113" t="str">
        <f>VLOOKUP(Transactions[[#This Row],[Symbol]],Symbols[], COLUMN(Symbols[Currency])-COLUMN(Symbols[])+1,FALSE)</f>
        <v>USD</v>
      </c>
    </row>
    <row r="548" spans="1:25">
      <c r="A548" s="100" t="s">
        <v>77</v>
      </c>
      <c r="B548" s="101">
        <v>43166</v>
      </c>
      <c r="C548" s="100" t="s">
        <v>118</v>
      </c>
      <c r="D548" s="100"/>
      <c r="E548" s="100" t="s">
        <v>505</v>
      </c>
      <c r="F548" s="102"/>
      <c r="G548" s="103"/>
      <c r="H548" s="102"/>
      <c r="I548" s="102"/>
      <c r="J548" s="104">
        <v>74.72</v>
      </c>
      <c r="K548" s="6" t="s">
        <v>565</v>
      </c>
      <c r="L548" s="20">
        <f>IF(ISNA(MATCH(Transactions[[#This Row],[TransType]],TransTypes[TransType],0)),1,MATCH(Transactions[[#This Row],[TransType]],TransTypes[TransType],0))</f>
        <v>4</v>
      </c>
      <c r="M548" s="105">
        <f>IF( AND( INDEX(TransTypes[],Transactions[[#This Row],[TTR]],TT_COL_GLFlag)=1, INDEX(TransTypes[],Transactions[[#This Row],[TTR]],TT_COL_LONGORSHORT)="S" ),
      Transactions[[#This Row],[PL]],
      IF(INDEX(TransTypes[],Transactions[[#This Row],[TTR]],TT_COL_LONGORSHORT)="S",0,Transactions[[#This Row],[CalCashImpact]])
)</f>
        <v>74.72</v>
      </c>
      <c r="N548" s="106">
        <f>IF(VLOOKUP(Transactions[[#This Row],[Symbol]],Symbols[],COLUMN(Symbols[Currency])-COLUMN(Symbols[])+1,FALSE)=
       VLOOKUP(Transactions[[#This Row],[Account]],Accounts[],COLUMN(Accounts[Currency])-COLUMN(Accounts[])+1,FALSE),
     Transactions[[#This Row],[OrigCashImpact]],
     0
)</f>
        <v>74.72</v>
      </c>
      <c r="O548"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10729.319999999832</v>
      </c>
      <c r="P548"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48"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548" s="41">
        <f>ROW()</f>
        <v>548</v>
      </c>
      <c r="S5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548"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548" s="111">
        <f>IF(INDEX(TransTypes[],Transactions[[#This Row],[TTR]],TT_COL_GLFlag)=1,Transactions[[#This Row],[CalCashImpact]]+Transactions[[#This Row],[CostImpact]],0)</f>
        <v>0</v>
      </c>
      <c r="W548" s="112">
        <f>Transactions[[#This Row],[Amount]]*INDEX(TransTypes[],Transactions[[#This Row],[TTR]],TT_COL_AmntSign)</f>
        <v>74.72</v>
      </c>
      <c r="X548" s="112">
        <f>IF(INDEX(TransTypes[],Transactions[[#This Row],[TTR]],TT_COL_LONGORSHORT)="S",
      IF( OR(INDEX(TransTypes[],Transactions[[#This Row],[TTR]],TT_COL_GLFlag)=1, INDEX(TransTypes[], Transactions[[#This Row],[TTR]], TT_COL_ShareTransferFlag)=1),
            Transactions[[#This Row],[CostImpact]]*-1,
            Transactions[[#This Row],[CalCashImpact]]
      ),
     0
)</f>
        <v>0</v>
      </c>
      <c r="Y548" s="113" t="str">
        <f>VLOOKUP(Transactions[[#This Row],[Symbol]],Symbols[], COLUMN(Symbols[Currency])-COLUMN(Symbols[])+1,FALSE)</f>
        <v>USD</v>
      </c>
    </row>
    <row r="549" spans="1:25">
      <c r="A549" s="100" t="s">
        <v>77</v>
      </c>
      <c r="B549" s="101">
        <v>43166</v>
      </c>
      <c r="C549" s="100" t="s">
        <v>118</v>
      </c>
      <c r="D549" s="100"/>
      <c r="E549" s="100" t="s">
        <v>20</v>
      </c>
      <c r="F549" s="102"/>
      <c r="G549" s="103"/>
      <c r="H549" s="102"/>
      <c r="I549" s="102"/>
      <c r="J549" s="104">
        <v>297.52999999999997</v>
      </c>
      <c r="K549" s="6" t="s">
        <v>528</v>
      </c>
      <c r="L549" s="20">
        <f>IF(ISNA(MATCH(Transactions[[#This Row],[TransType]],TransTypes[TransType],0)),1,MATCH(Transactions[[#This Row],[TransType]],TransTypes[TransType],0))</f>
        <v>4</v>
      </c>
      <c r="M549" s="105">
        <f>IF( AND( INDEX(TransTypes[],Transactions[[#This Row],[TTR]],TT_COL_GLFlag)=1, INDEX(TransTypes[],Transactions[[#This Row],[TTR]],TT_COL_LONGORSHORT)="S" ),
      Transactions[[#This Row],[PL]],
      IF(INDEX(TransTypes[],Transactions[[#This Row],[TTR]],TT_COL_LONGORSHORT)="S",0,Transactions[[#This Row],[CalCashImpact]])
)</f>
        <v>297.52999999999997</v>
      </c>
      <c r="N549" s="106">
        <f>IF(VLOOKUP(Transactions[[#This Row],[Symbol]],Symbols[],COLUMN(Symbols[Currency])-COLUMN(Symbols[])+1,FALSE)=
       VLOOKUP(Transactions[[#This Row],[Account]],Accounts[],COLUMN(Accounts[Currency])-COLUMN(Accounts[])+1,FALSE),
     Transactions[[#This Row],[OrigCashImpact]],
     0
)</f>
        <v>297.52999999999997</v>
      </c>
      <c r="O549"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11026.849999999833</v>
      </c>
      <c r="P549"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49"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1245</v>
      </c>
      <c r="R549" s="41">
        <f>ROW()</f>
        <v>549</v>
      </c>
      <c r="S5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152822.53606525529</v>
      </c>
      <c r="U549"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1245</v>
      </c>
      <c r="V549" s="111">
        <f>IF(INDEX(TransTypes[],Transactions[[#This Row],[TTR]],TT_COL_GLFlag)=1,Transactions[[#This Row],[CalCashImpact]]+Transactions[[#This Row],[CostImpact]],0)</f>
        <v>0</v>
      </c>
      <c r="W549" s="112">
        <f>Transactions[[#This Row],[Amount]]*INDEX(TransTypes[],Transactions[[#This Row],[TTR]],TT_COL_AmntSign)</f>
        <v>297.52999999999997</v>
      </c>
      <c r="X549" s="112">
        <f>IF(INDEX(TransTypes[],Transactions[[#This Row],[TTR]],TT_COL_LONGORSHORT)="S",
      IF( OR(INDEX(TransTypes[],Transactions[[#This Row],[TTR]],TT_COL_GLFlag)=1, INDEX(TransTypes[], Transactions[[#This Row],[TTR]], TT_COL_ShareTransferFlag)=1),
            Transactions[[#This Row],[CostImpact]]*-1,
            Transactions[[#This Row],[CalCashImpact]]
      ),
     0
)</f>
        <v>0</v>
      </c>
      <c r="Y549" s="113" t="str">
        <f>VLOOKUP(Transactions[[#This Row],[Symbol]],Symbols[], COLUMN(Symbols[Currency])-COLUMN(Symbols[])+1,FALSE)</f>
        <v>USD</v>
      </c>
    </row>
    <row r="550" spans="1:25">
      <c r="A550" s="100" t="s">
        <v>77</v>
      </c>
      <c r="B550" s="101">
        <v>43166</v>
      </c>
      <c r="C550" s="100" t="s">
        <v>123</v>
      </c>
      <c r="D550" s="100"/>
      <c r="E550" s="100" t="s">
        <v>505</v>
      </c>
      <c r="F550" s="102"/>
      <c r="G550" s="103"/>
      <c r="H550" s="102"/>
      <c r="I550" s="102"/>
      <c r="J550" s="104">
        <v>11.21</v>
      </c>
      <c r="K550" s="6" t="s">
        <v>566</v>
      </c>
      <c r="L550" s="20">
        <f>IF(ISNA(MATCH(Transactions[[#This Row],[TransType]],TransTypes[TransType],0)),1,MATCH(Transactions[[#This Row],[TransType]],TransTypes[TransType],0))</f>
        <v>7</v>
      </c>
      <c r="M550" s="105">
        <f>IF( AND( INDEX(TransTypes[],Transactions[[#This Row],[TTR]],TT_COL_GLFlag)=1, INDEX(TransTypes[],Transactions[[#This Row],[TTR]],TT_COL_LONGORSHORT)="S" ),
      Transactions[[#This Row],[PL]],
      IF(INDEX(TransTypes[],Transactions[[#This Row],[TTR]],TT_COL_LONGORSHORT)="S",0,Transactions[[#This Row],[CalCashImpact]])
)</f>
        <v>-11.21</v>
      </c>
      <c r="N550" s="106">
        <f>IF(VLOOKUP(Transactions[[#This Row],[Symbol]],Symbols[],COLUMN(Symbols[Currency])-COLUMN(Symbols[])+1,FALSE)=
       VLOOKUP(Transactions[[#This Row],[Account]],Accounts[],COLUMN(Accounts[Currency])-COLUMN(Accounts[])+1,FALSE),
     Transactions[[#This Row],[OrigCashImpact]],
     0
)</f>
        <v>-11.21</v>
      </c>
      <c r="O550"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11015.639999999834</v>
      </c>
      <c r="P550"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50"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550" s="41">
        <f>ROW()</f>
        <v>550</v>
      </c>
      <c r="S5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550"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550" s="111">
        <f>IF(INDEX(TransTypes[],Transactions[[#This Row],[TTR]],TT_COL_GLFlag)=1,Transactions[[#This Row],[CalCashImpact]]+Transactions[[#This Row],[CostImpact]],0)</f>
        <v>0</v>
      </c>
      <c r="W550" s="112">
        <f>Transactions[[#This Row],[Amount]]*INDEX(TransTypes[],Transactions[[#This Row],[TTR]],TT_COL_AmntSign)</f>
        <v>-11.21</v>
      </c>
      <c r="X550" s="112">
        <f>IF(INDEX(TransTypes[],Transactions[[#This Row],[TTR]],TT_COL_LONGORSHORT)="S",
      IF( OR(INDEX(TransTypes[],Transactions[[#This Row],[TTR]],TT_COL_GLFlag)=1, INDEX(TransTypes[], Transactions[[#This Row],[TTR]], TT_COL_ShareTransferFlag)=1),
            Transactions[[#This Row],[CostImpact]]*-1,
            Transactions[[#This Row],[CalCashImpact]]
      ),
     0
)</f>
        <v>0</v>
      </c>
      <c r="Y550" s="113" t="str">
        <f>VLOOKUP(Transactions[[#This Row],[Symbol]],Symbols[], COLUMN(Symbols[Currency])-COLUMN(Symbols[])+1,FALSE)</f>
        <v>USD</v>
      </c>
    </row>
    <row r="551" spans="1:25">
      <c r="A551" s="100" t="s">
        <v>77</v>
      </c>
      <c r="B551" s="101">
        <v>43166</v>
      </c>
      <c r="C551" s="100" t="s">
        <v>123</v>
      </c>
      <c r="D551" s="100"/>
      <c r="E551" s="100" t="s">
        <v>20</v>
      </c>
      <c r="F551" s="102"/>
      <c r="G551" s="103"/>
      <c r="H551" s="102"/>
      <c r="I551" s="102"/>
      <c r="J551" s="104">
        <v>44.63</v>
      </c>
      <c r="K551" s="6" t="s">
        <v>529</v>
      </c>
      <c r="L551" s="20">
        <f>IF(ISNA(MATCH(Transactions[[#This Row],[TransType]],TransTypes[TransType],0)),1,MATCH(Transactions[[#This Row],[TransType]],TransTypes[TransType],0))</f>
        <v>7</v>
      </c>
      <c r="M551" s="105">
        <f>IF( AND( INDEX(TransTypes[],Transactions[[#This Row],[TTR]],TT_COL_GLFlag)=1, INDEX(TransTypes[],Transactions[[#This Row],[TTR]],TT_COL_LONGORSHORT)="S" ),
      Transactions[[#This Row],[PL]],
      IF(INDEX(TransTypes[],Transactions[[#This Row],[TTR]],TT_COL_LONGORSHORT)="S",0,Transactions[[#This Row],[CalCashImpact]])
)</f>
        <v>-44.63</v>
      </c>
      <c r="N551" s="106">
        <f>IF(VLOOKUP(Transactions[[#This Row],[Symbol]],Symbols[],COLUMN(Symbols[Currency])-COLUMN(Symbols[])+1,FALSE)=
       VLOOKUP(Transactions[[#This Row],[Account]],Accounts[],COLUMN(Accounts[Currency])-COLUMN(Accounts[])+1,FALSE),
     Transactions[[#This Row],[OrigCashImpact]],
     0
)</f>
        <v>-44.63</v>
      </c>
      <c r="O551"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10971.009999999833</v>
      </c>
      <c r="P551"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51"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1245</v>
      </c>
      <c r="R551" s="41">
        <f>ROW()</f>
        <v>551</v>
      </c>
      <c r="S5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152822.53606525529</v>
      </c>
      <c r="U551"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1245</v>
      </c>
      <c r="V551" s="111">
        <f>IF(INDEX(TransTypes[],Transactions[[#This Row],[TTR]],TT_COL_GLFlag)=1,Transactions[[#This Row],[CalCashImpact]]+Transactions[[#This Row],[CostImpact]],0)</f>
        <v>0</v>
      </c>
      <c r="W551" s="112">
        <f>Transactions[[#This Row],[Amount]]*INDEX(TransTypes[],Transactions[[#This Row],[TTR]],TT_COL_AmntSign)</f>
        <v>-44.63</v>
      </c>
      <c r="X551" s="112">
        <f>IF(INDEX(TransTypes[],Transactions[[#This Row],[TTR]],TT_COL_LONGORSHORT)="S",
      IF( OR(INDEX(TransTypes[],Transactions[[#This Row],[TTR]],TT_COL_GLFlag)=1, INDEX(TransTypes[], Transactions[[#This Row],[TTR]], TT_COL_ShareTransferFlag)=1),
            Transactions[[#This Row],[CostImpact]]*-1,
            Transactions[[#This Row],[CalCashImpact]]
      ),
     0
)</f>
        <v>0</v>
      </c>
      <c r="Y551" s="113" t="str">
        <f>VLOOKUP(Transactions[[#This Row],[Symbol]],Symbols[], COLUMN(Symbols[Currency])-COLUMN(Symbols[])+1,FALSE)</f>
        <v>USD</v>
      </c>
    </row>
    <row r="552" spans="1:25">
      <c r="A552" s="100" t="s">
        <v>77</v>
      </c>
      <c r="B552" s="101">
        <v>43168</v>
      </c>
      <c r="C552" s="100" t="s">
        <v>113</v>
      </c>
      <c r="D552" s="100" t="s">
        <v>531</v>
      </c>
      <c r="E552" s="100" t="s">
        <v>20</v>
      </c>
      <c r="F552" s="102">
        <v>2</v>
      </c>
      <c r="G552" s="103">
        <v>118.83499999999999</v>
      </c>
      <c r="H552" s="102"/>
      <c r="I552" s="102"/>
      <c r="J552" s="104">
        <v>237.67</v>
      </c>
      <c r="K552" s="6" t="s">
        <v>532</v>
      </c>
      <c r="L552" s="20">
        <f>IF(ISNA(MATCH(Transactions[[#This Row],[TransType]],TransTypes[TransType],0)),1,MATCH(Transactions[[#This Row],[TransType]],TransTypes[TransType],0))</f>
        <v>2</v>
      </c>
      <c r="M552" s="105">
        <f>IF( AND( INDEX(TransTypes[],Transactions[[#This Row],[TTR]],TT_COL_GLFlag)=1, INDEX(TransTypes[],Transactions[[#This Row],[TTR]],TT_COL_LONGORSHORT)="S" ),
      Transactions[[#This Row],[PL]],
      IF(INDEX(TransTypes[],Transactions[[#This Row],[TTR]],TT_COL_LONGORSHORT)="S",0,Transactions[[#This Row],[CalCashImpact]])
)</f>
        <v>-237.67</v>
      </c>
      <c r="N552" s="106">
        <f>IF(VLOOKUP(Transactions[[#This Row],[Symbol]],Symbols[],COLUMN(Symbols[Currency])-COLUMN(Symbols[])+1,FALSE)=
       VLOOKUP(Transactions[[#This Row],[Account]],Accounts[],COLUMN(Accounts[Currency])-COLUMN(Accounts[])+1,FALSE),
     Transactions[[#This Row],[OrigCashImpact]],
     0
)</f>
        <v>-237.67</v>
      </c>
      <c r="O552" s="107">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10733.339999999835</v>
      </c>
      <c r="P552" s="108">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552" s="109">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1247</v>
      </c>
      <c r="R552" s="41">
        <f>ROW()</f>
        <v>552</v>
      </c>
      <c r="S5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237.67</v>
      </c>
      <c r="T5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153060.2060652553</v>
      </c>
      <c r="U552" s="110">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1247</v>
      </c>
      <c r="V552" s="111">
        <f>IF(INDEX(TransTypes[],Transactions[[#This Row],[TTR]],TT_COL_GLFlag)=1,Transactions[[#This Row],[CalCashImpact]]+Transactions[[#This Row],[CostImpact]],0)</f>
        <v>0</v>
      </c>
      <c r="W552" s="112">
        <f>Transactions[[#This Row],[Amount]]*INDEX(TransTypes[],Transactions[[#This Row],[TTR]],TT_COL_AmntSign)</f>
        <v>-237.67</v>
      </c>
      <c r="X552" s="112">
        <f>IF(INDEX(TransTypes[],Transactions[[#This Row],[TTR]],TT_COL_LONGORSHORT)="S",
      IF( OR(INDEX(TransTypes[],Transactions[[#This Row],[TTR]],TT_COL_GLFlag)=1, INDEX(TransTypes[], Transactions[[#This Row],[TTR]], TT_COL_ShareTransferFlag)=1),
            Transactions[[#This Row],[CostImpact]]*-1,
            Transactions[[#This Row],[CalCashImpact]]
      ),
     0
)</f>
        <v>0</v>
      </c>
      <c r="Y552" s="113" t="str">
        <f>VLOOKUP(Transactions[[#This Row],[Symbol]],Symbols[], COLUMN(Symbols[Currency])-COLUMN(Symbols[])+1,FALSE)</f>
        <v>USD</v>
      </c>
    </row>
    <row r="553" spans="1:25">
      <c r="A553" s="119" t="s">
        <v>65</v>
      </c>
      <c r="B553" s="120">
        <v>43181</v>
      </c>
      <c r="C553" s="119" t="s">
        <v>118</v>
      </c>
      <c r="D553" s="119"/>
      <c r="E553" s="119" t="s">
        <v>289</v>
      </c>
      <c r="F553" s="121">
        <v>322</v>
      </c>
      <c r="G553" s="122"/>
      <c r="H553" s="121"/>
      <c r="I553" s="121"/>
      <c r="J553" s="123">
        <v>331.66</v>
      </c>
      <c r="K553" s="6" t="s">
        <v>597</v>
      </c>
      <c r="L553" s="20">
        <f>IF(ISNA(MATCH(Transactions[[#This Row],[TransType]],TransTypes[TransType],0)),1,MATCH(Transactions[[#This Row],[TransType]],TransTypes[TransType],0))</f>
        <v>4</v>
      </c>
      <c r="M553" s="124">
        <f>IF( AND( INDEX(TransTypes[],Transactions[[#This Row],[TTR]],TT_COL_GLFlag)=1, INDEX(TransTypes[],Transactions[[#This Row],[TTR]],TT_COL_LONGORSHORT)="S" ),
      Transactions[[#This Row],[PL]],
      IF(INDEX(TransTypes[],Transactions[[#This Row],[TTR]],TT_COL_LONGORSHORT)="S",0,Transactions[[#This Row],[CalCashImpact]])
)</f>
        <v>331.66</v>
      </c>
      <c r="N553" s="125">
        <f>IF(VLOOKUP(Transactions[[#This Row],[Symbol]],Symbols[],COLUMN(Symbols[Currency])-COLUMN(Symbols[])+1,FALSE)=
       VLOOKUP(Transactions[[#This Row],[Account]],Accounts[],COLUMN(Accounts[Currency])-COLUMN(Accounts[])+1,FALSE),
     Transactions[[#This Row],[OrigCashImpact]],
     0
)</f>
        <v>331.66</v>
      </c>
      <c r="O553" s="12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-5046.1714195920922</v>
      </c>
      <c r="P553" s="12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53" s="12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322</v>
      </c>
      <c r="R553" s="41">
        <f>ROW()</f>
        <v>553</v>
      </c>
      <c r="S5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53407.840000000004</v>
      </c>
      <c r="U553" s="12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322</v>
      </c>
      <c r="V553" s="130">
        <f>IF(INDEX(TransTypes[],Transactions[[#This Row],[TTR]],TT_COL_GLFlag)=1,Transactions[[#This Row],[CalCashImpact]]+Transactions[[#This Row],[CostImpact]],0)</f>
        <v>0</v>
      </c>
      <c r="W553" s="131">
        <f>Transactions[[#This Row],[Amount]]*INDEX(TransTypes[],Transactions[[#This Row],[TTR]],TT_COL_AmntSign)</f>
        <v>331.66</v>
      </c>
      <c r="X553" s="131">
        <f>IF(INDEX(TransTypes[],Transactions[[#This Row],[TTR]],TT_COL_LONGORSHORT)="S",
      IF( OR(INDEX(TransTypes[],Transactions[[#This Row],[TTR]],TT_COL_GLFlag)=1, INDEX(TransTypes[], Transactions[[#This Row],[TTR]], TT_COL_ShareTransferFlag)=1),
            Transactions[[#This Row],[CostImpact]]*-1,
            Transactions[[#This Row],[CalCashImpact]]
      ),
     0
)</f>
        <v>0</v>
      </c>
      <c r="Y553" s="132" t="str">
        <f>VLOOKUP(Transactions[[#This Row],[Symbol]],Symbols[], COLUMN(Symbols[Currency])-COLUMN(Symbols[])+1,FALSE)</f>
        <v>USD</v>
      </c>
    </row>
    <row r="554" spans="1:25">
      <c r="A554" s="119" t="s">
        <v>65</v>
      </c>
      <c r="B554" s="120">
        <v>43181</v>
      </c>
      <c r="C554" s="119" t="s">
        <v>123</v>
      </c>
      <c r="D554" s="119"/>
      <c r="E554" s="119" t="s">
        <v>289</v>
      </c>
      <c r="F554" s="121"/>
      <c r="G554" s="122"/>
      <c r="H554" s="121"/>
      <c r="I554" s="121"/>
      <c r="J554" s="123">
        <v>49.75</v>
      </c>
      <c r="K554" s="6" t="s">
        <v>598</v>
      </c>
      <c r="L554" s="20">
        <f>IF(ISNA(MATCH(Transactions[[#This Row],[TransType]],TransTypes[TransType],0)),1,MATCH(Transactions[[#This Row],[TransType]],TransTypes[TransType],0))</f>
        <v>7</v>
      </c>
      <c r="M554" s="124">
        <f>IF( AND( INDEX(TransTypes[],Transactions[[#This Row],[TTR]],TT_COL_GLFlag)=1, INDEX(TransTypes[],Transactions[[#This Row],[TTR]],TT_COL_LONGORSHORT)="S" ),
      Transactions[[#This Row],[PL]],
      IF(INDEX(TransTypes[],Transactions[[#This Row],[TTR]],TT_COL_LONGORSHORT)="S",0,Transactions[[#This Row],[CalCashImpact]])
)</f>
        <v>-49.75</v>
      </c>
      <c r="N554" s="125">
        <f>IF(VLOOKUP(Transactions[[#This Row],[Symbol]],Symbols[],COLUMN(Symbols[Currency])-COLUMN(Symbols[])+1,FALSE)=
       VLOOKUP(Transactions[[#This Row],[Account]],Accounts[],COLUMN(Accounts[Currency])-COLUMN(Accounts[])+1,FALSE),
     Transactions[[#This Row],[OrigCashImpact]],
     0
)</f>
        <v>-49.75</v>
      </c>
      <c r="O554" s="12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-5095.9214195920922</v>
      </c>
      <c r="P554" s="12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54" s="12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322</v>
      </c>
      <c r="R554" s="41">
        <f>ROW()</f>
        <v>554</v>
      </c>
      <c r="S5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53407.840000000004</v>
      </c>
      <c r="U554" s="12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322</v>
      </c>
      <c r="V554" s="130">
        <f>IF(INDEX(TransTypes[],Transactions[[#This Row],[TTR]],TT_COL_GLFlag)=1,Transactions[[#This Row],[CalCashImpact]]+Transactions[[#This Row],[CostImpact]],0)</f>
        <v>0</v>
      </c>
      <c r="W554" s="131">
        <f>Transactions[[#This Row],[Amount]]*INDEX(TransTypes[],Transactions[[#This Row],[TTR]],TT_COL_AmntSign)</f>
        <v>-49.75</v>
      </c>
      <c r="X554" s="131">
        <f>IF(INDEX(TransTypes[],Transactions[[#This Row],[TTR]],TT_COL_LONGORSHORT)="S",
      IF( OR(INDEX(TransTypes[],Transactions[[#This Row],[TTR]],TT_COL_GLFlag)=1, INDEX(TransTypes[], Transactions[[#This Row],[TTR]], TT_COL_ShareTransferFlag)=1),
            Transactions[[#This Row],[CostImpact]]*-1,
            Transactions[[#This Row],[CalCashImpact]]
      ),
     0
)</f>
        <v>0</v>
      </c>
      <c r="Y554" s="132" t="str">
        <f>VLOOKUP(Transactions[[#This Row],[Symbol]],Symbols[], COLUMN(Symbols[Currency])-COLUMN(Symbols[])+1,FALSE)</f>
        <v>USD</v>
      </c>
    </row>
    <row r="555" spans="1:25">
      <c r="A555" s="119" t="s">
        <v>65</v>
      </c>
      <c r="B555" s="120">
        <v>43187</v>
      </c>
      <c r="C555" s="119" t="s">
        <v>113</v>
      </c>
      <c r="D555" s="119"/>
      <c r="E555" s="119" t="s">
        <v>287</v>
      </c>
      <c r="F555" s="121">
        <v>1000</v>
      </c>
      <c r="G555" s="122">
        <v>153.0505</v>
      </c>
      <c r="H555" s="121">
        <v>4.3</v>
      </c>
      <c r="I555" s="121"/>
      <c r="J555" s="123">
        <v>153054.79999999999</v>
      </c>
      <c r="K555" s="6"/>
      <c r="L555" s="20">
        <f>IF(ISNA(MATCH(Transactions[[#This Row],[TransType]],TransTypes[TransType],0)),1,MATCH(Transactions[[#This Row],[TransType]],TransTypes[TransType],0))</f>
        <v>2</v>
      </c>
      <c r="M555" s="124">
        <f>IF( AND( INDEX(TransTypes[],Transactions[[#This Row],[TTR]],TT_COL_GLFlag)=1, INDEX(TransTypes[],Transactions[[#This Row],[TTR]],TT_COL_LONGORSHORT)="S" ),
      Transactions[[#This Row],[PL]],
      IF(INDEX(TransTypes[],Transactions[[#This Row],[TTR]],TT_COL_LONGORSHORT)="S",0,Transactions[[#This Row],[CalCashImpact]])
)</f>
        <v>-153054.79999999999</v>
      </c>
      <c r="N555" s="125">
        <f>IF(VLOOKUP(Transactions[[#This Row],[Symbol]],Symbols[],COLUMN(Symbols[Currency])-COLUMN(Symbols[])+1,FALSE)=
       VLOOKUP(Transactions[[#This Row],[Account]],Accounts[],COLUMN(Accounts[Currency])-COLUMN(Accounts[])+1,FALSE),
     Transactions[[#This Row],[OrigCashImpact]],
     0
)</f>
        <v>-153054.79999999999</v>
      </c>
      <c r="O555" s="12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-158150.72141959207</v>
      </c>
      <c r="P555" s="12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555" s="12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2302</v>
      </c>
      <c r="R555" s="41">
        <f>ROW()</f>
        <v>555</v>
      </c>
      <c r="S5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153054.79999999999</v>
      </c>
      <c r="T5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387765.82746180962</v>
      </c>
      <c r="U555" s="12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2302</v>
      </c>
      <c r="V555" s="130">
        <f>IF(INDEX(TransTypes[],Transactions[[#This Row],[TTR]],TT_COL_GLFlag)=1,Transactions[[#This Row],[CalCashImpact]]+Transactions[[#This Row],[CostImpact]],0)</f>
        <v>0</v>
      </c>
      <c r="W555" s="131">
        <f>Transactions[[#This Row],[Amount]]*INDEX(TransTypes[],Transactions[[#This Row],[TTR]],TT_COL_AmntSign)</f>
        <v>-153054.79999999999</v>
      </c>
      <c r="X555" s="131">
        <f>IF(INDEX(TransTypes[],Transactions[[#This Row],[TTR]],TT_COL_LONGORSHORT)="S",
      IF( OR(INDEX(TransTypes[],Transactions[[#This Row],[TTR]],TT_COL_GLFlag)=1, INDEX(TransTypes[], Transactions[[#This Row],[TTR]], TT_COL_ShareTransferFlag)=1),
            Transactions[[#This Row],[CostImpact]]*-1,
            Transactions[[#This Row],[CalCashImpact]]
      ),
     0
)</f>
        <v>0</v>
      </c>
      <c r="Y555" s="132" t="str">
        <f>VLOOKUP(Transactions[[#This Row],[Symbol]],Symbols[], COLUMN(Symbols[Currency])-COLUMN(Symbols[])+1,FALSE)</f>
        <v>USD</v>
      </c>
    </row>
    <row r="556" spans="1:25">
      <c r="A556" s="119" t="s">
        <v>82</v>
      </c>
      <c r="B556" s="120">
        <v>43180</v>
      </c>
      <c r="C556" s="119" t="s">
        <v>240</v>
      </c>
      <c r="D556" s="119"/>
      <c r="E556" s="119" t="s">
        <v>211</v>
      </c>
      <c r="F556" s="121"/>
      <c r="G556" s="122"/>
      <c r="H556" s="121"/>
      <c r="I556" s="121"/>
      <c r="J556" s="123">
        <v>116.93</v>
      </c>
      <c r="K556" s="6"/>
      <c r="L556" s="20">
        <f>IF(ISNA(MATCH(Transactions[[#This Row],[TransType]],TransTypes[TransType],0)),1,MATCH(Transactions[[#This Row],[TransType]],TransTypes[TransType],0))</f>
        <v>8</v>
      </c>
      <c r="M556" s="124">
        <f>IF( AND( INDEX(TransTypes[],Transactions[[#This Row],[TTR]],TT_COL_GLFlag)=1, INDEX(TransTypes[],Transactions[[#This Row],[TTR]],TT_COL_LONGORSHORT)="S" ),
      Transactions[[#This Row],[PL]],
      IF(INDEX(TransTypes[],Transactions[[#This Row],[TTR]],TT_COL_LONGORSHORT)="S",0,Transactions[[#This Row],[CalCashImpact]])
)</f>
        <v>116.93</v>
      </c>
      <c r="N556" s="125">
        <f>IF(VLOOKUP(Transactions[[#This Row],[Symbol]],Symbols[],COLUMN(Symbols[Currency])-COLUMN(Symbols[])+1,FALSE)=
       VLOOKUP(Transactions[[#This Row],[Account]],Accounts[],COLUMN(Accounts[Currency])-COLUMN(Accounts[])+1,FALSE),
     Transactions[[#This Row],[OrigCashImpact]],
     0
)</f>
        <v>116.93</v>
      </c>
      <c r="O556" s="12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39809.700000000266</v>
      </c>
      <c r="P556" s="12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56" s="12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56" s="41">
        <f>ROW()</f>
        <v>556</v>
      </c>
      <c r="S5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56" s="12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56" s="130">
        <f>IF(INDEX(TransTypes[],Transactions[[#This Row],[TTR]],TT_COL_GLFlag)=1,Transactions[[#This Row],[CalCashImpact]]+Transactions[[#This Row],[CostImpact]],0)</f>
        <v>0</v>
      </c>
      <c r="W556" s="131">
        <f>Transactions[[#This Row],[Amount]]*INDEX(TransTypes[],Transactions[[#This Row],[TTR]],TT_COL_AmntSign)</f>
        <v>116.93</v>
      </c>
      <c r="X556" s="131">
        <f>IF(INDEX(TransTypes[],Transactions[[#This Row],[TTR]],TT_COL_LONGORSHORT)="S",
      IF( OR(INDEX(TransTypes[],Transactions[[#This Row],[TTR]],TT_COL_GLFlag)=1, INDEX(TransTypes[], Transactions[[#This Row],[TTR]], TT_COL_ShareTransferFlag)=1),
            Transactions[[#This Row],[CostImpact]]*-1,
            Transactions[[#This Row],[CalCashImpact]]
      ),
     0
)</f>
        <v>0</v>
      </c>
      <c r="Y556" s="132" t="str">
        <f>VLOOKUP(Transactions[[#This Row],[Symbol]],Symbols[], COLUMN(Symbols[Currency])-COLUMN(Symbols[])+1,FALSE)</f>
        <v>CNY</v>
      </c>
    </row>
    <row r="557" spans="1:25">
      <c r="A557" s="119" t="s">
        <v>82</v>
      </c>
      <c r="B557" s="120">
        <v>43188</v>
      </c>
      <c r="C557" s="119" t="s">
        <v>121</v>
      </c>
      <c r="D557" s="119"/>
      <c r="E557" s="119" t="s">
        <v>211</v>
      </c>
      <c r="F557" s="121"/>
      <c r="G557" s="122"/>
      <c r="H557" s="121"/>
      <c r="I557" s="121"/>
      <c r="J557" s="123">
        <v>7.15</v>
      </c>
      <c r="K557" s="6" t="s">
        <v>599</v>
      </c>
      <c r="L557" s="20">
        <f>IF(ISNA(MATCH(Transactions[[#This Row],[TransType]],TransTypes[TransType],0)),1,MATCH(Transactions[[#This Row],[TransType]],TransTypes[TransType],0))</f>
        <v>6</v>
      </c>
      <c r="M557" s="124">
        <f>IF( AND( INDEX(TransTypes[],Transactions[[#This Row],[TTR]],TT_COL_GLFlag)=1, INDEX(TransTypes[],Transactions[[#This Row],[TTR]],TT_COL_LONGORSHORT)="S" ),
      Transactions[[#This Row],[PL]],
      IF(INDEX(TransTypes[],Transactions[[#This Row],[TTR]],TT_COL_LONGORSHORT)="S",0,Transactions[[#This Row],[CalCashImpact]])
)</f>
        <v>-7.15</v>
      </c>
      <c r="N557" s="125">
        <f>IF(VLOOKUP(Transactions[[#This Row],[Symbol]],Symbols[],COLUMN(Symbols[Currency])-COLUMN(Symbols[])+1,FALSE)=
       VLOOKUP(Transactions[[#This Row],[Account]],Accounts[],COLUMN(Accounts[Currency])-COLUMN(Accounts[])+1,FALSE),
     Transactions[[#This Row],[OrigCashImpact]],
     0
)</f>
        <v>-7.15</v>
      </c>
      <c r="O557" s="12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39802.549999999967</v>
      </c>
      <c r="P557" s="12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57" s="12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57" s="41">
        <f>ROW()</f>
        <v>557</v>
      </c>
      <c r="S5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57" s="12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57" s="130">
        <f>IF(INDEX(TransTypes[],Transactions[[#This Row],[TTR]],TT_COL_GLFlag)=1,Transactions[[#This Row],[CalCashImpact]]+Transactions[[#This Row],[CostImpact]],0)</f>
        <v>0</v>
      </c>
      <c r="W557" s="131">
        <f>Transactions[[#This Row],[Amount]]*INDEX(TransTypes[],Transactions[[#This Row],[TTR]],TT_COL_AmntSign)</f>
        <v>-7.15</v>
      </c>
      <c r="X557" s="131">
        <f>IF(INDEX(TransTypes[],Transactions[[#This Row],[TTR]],TT_COL_LONGORSHORT)="S",
      IF( OR(INDEX(TransTypes[],Transactions[[#This Row],[TTR]],TT_COL_GLFlag)=1, INDEX(TransTypes[], Transactions[[#This Row],[TTR]], TT_COL_ShareTransferFlag)=1),
            Transactions[[#This Row],[CostImpact]]*-1,
            Transactions[[#This Row],[CalCashImpact]]
      ),
     0
)</f>
        <v>0</v>
      </c>
      <c r="Y557" s="132" t="str">
        <f>VLOOKUP(Transactions[[#This Row],[Symbol]],Symbols[], COLUMN(Symbols[Currency])-COLUMN(Symbols[])+1,FALSE)</f>
        <v>CNY</v>
      </c>
    </row>
    <row r="558" spans="1:25">
      <c r="A558" s="138" t="s">
        <v>600</v>
      </c>
      <c r="B558" s="139">
        <v>42196</v>
      </c>
      <c r="C558" s="138" t="s">
        <v>113</v>
      </c>
      <c r="D558" s="138"/>
      <c r="E558" s="140" t="s">
        <v>629</v>
      </c>
      <c r="F558" s="141">
        <v>1000</v>
      </c>
      <c r="G558" s="142">
        <v>1</v>
      </c>
      <c r="H558" s="141">
        <v>0</v>
      </c>
      <c r="I558" s="141"/>
      <c r="J558" s="143">
        <v>1000</v>
      </c>
      <c r="K558" s="6"/>
      <c r="L558" s="20">
        <f>IF(ISNA(MATCH(Transactions[[#This Row],[TransType]],TransTypes[TransType],0)),1,MATCH(Transactions[[#This Row],[TransType]],TransTypes[TransType],0))</f>
        <v>2</v>
      </c>
      <c r="M558" s="144">
        <f>IF( AND( INDEX(TransTypes[],Transactions[[#This Row],[TTR]],TT_COL_GLFlag)=1, INDEX(TransTypes[],Transactions[[#This Row],[TTR]],TT_COL_LONGORSHORT)="S" ),
      Transactions[[#This Row],[PL]],
      IF(INDEX(TransTypes[],Transactions[[#This Row],[TTR]],TT_COL_LONGORSHORT)="S",0,Transactions[[#This Row],[CalCashImpact]])
)</f>
        <v>-1000</v>
      </c>
      <c r="N558" s="145">
        <f>IF(VLOOKUP(Transactions[[#This Row],[Symbol]],Symbols[],COLUMN(Symbols[Currency])-COLUMN(Symbols[])+1,FALSE)=
       VLOOKUP(Transactions[[#This Row],[Account]],Accounts[],COLUMN(Accounts[Currency])-COLUMN(Accounts[])+1,FALSE),
     Transactions[[#This Row],[OrigCashImpact]],
     0
)</f>
        <v>-1000</v>
      </c>
      <c r="O55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v>
      </c>
      <c r="P55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55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558" s="41">
        <f>ROW()</f>
        <v>558</v>
      </c>
      <c r="S5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v>
      </c>
      <c r="T5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1000</v>
      </c>
      <c r="U55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558" s="150">
        <f>IF(INDEX(TransTypes[],Transactions[[#This Row],[TTR]],TT_COL_GLFlag)=1,Transactions[[#This Row],[CalCashImpact]]+Transactions[[#This Row],[CostImpact]],0)</f>
        <v>0</v>
      </c>
      <c r="W558" s="151">
        <f>Transactions[[#This Row],[Amount]]*INDEX(TransTypes[],Transactions[[#This Row],[TTR]],TT_COL_AmntSign)</f>
        <v>-1000</v>
      </c>
      <c r="X558" s="151">
        <f>IF(INDEX(TransTypes[],Transactions[[#This Row],[TTR]],TT_COL_LONGORSHORT)="S",
      IF( OR(INDEX(TransTypes[],Transactions[[#This Row],[TTR]],TT_COL_GLFlag)=1, INDEX(TransTypes[], Transactions[[#This Row],[TTR]], TT_COL_ShareTransferFlag)=1),
            Transactions[[#This Row],[CostImpact]]*-1,
            Transactions[[#This Row],[CalCashImpact]]
      ),
     0
)</f>
        <v>0</v>
      </c>
      <c r="Y558" s="152" t="str">
        <f>VLOOKUP(Transactions[[#This Row],[Symbol]],Symbols[], COLUMN(Symbols[Currency])-COLUMN(Symbols[])+1,FALSE)</f>
        <v>CNY</v>
      </c>
    </row>
    <row r="559" spans="1:25">
      <c r="A559" s="138" t="s">
        <v>600</v>
      </c>
      <c r="B559" s="139">
        <v>42196</v>
      </c>
      <c r="C559" s="138" t="s">
        <v>112</v>
      </c>
      <c r="D559" s="138"/>
      <c r="E559" s="140" t="s">
        <v>211</v>
      </c>
      <c r="F559" s="141"/>
      <c r="G559" s="142"/>
      <c r="H559" s="141"/>
      <c r="I559" s="141"/>
      <c r="J559" s="143">
        <v>1000</v>
      </c>
      <c r="K559" s="6"/>
      <c r="L559" s="20">
        <f>IF(ISNA(MATCH(Transactions[[#This Row],[TransType]],TransTypes[TransType],0)),1,MATCH(Transactions[[#This Row],[TransType]],TransTypes[TransType],0))</f>
        <v>1</v>
      </c>
      <c r="M559" s="144">
        <f>IF( AND( INDEX(TransTypes[],Transactions[[#This Row],[TTR]],TT_COL_GLFlag)=1, INDEX(TransTypes[],Transactions[[#This Row],[TTR]],TT_COL_LONGORSHORT)="S" ),
      Transactions[[#This Row],[PL]],
      IF(INDEX(TransTypes[],Transactions[[#This Row],[TTR]],TT_COL_LONGORSHORT)="S",0,Transactions[[#This Row],[CalCashImpact]])
)</f>
        <v>1000</v>
      </c>
      <c r="N559" s="145">
        <f>IF(VLOOKUP(Transactions[[#This Row],[Symbol]],Symbols[],COLUMN(Symbols[Currency])-COLUMN(Symbols[])+1,FALSE)=
       VLOOKUP(Transactions[[#This Row],[Account]],Accounts[],COLUMN(Accounts[Currency])-COLUMN(Accounts[])+1,FALSE),
     Transactions[[#This Row],[OrigCashImpact]],
     0
)</f>
        <v>1000</v>
      </c>
      <c r="O55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5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5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59" s="41">
        <f>ROW()</f>
        <v>559</v>
      </c>
      <c r="S5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5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59" s="150">
        <f>IF(INDEX(TransTypes[],Transactions[[#This Row],[TTR]],TT_COL_GLFlag)=1,Transactions[[#This Row],[CalCashImpact]]+Transactions[[#This Row],[CostImpact]],0)</f>
        <v>0</v>
      </c>
      <c r="W559" s="151">
        <f>Transactions[[#This Row],[Amount]]*INDEX(TransTypes[],Transactions[[#This Row],[TTR]],TT_COL_AmntSign)</f>
        <v>1000</v>
      </c>
      <c r="X559" s="151">
        <f>IF(INDEX(TransTypes[],Transactions[[#This Row],[TTR]],TT_COL_LONGORSHORT)="S",
      IF( OR(INDEX(TransTypes[],Transactions[[#This Row],[TTR]],TT_COL_GLFlag)=1, INDEX(TransTypes[], Transactions[[#This Row],[TTR]], TT_COL_ShareTransferFlag)=1),
            Transactions[[#This Row],[CostImpact]]*-1,
            Transactions[[#This Row],[CalCashImpact]]
      ),
     0
)</f>
        <v>0</v>
      </c>
      <c r="Y559" s="152" t="str">
        <f>VLOOKUP(Transactions[[#This Row],[Symbol]],Symbols[], COLUMN(Symbols[Currency])-COLUMN(Symbols[])+1,FALSE)</f>
        <v>CNY</v>
      </c>
    </row>
    <row r="560" spans="1:25">
      <c r="A560" s="138" t="s">
        <v>600</v>
      </c>
      <c r="B560" s="139">
        <v>42206</v>
      </c>
      <c r="C560" s="138" t="s">
        <v>119</v>
      </c>
      <c r="D560" s="138"/>
      <c r="E560" s="140" t="s">
        <v>211</v>
      </c>
      <c r="F560" s="141"/>
      <c r="G560" s="142"/>
      <c r="H560" s="141"/>
      <c r="I560" s="141"/>
      <c r="J560" s="143">
        <v>500</v>
      </c>
      <c r="K560" s="6"/>
      <c r="L560" s="20">
        <f>IF(ISNA(MATCH(Transactions[[#This Row],[TransType]],TransTypes[TransType],0)),1,MATCH(Transactions[[#This Row],[TransType]],TransTypes[TransType],0))</f>
        <v>5</v>
      </c>
      <c r="M560" s="144">
        <f>IF( AND( INDEX(TransTypes[],Transactions[[#This Row],[TTR]],TT_COL_GLFlag)=1, INDEX(TransTypes[],Transactions[[#This Row],[TTR]],TT_COL_LONGORSHORT)="S" ),
      Transactions[[#This Row],[PL]],
      IF(INDEX(TransTypes[],Transactions[[#This Row],[TTR]],TT_COL_LONGORSHORT)="S",0,Transactions[[#This Row],[CalCashImpact]])
)</f>
        <v>-500</v>
      </c>
      <c r="N560" s="145">
        <f>IF(VLOOKUP(Transactions[[#This Row],[Symbol]],Symbols[],COLUMN(Symbols[Currency])-COLUMN(Symbols[])+1,FALSE)=
       VLOOKUP(Transactions[[#This Row],[Account]],Accounts[],COLUMN(Accounts[Currency])-COLUMN(Accounts[])+1,FALSE),
     Transactions[[#This Row],[OrigCashImpact]],
     0
)</f>
        <v>-500</v>
      </c>
      <c r="O56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-500</v>
      </c>
      <c r="P56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6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60" s="41">
        <f>ROW()</f>
        <v>560</v>
      </c>
      <c r="S5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6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60" s="150">
        <f>IF(INDEX(TransTypes[],Transactions[[#This Row],[TTR]],TT_COL_GLFlag)=1,Transactions[[#This Row],[CalCashImpact]]+Transactions[[#This Row],[CostImpact]],0)</f>
        <v>0</v>
      </c>
      <c r="W560" s="151">
        <f>Transactions[[#This Row],[Amount]]*INDEX(TransTypes[],Transactions[[#This Row],[TTR]],TT_COL_AmntSign)</f>
        <v>-500</v>
      </c>
      <c r="X560" s="151">
        <f>IF(INDEX(TransTypes[],Transactions[[#This Row],[TTR]],TT_COL_LONGORSHORT)="S",
      IF( OR(INDEX(TransTypes[],Transactions[[#This Row],[TTR]],TT_COL_GLFlag)=1, INDEX(TransTypes[], Transactions[[#This Row],[TTR]], TT_COL_ShareTransferFlag)=1),
            Transactions[[#This Row],[CostImpact]]*-1,
            Transactions[[#This Row],[CalCashImpact]]
      ),
     0
)</f>
        <v>0</v>
      </c>
      <c r="Y560" s="152" t="str">
        <f>VLOOKUP(Transactions[[#This Row],[Symbol]],Symbols[], COLUMN(Symbols[Currency])-COLUMN(Symbols[])+1,FALSE)</f>
        <v>CNY</v>
      </c>
    </row>
    <row r="561" spans="1:25">
      <c r="A561" s="138" t="s">
        <v>600</v>
      </c>
      <c r="B561" s="139">
        <v>42206</v>
      </c>
      <c r="C561" s="138" t="s">
        <v>115</v>
      </c>
      <c r="D561" s="138"/>
      <c r="E561" s="140" t="s">
        <v>629</v>
      </c>
      <c r="F561" s="141">
        <v>500</v>
      </c>
      <c r="G561" s="142">
        <v>1</v>
      </c>
      <c r="H561" s="141">
        <v>0</v>
      </c>
      <c r="I561" s="141"/>
      <c r="J561" s="143">
        <v>500</v>
      </c>
      <c r="K561" s="6"/>
      <c r="L561" s="20">
        <f>IF(ISNA(MATCH(Transactions[[#This Row],[TransType]],TransTypes[TransType],0)),1,MATCH(Transactions[[#This Row],[TransType]],TransTypes[TransType],0))</f>
        <v>3</v>
      </c>
      <c r="M561" s="144">
        <f>IF( AND( INDEX(TransTypes[],Transactions[[#This Row],[TTR]],TT_COL_GLFlag)=1, INDEX(TransTypes[],Transactions[[#This Row],[TTR]],TT_COL_LONGORSHORT)="S" ),
      Transactions[[#This Row],[PL]],
      IF(INDEX(TransTypes[],Transactions[[#This Row],[TTR]],TT_COL_LONGORSHORT)="S",0,Transactions[[#This Row],[CalCashImpact]])
)</f>
        <v>500</v>
      </c>
      <c r="N561" s="145">
        <f>IF(VLOOKUP(Transactions[[#This Row],[Symbol]],Symbols[],COLUMN(Symbols[Currency])-COLUMN(Symbols[])+1,FALSE)=
       VLOOKUP(Transactions[[#This Row],[Account]],Accounts[],COLUMN(Accounts[Currency])-COLUMN(Accounts[])+1,FALSE),
     Transactions[[#This Row],[OrigCashImpact]],
     0
)</f>
        <v>500</v>
      </c>
      <c r="O56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6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56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561" s="41">
        <f>ROW()</f>
        <v>561</v>
      </c>
      <c r="S5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v>
      </c>
      <c r="T5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500</v>
      </c>
      <c r="U56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561" s="150">
        <f>IF(INDEX(TransTypes[],Transactions[[#This Row],[TTR]],TT_COL_GLFlag)=1,Transactions[[#This Row],[CalCashImpact]]+Transactions[[#This Row],[CostImpact]],0)</f>
        <v>0</v>
      </c>
      <c r="W561" s="151">
        <f>Transactions[[#This Row],[Amount]]*INDEX(TransTypes[],Transactions[[#This Row],[TTR]],TT_COL_AmntSign)</f>
        <v>500</v>
      </c>
      <c r="X561" s="151">
        <f>IF(INDEX(TransTypes[],Transactions[[#This Row],[TTR]],TT_COL_LONGORSHORT)="S",
      IF( OR(INDEX(TransTypes[],Transactions[[#This Row],[TTR]],TT_COL_GLFlag)=1, INDEX(TransTypes[], Transactions[[#This Row],[TTR]], TT_COL_ShareTransferFlag)=1),
            Transactions[[#This Row],[CostImpact]]*-1,
            Transactions[[#This Row],[CalCashImpact]]
      ),
     0
)</f>
        <v>0</v>
      </c>
      <c r="Y561" s="152" t="str">
        <f>VLOOKUP(Transactions[[#This Row],[Symbol]],Symbols[], COLUMN(Symbols[Currency])-COLUMN(Symbols[])+1,FALSE)</f>
        <v>CNY</v>
      </c>
    </row>
    <row r="562" spans="1:25">
      <c r="A562" s="138" t="s">
        <v>600</v>
      </c>
      <c r="B562" s="139">
        <v>42208</v>
      </c>
      <c r="C562" s="138" t="s">
        <v>113</v>
      </c>
      <c r="D562" s="138"/>
      <c r="E562" s="140" t="s">
        <v>617</v>
      </c>
      <c r="F562" s="141">
        <v>560504.18999999994</v>
      </c>
      <c r="G562" s="142">
        <v>1.7700000066011901</v>
      </c>
      <c r="H562" s="141">
        <v>7907.58</v>
      </c>
      <c r="I562" s="141"/>
      <c r="J562" s="143">
        <v>1000000</v>
      </c>
      <c r="K562" s="6"/>
      <c r="L562" s="20">
        <f>IF(ISNA(MATCH(Transactions[[#This Row],[TransType]],TransTypes[TransType],0)),1,MATCH(Transactions[[#This Row],[TransType]],TransTypes[TransType],0))</f>
        <v>2</v>
      </c>
      <c r="M562" s="144">
        <f>IF( AND( INDEX(TransTypes[],Transactions[[#This Row],[TTR]],TT_COL_GLFlag)=1, INDEX(TransTypes[],Transactions[[#This Row],[TTR]],TT_COL_LONGORSHORT)="S" ),
      Transactions[[#This Row],[PL]],
      IF(INDEX(TransTypes[],Transactions[[#This Row],[TTR]],TT_COL_LONGORSHORT)="S",0,Transactions[[#This Row],[CalCashImpact]])
)</f>
        <v>-1000000</v>
      </c>
      <c r="N562" s="145">
        <f>IF(VLOOKUP(Transactions[[#This Row],[Symbol]],Symbols[],COLUMN(Symbols[Currency])-COLUMN(Symbols[])+1,FALSE)=
       VLOOKUP(Transactions[[#This Row],[Account]],Accounts[],COLUMN(Accounts[Currency])-COLUMN(Accounts[])+1,FALSE),
     Transactions[[#This Row],[OrigCashImpact]],
     0
)</f>
        <v>-1000000</v>
      </c>
      <c r="O56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v>
      </c>
      <c r="P56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560504.18999999994</v>
      </c>
      <c r="Q56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560504.18999999994</v>
      </c>
      <c r="R562" s="41">
        <f>ROW()</f>
        <v>562</v>
      </c>
      <c r="S5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1000000</v>
      </c>
      <c r="T5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1000000</v>
      </c>
      <c r="U56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560504.18999999994</v>
      </c>
      <c r="V562" s="150">
        <f>IF(INDEX(TransTypes[],Transactions[[#This Row],[TTR]],TT_COL_GLFlag)=1,Transactions[[#This Row],[CalCashImpact]]+Transactions[[#This Row],[CostImpact]],0)</f>
        <v>0</v>
      </c>
      <c r="W562" s="151">
        <f>Transactions[[#This Row],[Amount]]*INDEX(TransTypes[],Transactions[[#This Row],[TTR]],TT_COL_AmntSign)</f>
        <v>-1000000</v>
      </c>
      <c r="X562" s="151">
        <f>IF(INDEX(TransTypes[],Transactions[[#This Row],[TTR]],TT_COL_LONGORSHORT)="S",
      IF( OR(INDEX(TransTypes[],Transactions[[#This Row],[TTR]],TT_COL_GLFlag)=1, INDEX(TransTypes[], Transactions[[#This Row],[TTR]], TT_COL_ShareTransferFlag)=1),
            Transactions[[#This Row],[CostImpact]]*-1,
            Transactions[[#This Row],[CalCashImpact]]
      ),
     0
)</f>
        <v>0</v>
      </c>
      <c r="Y562" s="152" t="str">
        <f>VLOOKUP(Transactions[[#This Row],[Symbol]],Symbols[], COLUMN(Symbols[Currency])-COLUMN(Symbols[])+1,FALSE)</f>
        <v>CNY</v>
      </c>
    </row>
    <row r="563" spans="1:25">
      <c r="A563" s="138" t="s">
        <v>600</v>
      </c>
      <c r="B563" s="139">
        <v>42208</v>
      </c>
      <c r="C563" s="138" t="s">
        <v>113</v>
      </c>
      <c r="D563" s="138"/>
      <c r="E563" s="140" t="s">
        <v>614</v>
      </c>
      <c r="F563" s="141">
        <v>353623.55</v>
      </c>
      <c r="G563" s="142">
        <v>2.8100000127253901</v>
      </c>
      <c r="H563" s="141">
        <v>6317.82</v>
      </c>
      <c r="I563" s="141"/>
      <c r="J563" s="143">
        <v>1000000</v>
      </c>
      <c r="K563" s="6"/>
      <c r="L563" s="20">
        <f>IF(ISNA(MATCH(Transactions[[#This Row],[TransType]],TransTypes[TransType],0)),1,MATCH(Transactions[[#This Row],[TransType]],TransTypes[TransType],0))</f>
        <v>2</v>
      </c>
      <c r="M563" s="144">
        <f>IF( AND( INDEX(TransTypes[],Transactions[[#This Row],[TTR]],TT_COL_GLFlag)=1, INDEX(TransTypes[],Transactions[[#This Row],[TTR]],TT_COL_LONGORSHORT)="S" ),
      Transactions[[#This Row],[PL]],
      IF(INDEX(TransTypes[],Transactions[[#This Row],[TTR]],TT_COL_LONGORSHORT)="S",0,Transactions[[#This Row],[CalCashImpact]])
)</f>
        <v>-1000000</v>
      </c>
      <c r="N563" s="145">
        <f>IF(VLOOKUP(Transactions[[#This Row],[Symbol]],Symbols[],COLUMN(Symbols[Currency])-COLUMN(Symbols[])+1,FALSE)=
       VLOOKUP(Transactions[[#This Row],[Account]],Accounts[],COLUMN(Accounts[Currency])-COLUMN(Accounts[])+1,FALSE),
     Transactions[[#This Row],[OrigCashImpact]],
     0
)</f>
        <v>-1000000</v>
      </c>
      <c r="O56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-2000000</v>
      </c>
      <c r="P56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353623.55</v>
      </c>
      <c r="Q56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353623.55</v>
      </c>
      <c r="R563" s="41">
        <f>ROW()</f>
        <v>563</v>
      </c>
      <c r="S5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1000000</v>
      </c>
      <c r="T5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1000000</v>
      </c>
      <c r="U56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353623.55</v>
      </c>
      <c r="V563" s="150">
        <f>IF(INDEX(TransTypes[],Transactions[[#This Row],[TTR]],TT_COL_GLFlag)=1,Transactions[[#This Row],[CalCashImpact]]+Transactions[[#This Row],[CostImpact]],0)</f>
        <v>0</v>
      </c>
      <c r="W563" s="151">
        <f>Transactions[[#This Row],[Amount]]*INDEX(TransTypes[],Transactions[[#This Row],[TTR]],TT_COL_AmntSign)</f>
        <v>-1000000</v>
      </c>
      <c r="X563" s="151">
        <f>IF(INDEX(TransTypes[],Transactions[[#This Row],[TTR]],TT_COL_LONGORSHORT)="S",
      IF( OR(INDEX(TransTypes[],Transactions[[#This Row],[TTR]],TT_COL_GLFlag)=1, INDEX(TransTypes[], Transactions[[#This Row],[TTR]], TT_COL_ShareTransferFlag)=1),
            Transactions[[#This Row],[CostImpact]]*-1,
            Transactions[[#This Row],[CalCashImpact]]
      ),
     0
)</f>
        <v>0</v>
      </c>
      <c r="Y563" s="152" t="str">
        <f>VLOOKUP(Transactions[[#This Row],[Symbol]],Symbols[], COLUMN(Symbols[Currency])-COLUMN(Symbols[])+1,FALSE)</f>
        <v>CNY</v>
      </c>
    </row>
    <row r="564" spans="1:25">
      <c r="A564" s="138" t="s">
        <v>600</v>
      </c>
      <c r="B564" s="139">
        <v>42208</v>
      </c>
      <c r="C564" s="138" t="s">
        <v>112</v>
      </c>
      <c r="D564" s="138"/>
      <c r="E564" s="140" t="s">
        <v>211</v>
      </c>
      <c r="F564" s="141"/>
      <c r="G564" s="142"/>
      <c r="H564" s="141"/>
      <c r="I564" s="141"/>
      <c r="J564" s="143">
        <v>2000000</v>
      </c>
      <c r="K564" s="6"/>
      <c r="L564" s="20">
        <f>IF(ISNA(MATCH(Transactions[[#This Row],[TransType]],TransTypes[TransType],0)),1,MATCH(Transactions[[#This Row],[TransType]],TransTypes[TransType],0))</f>
        <v>1</v>
      </c>
      <c r="M564" s="144">
        <f>IF( AND( INDEX(TransTypes[],Transactions[[#This Row],[TTR]],TT_COL_GLFlag)=1, INDEX(TransTypes[],Transactions[[#This Row],[TTR]],TT_COL_LONGORSHORT)="S" ),
      Transactions[[#This Row],[PL]],
      IF(INDEX(TransTypes[],Transactions[[#This Row],[TTR]],TT_COL_LONGORSHORT)="S",0,Transactions[[#This Row],[CalCashImpact]])
)</f>
        <v>2000000</v>
      </c>
      <c r="N564" s="145">
        <f>IF(VLOOKUP(Transactions[[#This Row],[Symbol]],Symbols[],COLUMN(Symbols[Currency])-COLUMN(Symbols[])+1,FALSE)=
       VLOOKUP(Transactions[[#This Row],[Account]],Accounts[],COLUMN(Accounts[Currency])-COLUMN(Accounts[])+1,FALSE),
     Transactions[[#This Row],[OrigCashImpact]],
     0
)</f>
        <v>2000000</v>
      </c>
      <c r="O56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6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6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64" s="41">
        <f>ROW()</f>
        <v>564</v>
      </c>
      <c r="S5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6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64" s="150">
        <f>IF(INDEX(TransTypes[],Transactions[[#This Row],[TTR]],TT_COL_GLFlag)=1,Transactions[[#This Row],[CalCashImpact]]+Transactions[[#This Row],[CostImpact]],0)</f>
        <v>0</v>
      </c>
      <c r="W564" s="151">
        <f>Transactions[[#This Row],[Amount]]*INDEX(TransTypes[],Transactions[[#This Row],[TTR]],TT_COL_AmntSign)</f>
        <v>2000000</v>
      </c>
      <c r="X564" s="151">
        <f>IF(INDEX(TransTypes[],Transactions[[#This Row],[TTR]],TT_COL_LONGORSHORT)="S",
      IF( OR(INDEX(TransTypes[],Transactions[[#This Row],[TTR]],TT_COL_GLFlag)=1, INDEX(TransTypes[], Transactions[[#This Row],[TTR]], TT_COL_ShareTransferFlag)=1),
            Transactions[[#This Row],[CostImpact]]*-1,
            Transactions[[#This Row],[CalCashImpact]]
      ),
     0
)</f>
        <v>0</v>
      </c>
      <c r="Y564" s="152" t="str">
        <f>VLOOKUP(Transactions[[#This Row],[Symbol]],Symbols[], COLUMN(Symbols[Currency])-COLUMN(Symbols[])+1,FALSE)</f>
        <v>CNY</v>
      </c>
    </row>
    <row r="565" spans="1:25">
      <c r="A565" s="138" t="s">
        <v>600</v>
      </c>
      <c r="B565" s="139">
        <v>42209</v>
      </c>
      <c r="C565" s="138" t="s">
        <v>119</v>
      </c>
      <c r="D565" s="138"/>
      <c r="E565" s="140" t="s">
        <v>211</v>
      </c>
      <c r="F565" s="141"/>
      <c r="G565" s="142"/>
      <c r="H565" s="141"/>
      <c r="I565" s="141"/>
      <c r="J565" s="143">
        <v>162546.22</v>
      </c>
      <c r="K565" s="6"/>
      <c r="L565" s="20">
        <f>IF(ISNA(MATCH(Transactions[[#This Row],[TransType]],TransTypes[TransType],0)),1,MATCH(Transactions[[#This Row],[TransType]],TransTypes[TransType],0))</f>
        <v>5</v>
      </c>
      <c r="M565" s="144">
        <f>IF( AND( INDEX(TransTypes[],Transactions[[#This Row],[TTR]],TT_COL_GLFlag)=1, INDEX(TransTypes[],Transactions[[#This Row],[TTR]],TT_COL_LONGORSHORT)="S" ),
      Transactions[[#This Row],[PL]],
      IF(INDEX(TransTypes[],Transactions[[#This Row],[TTR]],TT_COL_LONGORSHORT)="S",0,Transactions[[#This Row],[CalCashImpact]])
)</f>
        <v>-162546.22</v>
      </c>
      <c r="N565" s="145">
        <f>IF(VLOOKUP(Transactions[[#This Row],[Symbol]],Symbols[],COLUMN(Symbols[Currency])-COLUMN(Symbols[])+1,FALSE)=
       VLOOKUP(Transactions[[#This Row],[Account]],Accounts[],COLUMN(Accounts[Currency])-COLUMN(Accounts[])+1,FALSE),
     Transactions[[#This Row],[OrigCashImpact]],
     0
)</f>
        <v>-162546.22</v>
      </c>
      <c r="O56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-162546.22</v>
      </c>
      <c r="P56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6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65" s="41">
        <f>ROW()</f>
        <v>565</v>
      </c>
      <c r="S5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6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65" s="150">
        <f>IF(INDEX(TransTypes[],Transactions[[#This Row],[TTR]],TT_COL_GLFlag)=1,Transactions[[#This Row],[CalCashImpact]]+Transactions[[#This Row],[CostImpact]],0)</f>
        <v>0</v>
      </c>
      <c r="W565" s="151">
        <f>Transactions[[#This Row],[Amount]]*INDEX(TransTypes[],Transactions[[#This Row],[TTR]],TT_COL_AmntSign)</f>
        <v>-162546.22</v>
      </c>
      <c r="X565" s="151">
        <f>IF(INDEX(TransTypes[],Transactions[[#This Row],[TTR]],TT_COL_LONGORSHORT)="S",
      IF( OR(INDEX(TransTypes[],Transactions[[#This Row],[TTR]],TT_COL_GLFlag)=1, INDEX(TransTypes[], Transactions[[#This Row],[TTR]], TT_COL_ShareTransferFlag)=1),
            Transactions[[#This Row],[CostImpact]]*-1,
            Transactions[[#This Row],[CalCashImpact]]
      ),
     0
)</f>
        <v>0</v>
      </c>
      <c r="Y565" s="152" t="str">
        <f>VLOOKUP(Transactions[[#This Row],[Symbol]],Symbols[], COLUMN(Symbols[Currency])-COLUMN(Symbols[])+1,FALSE)</f>
        <v>CNY</v>
      </c>
    </row>
    <row r="566" spans="1:25">
      <c r="A566" s="138" t="s">
        <v>600</v>
      </c>
      <c r="B566" s="139">
        <v>42209</v>
      </c>
      <c r="C566" s="138" t="s">
        <v>118</v>
      </c>
      <c r="D566" s="138"/>
      <c r="E566" s="140" t="s">
        <v>617</v>
      </c>
      <c r="F566" s="141"/>
      <c r="G566" s="142"/>
      <c r="H566" s="141"/>
      <c r="I566" s="141"/>
      <c r="J566" s="143">
        <v>162546.22</v>
      </c>
      <c r="K566" s="6"/>
      <c r="L566" s="20">
        <f>IF(ISNA(MATCH(Transactions[[#This Row],[TransType]],TransTypes[TransType],0)),1,MATCH(Transactions[[#This Row],[TransType]],TransTypes[TransType],0))</f>
        <v>4</v>
      </c>
      <c r="M566" s="144">
        <f>IF( AND( INDEX(TransTypes[],Transactions[[#This Row],[TTR]],TT_COL_GLFlag)=1, INDEX(TransTypes[],Transactions[[#This Row],[TTR]],TT_COL_LONGORSHORT)="S" ),
      Transactions[[#This Row],[PL]],
      IF(INDEX(TransTypes[],Transactions[[#This Row],[TTR]],TT_COL_LONGORSHORT)="S",0,Transactions[[#This Row],[CalCashImpact]])
)</f>
        <v>162546.22</v>
      </c>
      <c r="N566" s="145">
        <f>IF(VLOOKUP(Transactions[[#This Row],[Symbol]],Symbols[],COLUMN(Symbols[Currency])-COLUMN(Symbols[])+1,FALSE)=
       VLOOKUP(Transactions[[#This Row],[Account]],Accounts[],COLUMN(Accounts[Currency])-COLUMN(Accounts[])+1,FALSE),
     Transactions[[#This Row],[OrigCashImpact]],
     0
)</f>
        <v>162546.22</v>
      </c>
      <c r="O56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6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6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560504.18999999994</v>
      </c>
      <c r="R566" s="41">
        <f>ROW()</f>
        <v>566</v>
      </c>
      <c r="S5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1000000</v>
      </c>
      <c r="U56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560504.18999999994</v>
      </c>
      <c r="V566" s="150">
        <f>IF(INDEX(TransTypes[],Transactions[[#This Row],[TTR]],TT_COL_GLFlag)=1,Transactions[[#This Row],[CalCashImpact]]+Transactions[[#This Row],[CostImpact]],0)</f>
        <v>0</v>
      </c>
      <c r="W566" s="151">
        <f>Transactions[[#This Row],[Amount]]*INDEX(TransTypes[],Transactions[[#This Row],[TTR]],TT_COL_AmntSign)</f>
        <v>162546.22</v>
      </c>
      <c r="X566" s="151">
        <f>IF(INDEX(TransTypes[],Transactions[[#This Row],[TTR]],TT_COL_LONGORSHORT)="S",
      IF( OR(INDEX(TransTypes[],Transactions[[#This Row],[TTR]],TT_COL_GLFlag)=1, INDEX(TransTypes[], Transactions[[#This Row],[TTR]], TT_COL_ShareTransferFlag)=1),
            Transactions[[#This Row],[CostImpact]]*-1,
            Transactions[[#This Row],[CalCashImpact]]
      ),
     0
)</f>
        <v>0</v>
      </c>
      <c r="Y566" s="152" t="str">
        <f>VLOOKUP(Transactions[[#This Row],[Symbol]],Symbols[], COLUMN(Symbols[Currency])-COLUMN(Symbols[])+1,FALSE)</f>
        <v>CNY</v>
      </c>
    </row>
    <row r="567" spans="1:25">
      <c r="A567" s="138" t="s">
        <v>600</v>
      </c>
      <c r="B567" s="139">
        <v>42210</v>
      </c>
      <c r="C567" s="138" t="s">
        <v>113</v>
      </c>
      <c r="D567" s="138"/>
      <c r="E567" s="140" t="s">
        <v>629</v>
      </c>
      <c r="F567" s="141">
        <v>162546.22</v>
      </c>
      <c r="G567" s="142">
        <v>1</v>
      </c>
      <c r="H567" s="141">
        <v>0</v>
      </c>
      <c r="I567" s="141"/>
      <c r="J567" s="143">
        <v>162546.22</v>
      </c>
      <c r="K567" s="6"/>
      <c r="L567" s="20">
        <f>IF(ISNA(MATCH(Transactions[[#This Row],[TransType]],TransTypes[TransType],0)),1,MATCH(Transactions[[#This Row],[TransType]],TransTypes[TransType],0))</f>
        <v>2</v>
      </c>
      <c r="M567" s="144">
        <f>IF( AND( INDEX(TransTypes[],Transactions[[#This Row],[TTR]],TT_COL_GLFlag)=1, INDEX(TransTypes[],Transactions[[#This Row],[TTR]],TT_COL_LONGORSHORT)="S" ),
      Transactions[[#This Row],[PL]],
      IF(INDEX(TransTypes[],Transactions[[#This Row],[TTR]],TT_COL_LONGORSHORT)="S",0,Transactions[[#This Row],[CalCashImpact]])
)</f>
        <v>-162546.22</v>
      </c>
      <c r="N567" s="145">
        <f>IF(VLOOKUP(Transactions[[#This Row],[Symbol]],Symbols[],COLUMN(Symbols[Currency])-COLUMN(Symbols[])+1,FALSE)=
       VLOOKUP(Transactions[[#This Row],[Account]],Accounts[],COLUMN(Accounts[Currency])-COLUMN(Accounts[])+1,FALSE),
     Transactions[[#This Row],[OrigCashImpact]],
     0
)</f>
        <v>-162546.22</v>
      </c>
      <c r="O56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-162546.22</v>
      </c>
      <c r="P56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162546.22</v>
      </c>
      <c r="Q56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163046.22</v>
      </c>
      <c r="R567" s="41">
        <f>ROW()</f>
        <v>567</v>
      </c>
      <c r="S5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162546.22</v>
      </c>
      <c r="T5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163046.22</v>
      </c>
      <c r="U56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163046.22</v>
      </c>
      <c r="V567" s="150">
        <f>IF(INDEX(TransTypes[],Transactions[[#This Row],[TTR]],TT_COL_GLFlag)=1,Transactions[[#This Row],[CalCashImpact]]+Transactions[[#This Row],[CostImpact]],0)</f>
        <v>0</v>
      </c>
      <c r="W567" s="151">
        <f>Transactions[[#This Row],[Amount]]*INDEX(TransTypes[],Transactions[[#This Row],[TTR]],TT_COL_AmntSign)</f>
        <v>-162546.22</v>
      </c>
      <c r="X567" s="151">
        <f>IF(INDEX(TransTypes[],Transactions[[#This Row],[TTR]],TT_COL_LONGORSHORT)="S",
      IF( OR(INDEX(TransTypes[],Transactions[[#This Row],[TTR]],TT_COL_GLFlag)=1, INDEX(TransTypes[], Transactions[[#This Row],[TTR]], TT_COL_ShareTransferFlag)=1),
            Transactions[[#This Row],[CostImpact]]*-1,
            Transactions[[#This Row],[CalCashImpact]]
      ),
     0
)</f>
        <v>0</v>
      </c>
      <c r="Y567" s="152" t="str">
        <f>VLOOKUP(Transactions[[#This Row],[Symbol]],Symbols[], COLUMN(Symbols[Currency])-COLUMN(Symbols[])+1,FALSE)</f>
        <v>CNY</v>
      </c>
    </row>
    <row r="568" spans="1:25">
      <c r="A568" s="138" t="s">
        <v>600</v>
      </c>
      <c r="B568" s="139">
        <v>42210</v>
      </c>
      <c r="C568" s="138" t="s">
        <v>112</v>
      </c>
      <c r="D568" s="138"/>
      <c r="E568" s="140" t="s">
        <v>211</v>
      </c>
      <c r="F568" s="141"/>
      <c r="G568" s="142"/>
      <c r="H568" s="141"/>
      <c r="I568" s="141"/>
      <c r="J568" s="143">
        <v>162546.22</v>
      </c>
      <c r="K568" s="6"/>
      <c r="L568" s="20">
        <f>IF(ISNA(MATCH(Transactions[[#This Row],[TransType]],TransTypes[TransType],0)),1,MATCH(Transactions[[#This Row],[TransType]],TransTypes[TransType],0))</f>
        <v>1</v>
      </c>
      <c r="M568" s="144">
        <f>IF( AND( INDEX(TransTypes[],Transactions[[#This Row],[TTR]],TT_COL_GLFlag)=1, INDEX(TransTypes[],Transactions[[#This Row],[TTR]],TT_COL_LONGORSHORT)="S" ),
      Transactions[[#This Row],[PL]],
      IF(INDEX(TransTypes[],Transactions[[#This Row],[TTR]],TT_COL_LONGORSHORT)="S",0,Transactions[[#This Row],[CalCashImpact]])
)</f>
        <v>162546.22</v>
      </c>
      <c r="N568" s="145">
        <f>IF(VLOOKUP(Transactions[[#This Row],[Symbol]],Symbols[],COLUMN(Symbols[Currency])-COLUMN(Symbols[])+1,FALSE)=
       VLOOKUP(Transactions[[#This Row],[Account]],Accounts[],COLUMN(Accounts[Currency])-COLUMN(Accounts[])+1,FALSE),
     Transactions[[#This Row],[OrigCashImpact]],
     0
)</f>
        <v>162546.22</v>
      </c>
      <c r="O56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6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6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68" s="41">
        <f>ROW()</f>
        <v>568</v>
      </c>
      <c r="S5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6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68" s="150">
        <f>IF(INDEX(TransTypes[],Transactions[[#This Row],[TTR]],TT_COL_GLFlag)=1,Transactions[[#This Row],[CalCashImpact]]+Transactions[[#This Row],[CostImpact]],0)</f>
        <v>0</v>
      </c>
      <c r="W568" s="151">
        <f>Transactions[[#This Row],[Amount]]*INDEX(TransTypes[],Transactions[[#This Row],[TTR]],TT_COL_AmntSign)</f>
        <v>162546.22</v>
      </c>
      <c r="X568" s="151">
        <f>IF(INDEX(TransTypes[],Transactions[[#This Row],[TTR]],TT_COL_LONGORSHORT)="S",
      IF( OR(INDEX(TransTypes[],Transactions[[#This Row],[TTR]],TT_COL_GLFlag)=1, INDEX(TransTypes[], Transactions[[#This Row],[TTR]], TT_COL_ShareTransferFlag)=1),
            Transactions[[#This Row],[CostImpact]]*-1,
            Transactions[[#This Row],[CalCashImpact]]
      ),
     0
)</f>
        <v>0</v>
      </c>
      <c r="Y568" s="152" t="str">
        <f>VLOOKUP(Transactions[[#This Row],[Symbol]],Symbols[], COLUMN(Symbols[Currency])-COLUMN(Symbols[])+1,FALSE)</f>
        <v>CNY</v>
      </c>
    </row>
    <row r="569" spans="1:25">
      <c r="A569" s="138" t="s">
        <v>600</v>
      </c>
      <c r="B569" s="139">
        <v>42218</v>
      </c>
      <c r="C569" s="138" t="s">
        <v>118</v>
      </c>
      <c r="D569" s="138"/>
      <c r="E569" s="140" t="s">
        <v>629</v>
      </c>
      <c r="F569" s="141"/>
      <c r="G569" s="142"/>
      <c r="H569" s="141"/>
      <c r="I569" s="141"/>
      <c r="J569" s="143">
        <v>0</v>
      </c>
      <c r="K569" s="6"/>
      <c r="L569" s="20">
        <f>IF(ISNA(MATCH(Transactions[[#This Row],[TransType]],TransTypes[TransType],0)),1,MATCH(Transactions[[#This Row],[TransType]],TransTypes[TransType],0))</f>
        <v>4</v>
      </c>
      <c r="M569" s="144">
        <f>IF( AND( INDEX(TransTypes[],Transactions[[#This Row],[TTR]],TT_COL_GLFlag)=1, INDEX(TransTypes[],Transactions[[#This Row],[TTR]],TT_COL_LONGORSHORT)="S" ),
      Transactions[[#This Row],[PL]],
      IF(INDEX(TransTypes[],Transactions[[#This Row],[TTR]],TT_COL_LONGORSHORT)="S",0,Transactions[[#This Row],[CalCashImpact]])
)</f>
        <v>0</v>
      </c>
      <c r="N569" s="145">
        <f>IF(VLOOKUP(Transactions[[#This Row],[Symbol]],Symbols[],COLUMN(Symbols[Currency])-COLUMN(Symbols[])+1,FALSE)=
       VLOOKUP(Transactions[[#This Row],[Account]],Accounts[],COLUMN(Accounts[Currency])-COLUMN(Accounts[])+1,FALSE),
     Transactions[[#This Row],[OrigCashImpact]],
     0
)</f>
        <v>0</v>
      </c>
      <c r="O56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6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6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163046.22</v>
      </c>
      <c r="R569" s="41">
        <f>ROW()</f>
        <v>569</v>
      </c>
      <c r="S5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163046.22</v>
      </c>
      <c r="U56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163046.22</v>
      </c>
      <c r="V569" s="150">
        <f>IF(INDEX(TransTypes[],Transactions[[#This Row],[TTR]],TT_COL_GLFlag)=1,Transactions[[#This Row],[CalCashImpact]]+Transactions[[#This Row],[CostImpact]],0)</f>
        <v>0</v>
      </c>
      <c r="W569" s="151">
        <f>Transactions[[#This Row],[Amount]]*INDEX(TransTypes[],Transactions[[#This Row],[TTR]],TT_COL_AmntSign)</f>
        <v>0</v>
      </c>
      <c r="X569" s="151">
        <f>IF(INDEX(TransTypes[],Transactions[[#This Row],[TTR]],TT_COL_LONGORSHORT)="S",
      IF( OR(INDEX(TransTypes[],Transactions[[#This Row],[TTR]],TT_COL_GLFlag)=1, INDEX(TransTypes[], Transactions[[#This Row],[TTR]], TT_COL_ShareTransferFlag)=1),
            Transactions[[#This Row],[CostImpact]]*-1,
            Transactions[[#This Row],[CalCashImpact]]
      ),
     0
)</f>
        <v>0</v>
      </c>
      <c r="Y569" s="152" t="str">
        <f>VLOOKUP(Transactions[[#This Row],[Symbol]],Symbols[], COLUMN(Symbols[Currency])-COLUMN(Symbols[])+1,FALSE)</f>
        <v>CNY</v>
      </c>
    </row>
    <row r="570" spans="1:25">
      <c r="A570" s="138" t="s">
        <v>600</v>
      </c>
      <c r="B570" s="139">
        <v>42218</v>
      </c>
      <c r="C570" s="138" t="s">
        <v>113</v>
      </c>
      <c r="D570" s="138" t="s">
        <v>531</v>
      </c>
      <c r="E570" s="140" t="s">
        <v>629</v>
      </c>
      <c r="F570" s="141">
        <v>94.79</v>
      </c>
      <c r="G570" s="142">
        <v>0</v>
      </c>
      <c r="H570" s="141"/>
      <c r="I570" s="141"/>
      <c r="J570" s="143">
        <v>0</v>
      </c>
      <c r="K570" s="6"/>
      <c r="L570" s="20">
        <f>IF(ISNA(MATCH(Transactions[[#This Row],[TransType]],TransTypes[TransType],0)),1,MATCH(Transactions[[#This Row],[TransType]],TransTypes[TransType],0))</f>
        <v>2</v>
      </c>
      <c r="M570" s="144">
        <f>IF( AND( INDEX(TransTypes[],Transactions[[#This Row],[TTR]],TT_COL_GLFlag)=1, INDEX(TransTypes[],Transactions[[#This Row],[TTR]],TT_COL_LONGORSHORT)="S" ),
      Transactions[[#This Row],[PL]],
      IF(INDEX(TransTypes[],Transactions[[#This Row],[TTR]],TT_COL_LONGORSHORT)="S",0,Transactions[[#This Row],[CalCashImpact]])
)</f>
        <v>0</v>
      </c>
      <c r="N570" s="145">
        <f>IF(VLOOKUP(Transactions[[#This Row],[Symbol]],Symbols[],COLUMN(Symbols[Currency])-COLUMN(Symbols[])+1,FALSE)=
       VLOOKUP(Transactions[[#This Row],[Account]],Accounts[],COLUMN(Accounts[Currency])-COLUMN(Accounts[])+1,FALSE),
     Transactions[[#This Row],[OrigCashImpact]],
     0
)</f>
        <v>0</v>
      </c>
      <c r="O57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7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94.79</v>
      </c>
      <c r="Q57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163141.01</v>
      </c>
      <c r="R570" s="41">
        <f>ROW()</f>
        <v>570</v>
      </c>
      <c r="S5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163046.22</v>
      </c>
      <c r="U57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163141.01</v>
      </c>
      <c r="V570" s="150">
        <f>IF(INDEX(TransTypes[],Transactions[[#This Row],[TTR]],TT_COL_GLFlag)=1,Transactions[[#This Row],[CalCashImpact]]+Transactions[[#This Row],[CostImpact]],0)</f>
        <v>0</v>
      </c>
      <c r="W570" s="151">
        <f>Transactions[[#This Row],[Amount]]*INDEX(TransTypes[],Transactions[[#This Row],[TTR]],TT_COL_AmntSign)</f>
        <v>0</v>
      </c>
      <c r="X570" s="151">
        <f>IF(INDEX(TransTypes[],Transactions[[#This Row],[TTR]],TT_COL_LONGORSHORT)="S",
      IF( OR(INDEX(TransTypes[],Transactions[[#This Row],[TTR]],TT_COL_GLFlag)=1, INDEX(TransTypes[], Transactions[[#This Row],[TTR]], TT_COL_ShareTransferFlag)=1),
            Transactions[[#This Row],[CostImpact]]*-1,
            Transactions[[#This Row],[CalCashImpact]]
      ),
     0
)</f>
        <v>0</v>
      </c>
      <c r="Y570" s="152" t="str">
        <f>VLOOKUP(Transactions[[#This Row],[Symbol]],Symbols[], COLUMN(Symbols[Currency])-COLUMN(Symbols[])+1,FALSE)</f>
        <v>CNY</v>
      </c>
    </row>
    <row r="571" spans="1:25">
      <c r="A571" s="138" t="s">
        <v>600</v>
      </c>
      <c r="B571" s="139">
        <v>42238</v>
      </c>
      <c r="C571" s="138" t="s">
        <v>113</v>
      </c>
      <c r="D571" s="138"/>
      <c r="E571" s="140" t="s">
        <v>629</v>
      </c>
      <c r="F571" s="141">
        <v>1000000</v>
      </c>
      <c r="G571" s="142">
        <v>1</v>
      </c>
      <c r="H571" s="141">
        <v>0</v>
      </c>
      <c r="I571" s="141"/>
      <c r="J571" s="143">
        <v>1000000</v>
      </c>
      <c r="K571" s="6"/>
      <c r="L571" s="20">
        <f>IF(ISNA(MATCH(Transactions[[#This Row],[TransType]],TransTypes[TransType],0)),1,MATCH(Transactions[[#This Row],[TransType]],TransTypes[TransType],0))</f>
        <v>2</v>
      </c>
      <c r="M571" s="144">
        <f>IF( AND( INDEX(TransTypes[],Transactions[[#This Row],[TTR]],TT_COL_GLFlag)=1, INDEX(TransTypes[],Transactions[[#This Row],[TTR]],TT_COL_LONGORSHORT)="S" ),
      Transactions[[#This Row],[PL]],
      IF(INDEX(TransTypes[],Transactions[[#This Row],[TTR]],TT_COL_LONGORSHORT)="S",0,Transactions[[#This Row],[CalCashImpact]])
)</f>
        <v>-1000000</v>
      </c>
      <c r="N571" s="145">
        <f>IF(VLOOKUP(Transactions[[#This Row],[Symbol]],Symbols[],COLUMN(Symbols[Currency])-COLUMN(Symbols[])+1,FALSE)=
       VLOOKUP(Transactions[[#This Row],[Account]],Accounts[],COLUMN(Accounts[Currency])-COLUMN(Accounts[])+1,FALSE),
     Transactions[[#This Row],[OrigCashImpact]],
     0
)</f>
        <v>-1000000</v>
      </c>
      <c r="O57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v>
      </c>
      <c r="P57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1000000</v>
      </c>
      <c r="Q57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1163141.01</v>
      </c>
      <c r="R571" s="41">
        <f>ROW()</f>
        <v>571</v>
      </c>
      <c r="S5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1000000</v>
      </c>
      <c r="T5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1163046.22</v>
      </c>
      <c r="U57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1163141.01</v>
      </c>
      <c r="V571" s="150">
        <f>IF(INDEX(TransTypes[],Transactions[[#This Row],[TTR]],TT_COL_GLFlag)=1,Transactions[[#This Row],[CalCashImpact]]+Transactions[[#This Row],[CostImpact]],0)</f>
        <v>0</v>
      </c>
      <c r="W571" s="151">
        <f>Transactions[[#This Row],[Amount]]*INDEX(TransTypes[],Transactions[[#This Row],[TTR]],TT_COL_AmntSign)</f>
        <v>-1000000</v>
      </c>
      <c r="X571" s="151">
        <f>IF(INDEX(TransTypes[],Transactions[[#This Row],[TTR]],TT_COL_LONGORSHORT)="S",
      IF( OR(INDEX(TransTypes[],Transactions[[#This Row],[TTR]],TT_COL_GLFlag)=1, INDEX(TransTypes[], Transactions[[#This Row],[TTR]], TT_COL_ShareTransferFlag)=1),
            Transactions[[#This Row],[CostImpact]]*-1,
            Transactions[[#This Row],[CalCashImpact]]
      ),
     0
)</f>
        <v>0</v>
      </c>
      <c r="Y571" s="152" t="str">
        <f>VLOOKUP(Transactions[[#This Row],[Symbol]],Symbols[], COLUMN(Symbols[Currency])-COLUMN(Symbols[])+1,FALSE)</f>
        <v>CNY</v>
      </c>
    </row>
    <row r="572" spans="1:25">
      <c r="A572" s="138" t="s">
        <v>600</v>
      </c>
      <c r="B572" s="139">
        <v>42238</v>
      </c>
      <c r="C572" s="138" t="s">
        <v>112</v>
      </c>
      <c r="D572" s="138"/>
      <c r="E572" s="140" t="s">
        <v>211</v>
      </c>
      <c r="F572" s="141"/>
      <c r="G572" s="142"/>
      <c r="H572" s="141"/>
      <c r="I572" s="141"/>
      <c r="J572" s="143">
        <v>1000000</v>
      </c>
      <c r="K572" s="6"/>
      <c r="L572" s="20">
        <f>IF(ISNA(MATCH(Transactions[[#This Row],[TransType]],TransTypes[TransType],0)),1,MATCH(Transactions[[#This Row],[TransType]],TransTypes[TransType],0))</f>
        <v>1</v>
      </c>
      <c r="M572" s="144">
        <f>IF( AND( INDEX(TransTypes[],Transactions[[#This Row],[TTR]],TT_COL_GLFlag)=1, INDEX(TransTypes[],Transactions[[#This Row],[TTR]],TT_COL_LONGORSHORT)="S" ),
      Transactions[[#This Row],[PL]],
      IF(INDEX(TransTypes[],Transactions[[#This Row],[TTR]],TT_COL_LONGORSHORT)="S",0,Transactions[[#This Row],[CalCashImpact]])
)</f>
        <v>1000000</v>
      </c>
      <c r="N572" s="145">
        <f>IF(VLOOKUP(Transactions[[#This Row],[Symbol]],Symbols[],COLUMN(Symbols[Currency])-COLUMN(Symbols[])+1,FALSE)=
       VLOOKUP(Transactions[[#This Row],[Account]],Accounts[],COLUMN(Accounts[Currency])-COLUMN(Accounts[])+1,FALSE),
     Transactions[[#This Row],[OrigCashImpact]],
     0
)</f>
        <v>1000000</v>
      </c>
      <c r="O57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7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7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72" s="41">
        <f>ROW()</f>
        <v>572</v>
      </c>
      <c r="S5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7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72" s="150">
        <f>IF(INDEX(TransTypes[],Transactions[[#This Row],[TTR]],TT_COL_GLFlag)=1,Transactions[[#This Row],[CalCashImpact]]+Transactions[[#This Row],[CostImpact]],0)</f>
        <v>0</v>
      </c>
      <c r="W572" s="151">
        <f>Transactions[[#This Row],[Amount]]*INDEX(TransTypes[],Transactions[[#This Row],[TTR]],TT_COL_AmntSign)</f>
        <v>1000000</v>
      </c>
      <c r="X572" s="151">
        <f>IF(INDEX(TransTypes[],Transactions[[#This Row],[TTR]],TT_COL_LONGORSHORT)="S",
      IF( OR(INDEX(TransTypes[],Transactions[[#This Row],[TTR]],TT_COL_GLFlag)=1, INDEX(TransTypes[], Transactions[[#This Row],[TTR]], TT_COL_ShareTransferFlag)=1),
            Transactions[[#This Row],[CostImpact]]*-1,
            Transactions[[#This Row],[CalCashImpact]]
      ),
     0
)</f>
        <v>0</v>
      </c>
      <c r="Y572" s="152" t="str">
        <f>VLOOKUP(Transactions[[#This Row],[Symbol]],Symbols[], COLUMN(Symbols[Currency])-COLUMN(Symbols[])+1,FALSE)</f>
        <v>CNY</v>
      </c>
    </row>
    <row r="573" spans="1:25">
      <c r="A573" s="138" t="s">
        <v>600</v>
      </c>
      <c r="B573" s="139">
        <v>42240</v>
      </c>
      <c r="C573" s="138" t="s">
        <v>112</v>
      </c>
      <c r="D573" s="138"/>
      <c r="E573" s="140" t="s">
        <v>211</v>
      </c>
      <c r="F573" s="141"/>
      <c r="G573" s="142"/>
      <c r="H573" s="141"/>
      <c r="I573" s="141"/>
      <c r="J573" s="143">
        <v>2800000</v>
      </c>
      <c r="K573" s="6"/>
      <c r="L573" s="20">
        <f>IF(ISNA(MATCH(Transactions[[#This Row],[TransType]],TransTypes[TransType],0)),1,MATCH(Transactions[[#This Row],[TransType]],TransTypes[TransType],0))</f>
        <v>1</v>
      </c>
      <c r="M573" s="144">
        <f>IF( AND( INDEX(TransTypes[],Transactions[[#This Row],[TTR]],TT_COL_GLFlag)=1, INDEX(TransTypes[],Transactions[[#This Row],[TTR]],TT_COL_LONGORSHORT)="S" ),
      Transactions[[#This Row],[PL]],
      IF(INDEX(TransTypes[],Transactions[[#This Row],[TTR]],TT_COL_LONGORSHORT)="S",0,Transactions[[#This Row],[CalCashImpact]])
)</f>
        <v>2800000</v>
      </c>
      <c r="N573" s="145">
        <f>IF(VLOOKUP(Transactions[[#This Row],[Symbol]],Symbols[],COLUMN(Symbols[Currency])-COLUMN(Symbols[])+1,FALSE)=
       VLOOKUP(Transactions[[#This Row],[Account]],Accounts[],COLUMN(Accounts[Currency])-COLUMN(Accounts[])+1,FALSE),
     Transactions[[#This Row],[OrigCashImpact]],
     0
)</f>
        <v>2800000</v>
      </c>
      <c r="O57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2800000</v>
      </c>
      <c r="P57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7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73" s="41">
        <f>ROW()</f>
        <v>573</v>
      </c>
      <c r="S5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7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73" s="150">
        <f>IF(INDEX(TransTypes[],Transactions[[#This Row],[TTR]],TT_COL_GLFlag)=1,Transactions[[#This Row],[CalCashImpact]]+Transactions[[#This Row],[CostImpact]],0)</f>
        <v>0</v>
      </c>
      <c r="W573" s="151">
        <f>Transactions[[#This Row],[Amount]]*INDEX(TransTypes[],Transactions[[#This Row],[TTR]],TT_COL_AmntSign)</f>
        <v>2800000</v>
      </c>
      <c r="X573" s="151">
        <f>IF(INDEX(TransTypes[],Transactions[[#This Row],[TTR]],TT_COL_LONGORSHORT)="S",
      IF( OR(INDEX(TransTypes[],Transactions[[#This Row],[TTR]],TT_COL_GLFlag)=1, INDEX(TransTypes[], Transactions[[#This Row],[TTR]], TT_COL_ShareTransferFlag)=1),
            Transactions[[#This Row],[CostImpact]]*-1,
            Transactions[[#This Row],[CalCashImpact]]
      ),
     0
)</f>
        <v>0</v>
      </c>
      <c r="Y573" s="152" t="str">
        <f>VLOOKUP(Transactions[[#This Row],[Symbol]],Symbols[], COLUMN(Symbols[Currency])-COLUMN(Symbols[])+1,FALSE)</f>
        <v>CNY</v>
      </c>
    </row>
    <row r="574" spans="1:25">
      <c r="A574" s="138" t="s">
        <v>600</v>
      </c>
      <c r="B574" s="139">
        <v>42241</v>
      </c>
      <c r="C574" s="138" t="s">
        <v>113</v>
      </c>
      <c r="D574" s="138"/>
      <c r="E574" s="140" t="s">
        <v>617</v>
      </c>
      <c r="F574" s="141">
        <v>117463.61</v>
      </c>
      <c r="G574" s="142">
        <v>1.3540000175373399</v>
      </c>
      <c r="H574" s="141">
        <v>954.27</v>
      </c>
      <c r="I574" s="141"/>
      <c r="J574" s="143">
        <v>160000</v>
      </c>
      <c r="K574" s="6"/>
      <c r="L574" s="20">
        <f>IF(ISNA(MATCH(Transactions[[#This Row],[TransType]],TransTypes[TransType],0)),1,MATCH(Transactions[[#This Row],[TransType]],TransTypes[TransType],0))</f>
        <v>2</v>
      </c>
      <c r="M574" s="144">
        <f>IF( AND( INDEX(TransTypes[],Transactions[[#This Row],[TTR]],TT_COL_GLFlag)=1, INDEX(TransTypes[],Transactions[[#This Row],[TTR]],TT_COL_LONGORSHORT)="S" ),
      Transactions[[#This Row],[PL]],
      IF(INDEX(TransTypes[],Transactions[[#This Row],[TTR]],TT_COL_LONGORSHORT)="S",0,Transactions[[#This Row],[CalCashImpact]])
)</f>
        <v>-160000</v>
      </c>
      <c r="N574" s="145">
        <f>IF(VLOOKUP(Transactions[[#This Row],[Symbol]],Symbols[],COLUMN(Symbols[Currency])-COLUMN(Symbols[])+1,FALSE)=
       VLOOKUP(Transactions[[#This Row],[Account]],Accounts[],COLUMN(Accounts[Currency])-COLUMN(Accounts[])+1,FALSE),
     Transactions[[#This Row],[OrigCashImpact]],
     0
)</f>
        <v>-160000</v>
      </c>
      <c r="O57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2640000</v>
      </c>
      <c r="P57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117463.61</v>
      </c>
      <c r="Q57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677967.79999999993</v>
      </c>
      <c r="R574" s="41">
        <f>ROW()</f>
        <v>574</v>
      </c>
      <c r="S5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160000</v>
      </c>
      <c r="T5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1160000</v>
      </c>
      <c r="U57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677967.79999999993</v>
      </c>
      <c r="V574" s="150">
        <f>IF(INDEX(TransTypes[],Transactions[[#This Row],[TTR]],TT_COL_GLFlag)=1,Transactions[[#This Row],[CalCashImpact]]+Transactions[[#This Row],[CostImpact]],0)</f>
        <v>0</v>
      </c>
      <c r="W574" s="151">
        <f>Transactions[[#This Row],[Amount]]*INDEX(TransTypes[],Transactions[[#This Row],[TTR]],TT_COL_AmntSign)</f>
        <v>-160000</v>
      </c>
      <c r="X574" s="151">
        <f>IF(INDEX(TransTypes[],Transactions[[#This Row],[TTR]],TT_COL_LONGORSHORT)="S",
      IF( OR(INDEX(TransTypes[],Transactions[[#This Row],[TTR]],TT_COL_GLFlag)=1, INDEX(TransTypes[], Transactions[[#This Row],[TTR]], TT_COL_ShareTransferFlag)=1),
            Transactions[[#This Row],[CostImpact]]*-1,
            Transactions[[#This Row],[CalCashImpact]]
      ),
     0
)</f>
        <v>0</v>
      </c>
      <c r="Y574" s="152" t="str">
        <f>VLOOKUP(Transactions[[#This Row],[Symbol]],Symbols[], COLUMN(Symbols[Currency])-COLUMN(Symbols[])+1,FALSE)</f>
        <v>CNY</v>
      </c>
    </row>
    <row r="575" spans="1:25">
      <c r="A575" s="138" t="s">
        <v>600</v>
      </c>
      <c r="B575" s="139">
        <v>42241</v>
      </c>
      <c r="C575" s="138" t="s">
        <v>115</v>
      </c>
      <c r="D575" s="138"/>
      <c r="E575" s="140" t="s">
        <v>629</v>
      </c>
      <c r="F575" s="141">
        <v>160000</v>
      </c>
      <c r="G575" s="142">
        <v>1</v>
      </c>
      <c r="H575" s="141">
        <v>0</v>
      </c>
      <c r="I575" s="141"/>
      <c r="J575" s="143">
        <v>160000</v>
      </c>
      <c r="K575" s="6"/>
      <c r="L575" s="20">
        <f>IF(ISNA(MATCH(Transactions[[#This Row],[TransType]],TransTypes[TransType],0)),1,MATCH(Transactions[[#This Row],[TransType]],TransTypes[TransType],0))</f>
        <v>3</v>
      </c>
      <c r="M575" s="144">
        <f>IF( AND( INDEX(TransTypes[],Transactions[[#This Row],[TTR]],TT_COL_GLFlag)=1, INDEX(TransTypes[],Transactions[[#This Row],[TTR]],TT_COL_LONGORSHORT)="S" ),
      Transactions[[#This Row],[PL]],
      IF(INDEX(TransTypes[],Transactions[[#This Row],[TTR]],TT_COL_LONGORSHORT)="S",0,Transactions[[#This Row],[CalCashImpact]])
)</f>
        <v>160000</v>
      </c>
      <c r="N575" s="145">
        <f>IF(VLOOKUP(Transactions[[#This Row],[Symbol]],Symbols[],COLUMN(Symbols[Currency])-COLUMN(Symbols[])+1,FALSE)=
       VLOOKUP(Transactions[[#This Row],[Account]],Accounts[],COLUMN(Accounts[Currency])-COLUMN(Accounts[])+1,FALSE),
     Transactions[[#This Row],[OrigCashImpact]],
     0
)</f>
        <v>160000</v>
      </c>
      <c r="O57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2800000</v>
      </c>
      <c r="P57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-160000</v>
      </c>
      <c r="Q57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1003141.01</v>
      </c>
      <c r="R575" s="41">
        <f>ROW()</f>
        <v>575</v>
      </c>
      <c r="S5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-159986.96082429419</v>
      </c>
      <c r="T5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1003059.2591757057</v>
      </c>
      <c r="U57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1163141.01</v>
      </c>
      <c r="V575" s="150">
        <f>IF(INDEX(TransTypes[],Transactions[[#This Row],[TTR]],TT_COL_GLFlag)=1,Transactions[[#This Row],[CalCashImpact]]+Transactions[[#This Row],[CostImpact]],0)</f>
        <v>13.039175705809612</v>
      </c>
      <c r="W575" s="151">
        <f>Transactions[[#This Row],[Amount]]*INDEX(TransTypes[],Transactions[[#This Row],[TTR]],TT_COL_AmntSign)</f>
        <v>160000</v>
      </c>
      <c r="X575" s="151">
        <f>IF(INDEX(TransTypes[],Transactions[[#This Row],[TTR]],TT_COL_LONGORSHORT)="S",
      IF( OR(INDEX(TransTypes[],Transactions[[#This Row],[TTR]],TT_COL_GLFlag)=1, INDEX(TransTypes[], Transactions[[#This Row],[TTR]], TT_COL_ShareTransferFlag)=1),
            Transactions[[#This Row],[CostImpact]]*-1,
            Transactions[[#This Row],[CalCashImpact]]
      ),
     0
)</f>
        <v>0</v>
      </c>
      <c r="Y575" s="152" t="str">
        <f>VLOOKUP(Transactions[[#This Row],[Symbol]],Symbols[], COLUMN(Symbols[Currency])-COLUMN(Symbols[])+1,FALSE)</f>
        <v>CNY</v>
      </c>
    </row>
    <row r="576" spans="1:25">
      <c r="A576" s="138" t="s">
        <v>600</v>
      </c>
      <c r="B576" s="139">
        <v>42243</v>
      </c>
      <c r="C576" s="138" t="s">
        <v>113</v>
      </c>
      <c r="D576" s="138"/>
      <c r="E576" s="140" t="s">
        <v>629</v>
      </c>
      <c r="F576" s="141">
        <v>2600000</v>
      </c>
      <c r="G576" s="142">
        <v>1</v>
      </c>
      <c r="H576" s="141">
        <v>0</v>
      </c>
      <c r="I576" s="141"/>
      <c r="J576" s="143">
        <v>2600000</v>
      </c>
      <c r="K576" s="6"/>
      <c r="L576" s="20">
        <f>IF(ISNA(MATCH(Transactions[[#This Row],[TransType]],TransTypes[TransType],0)),1,MATCH(Transactions[[#This Row],[TransType]],TransTypes[TransType],0))</f>
        <v>2</v>
      </c>
      <c r="M576" s="144">
        <f>IF( AND( INDEX(TransTypes[],Transactions[[#This Row],[TTR]],TT_COL_GLFlag)=1, INDEX(TransTypes[],Transactions[[#This Row],[TTR]],TT_COL_LONGORSHORT)="S" ),
      Transactions[[#This Row],[PL]],
      IF(INDEX(TransTypes[],Transactions[[#This Row],[TTR]],TT_COL_LONGORSHORT)="S",0,Transactions[[#This Row],[CalCashImpact]])
)</f>
        <v>-2600000</v>
      </c>
      <c r="N576" s="145">
        <f>IF(VLOOKUP(Transactions[[#This Row],[Symbol]],Symbols[],COLUMN(Symbols[Currency])-COLUMN(Symbols[])+1,FALSE)=
       VLOOKUP(Transactions[[#This Row],[Account]],Accounts[],COLUMN(Accounts[Currency])-COLUMN(Accounts[])+1,FALSE),
     Transactions[[#This Row],[OrigCashImpact]],
     0
)</f>
        <v>-2600000</v>
      </c>
      <c r="O57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200000</v>
      </c>
      <c r="P57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2600000</v>
      </c>
      <c r="Q57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3603141.01</v>
      </c>
      <c r="R576" s="41">
        <f>ROW()</f>
        <v>576</v>
      </c>
      <c r="S5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2600000</v>
      </c>
      <c r="T5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3603059.2591757057</v>
      </c>
      <c r="U57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3603141.01</v>
      </c>
      <c r="V576" s="150">
        <f>IF(INDEX(TransTypes[],Transactions[[#This Row],[TTR]],TT_COL_GLFlag)=1,Transactions[[#This Row],[CalCashImpact]]+Transactions[[#This Row],[CostImpact]],0)</f>
        <v>0</v>
      </c>
      <c r="W576" s="151">
        <f>Transactions[[#This Row],[Amount]]*INDEX(TransTypes[],Transactions[[#This Row],[TTR]],TT_COL_AmntSign)</f>
        <v>-2600000</v>
      </c>
      <c r="X576" s="151">
        <f>IF(INDEX(TransTypes[],Transactions[[#This Row],[TTR]],TT_COL_LONGORSHORT)="S",
      IF( OR(INDEX(TransTypes[],Transactions[[#This Row],[TTR]],TT_COL_GLFlag)=1, INDEX(TransTypes[], Transactions[[#This Row],[TTR]], TT_COL_ShareTransferFlag)=1),
            Transactions[[#This Row],[CostImpact]]*-1,
            Transactions[[#This Row],[CalCashImpact]]
      ),
     0
)</f>
        <v>0</v>
      </c>
      <c r="Y576" s="152" t="str">
        <f>VLOOKUP(Transactions[[#This Row],[Symbol]],Symbols[], COLUMN(Symbols[Currency])-COLUMN(Symbols[])+1,FALSE)</f>
        <v>CNY</v>
      </c>
    </row>
    <row r="577" spans="1:25">
      <c r="A577" s="138" t="s">
        <v>600</v>
      </c>
      <c r="B577" s="139">
        <v>42243</v>
      </c>
      <c r="C577" s="138" t="s">
        <v>113</v>
      </c>
      <c r="D577" s="138"/>
      <c r="E577" s="140" t="s">
        <v>614</v>
      </c>
      <c r="F577" s="141">
        <v>81982.33</v>
      </c>
      <c r="G577" s="142">
        <v>2.42499999695056</v>
      </c>
      <c r="H577" s="141">
        <v>1192.8499999999999</v>
      </c>
      <c r="I577" s="141"/>
      <c r="J577" s="143">
        <v>200000</v>
      </c>
      <c r="K577" s="6"/>
      <c r="L577" s="20">
        <f>IF(ISNA(MATCH(Transactions[[#This Row],[TransType]],TransTypes[TransType],0)),1,MATCH(Transactions[[#This Row],[TransType]],TransTypes[TransType],0))</f>
        <v>2</v>
      </c>
      <c r="M577" s="144">
        <f>IF( AND( INDEX(TransTypes[],Transactions[[#This Row],[TTR]],TT_COL_GLFlag)=1, INDEX(TransTypes[],Transactions[[#This Row],[TTR]],TT_COL_LONGORSHORT)="S" ),
      Transactions[[#This Row],[PL]],
      IF(INDEX(TransTypes[],Transactions[[#This Row],[TTR]],TT_COL_LONGORSHORT)="S",0,Transactions[[#This Row],[CalCashImpact]])
)</f>
        <v>-200000</v>
      </c>
      <c r="N577" s="145">
        <f>IF(VLOOKUP(Transactions[[#This Row],[Symbol]],Symbols[],COLUMN(Symbols[Currency])-COLUMN(Symbols[])+1,FALSE)=
       VLOOKUP(Transactions[[#This Row],[Account]],Accounts[],COLUMN(Accounts[Currency])-COLUMN(Accounts[])+1,FALSE),
     Transactions[[#This Row],[OrigCashImpact]],
     0
)</f>
        <v>-200000</v>
      </c>
      <c r="O57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7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81982.33</v>
      </c>
      <c r="Q57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435605.88</v>
      </c>
      <c r="R577" s="41">
        <f>ROW()</f>
        <v>577</v>
      </c>
      <c r="S5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200000</v>
      </c>
      <c r="T5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1200000</v>
      </c>
      <c r="U57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435605.88</v>
      </c>
      <c r="V577" s="150">
        <f>IF(INDEX(TransTypes[],Transactions[[#This Row],[TTR]],TT_COL_GLFlag)=1,Transactions[[#This Row],[CalCashImpact]]+Transactions[[#This Row],[CostImpact]],0)</f>
        <v>0</v>
      </c>
      <c r="W577" s="151">
        <f>Transactions[[#This Row],[Amount]]*INDEX(TransTypes[],Transactions[[#This Row],[TTR]],TT_COL_AmntSign)</f>
        <v>-200000</v>
      </c>
      <c r="X577" s="151">
        <f>IF(INDEX(TransTypes[],Transactions[[#This Row],[TTR]],TT_COL_LONGORSHORT)="S",
      IF( OR(INDEX(TransTypes[],Transactions[[#This Row],[TTR]],TT_COL_GLFlag)=1, INDEX(TransTypes[], Transactions[[#This Row],[TTR]], TT_COL_ShareTransferFlag)=1),
            Transactions[[#This Row],[CostImpact]]*-1,
            Transactions[[#This Row],[CalCashImpact]]
      ),
     0
)</f>
        <v>0</v>
      </c>
      <c r="Y577" s="152" t="str">
        <f>VLOOKUP(Transactions[[#This Row],[Symbol]],Symbols[], COLUMN(Symbols[Currency])-COLUMN(Symbols[])+1,FALSE)</f>
        <v>CNY</v>
      </c>
    </row>
    <row r="578" spans="1:25">
      <c r="A578" s="138" t="s">
        <v>600</v>
      </c>
      <c r="B578" s="139">
        <v>42247</v>
      </c>
      <c r="C578" s="138" t="s">
        <v>119</v>
      </c>
      <c r="D578" s="138"/>
      <c r="E578" s="140" t="s">
        <v>211</v>
      </c>
      <c r="F578" s="141"/>
      <c r="G578" s="142"/>
      <c r="H578" s="141"/>
      <c r="I578" s="141"/>
      <c r="J578" s="143">
        <v>1000000</v>
      </c>
      <c r="K578" s="6"/>
      <c r="L578" s="20">
        <f>IF(ISNA(MATCH(Transactions[[#This Row],[TransType]],TransTypes[TransType],0)),1,MATCH(Transactions[[#This Row],[TransType]],TransTypes[TransType],0))</f>
        <v>5</v>
      </c>
      <c r="M578" s="144">
        <f>IF( AND( INDEX(TransTypes[],Transactions[[#This Row],[TTR]],TT_COL_GLFlag)=1, INDEX(TransTypes[],Transactions[[#This Row],[TTR]],TT_COL_LONGORSHORT)="S" ),
      Transactions[[#This Row],[PL]],
      IF(INDEX(TransTypes[],Transactions[[#This Row],[TTR]],TT_COL_LONGORSHORT)="S",0,Transactions[[#This Row],[CalCashImpact]])
)</f>
        <v>-1000000</v>
      </c>
      <c r="N578" s="145">
        <f>IF(VLOOKUP(Transactions[[#This Row],[Symbol]],Symbols[],COLUMN(Symbols[Currency])-COLUMN(Symbols[])+1,FALSE)=
       VLOOKUP(Transactions[[#This Row],[Account]],Accounts[],COLUMN(Accounts[Currency])-COLUMN(Accounts[])+1,FALSE),
     Transactions[[#This Row],[OrigCashImpact]],
     0
)</f>
        <v>-1000000</v>
      </c>
      <c r="O57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v>
      </c>
      <c r="P57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7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78" s="41">
        <f>ROW()</f>
        <v>578</v>
      </c>
      <c r="S5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7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78" s="150">
        <f>IF(INDEX(TransTypes[],Transactions[[#This Row],[TTR]],TT_COL_GLFlag)=1,Transactions[[#This Row],[CalCashImpact]]+Transactions[[#This Row],[CostImpact]],0)</f>
        <v>0</v>
      </c>
      <c r="W578" s="151">
        <f>Transactions[[#This Row],[Amount]]*INDEX(TransTypes[],Transactions[[#This Row],[TTR]],TT_COL_AmntSign)</f>
        <v>-1000000</v>
      </c>
      <c r="X578" s="151">
        <f>IF(INDEX(TransTypes[],Transactions[[#This Row],[TTR]],TT_COL_LONGORSHORT)="S",
      IF( OR(INDEX(TransTypes[],Transactions[[#This Row],[TTR]],TT_COL_GLFlag)=1, INDEX(TransTypes[], Transactions[[#This Row],[TTR]], TT_COL_ShareTransferFlag)=1),
            Transactions[[#This Row],[CostImpact]]*-1,
            Transactions[[#This Row],[CalCashImpact]]
      ),
     0
)</f>
        <v>0</v>
      </c>
      <c r="Y578" s="152" t="str">
        <f>VLOOKUP(Transactions[[#This Row],[Symbol]],Symbols[], COLUMN(Symbols[Currency])-COLUMN(Symbols[])+1,FALSE)</f>
        <v>CNY</v>
      </c>
    </row>
    <row r="579" spans="1:25">
      <c r="A579" s="138" t="s">
        <v>600</v>
      </c>
      <c r="B579" s="139">
        <v>42247</v>
      </c>
      <c r="C579" s="138" t="s">
        <v>115</v>
      </c>
      <c r="D579" s="138"/>
      <c r="E579" s="140" t="s">
        <v>629</v>
      </c>
      <c r="F579" s="141">
        <v>1000000</v>
      </c>
      <c r="G579" s="142">
        <v>1</v>
      </c>
      <c r="H579" s="141">
        <v>0</v>
      </c>
      <c r="I579" s="141"/>
      <c r="J579" s="143">
        <v>1000000</v>
      </c>
      <c r="K579" s="6"/>
      <c r="L579" s="20">
        <f>IF(ISNA(MATCH(Transactions[[#This Row],[TransType]],TransTypes[TransType],0)),1,MATCH(Transactions[[#This Row],[TransType]],TransTypes[TransType],0))</f>
        <v>3</v>
      </c>
      <c r="M579" s="144">
        <f>IF( AND( INDEX(TransTypes[],Transactions[[#This Row],[TTR]],TT_COL_GLFlag)=1, INDEX(TransTypes[],Transactions[[#This Row],[TTR]],TT_COL_LONGORSHORT)="S" ),
      Transactions[[#This Row],[PL]],
      IF(INDEX(TransTypes[],Transactions[[#This Row],[TTR]],TT_COL_LONGORSHORT)="S",0,Transactions[[#This Row],[CalCashImpact]])
)</f>
        <v>1000000</v>
      </c>
      <c r="N579" s="145">
        <f>IF(VLOOKUP(Transactions[[#This Row],[Symbol]],Symbols[],COLUMN(Symbols[Currency])-COLUMN(Symbols[])+1,FALSE)=
       VLOOKUP(Transactions[[#This Row],[Account]],Accounts[],COLUMN(Accounts[Currency])-COLUMN(Accounts[])+1,FALSE),
     Transactions[[#This Row],[OrigCashImpact]],
     0
)</f>
        <v>1000000</v>
      </c>
      <c r="O57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7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-1000000</v>
      </c>
      <c r="Q57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2603141.0099999998</v>
      </c>
      <c r="R579" s="41">
        <f>ROW()</f>
        <v>579</v>
      </c>
      <c r="S5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-999977.3112337077</v>
      </c>
      <c r="T5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2603081.947941998</v>
      </c>
      <c r="U57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3603141.01</v>
      </c>
      <c r="V579" s="150">
        <f>IF(INDEX(TransTypes[],Transactions[[#This Row],[TTR]],TT_COL_GLFlag)=1,Transactions[[#This Row],[CalCashImpact]]+Transactions[[#This Row],[CostImpact]],0)</f>
        <v>22.68876629229635</v>
      </c>
      <c r="W579" s="151">
        <f>Transactions[[#This Row],[Amount]]*INDEX(TransTypes[],Transactions[[#This Row],[TTR]],TT_COL_AmntSign)</f>
        <v>1000000</v>
      </c>
      <c r="X579" s="151">
        <f>IF(INDEX(TransTypes[],Transactions[[#This Row],[TTR]],TT_COL_LONGORSHORT)="S",
      IF( OR(INDEX(TransTypes[],Transactions[[#This Row],[TTR]],TT_COL_GLFlag)=1, INDEX(TransTypes[], Transactions[[#This Row],[TTR]], TT_COL_ShareTransferFlag)=1),
            Transactions[[#This Row],[CostImpact]]*-1,
            Transactions[[#This Row],[CalCashImpact]]
      ),
     0
)</f>
        <v>0</v>
      </c>
      <c r="Y579" s="152" t="str">
        <f>VLOOKUP(Transactions[[#This Row],[Symbol]],Symbols[], COLUMN(Symbols[Currency])-COLUMN(Symbols[])+1,FALSE)</f>
        <v>CNY</v>
      </c>
    </row>
    <row r="580" spans="1:25">
      <c r="A580" s="138" t="s">
        <v>600</v>
      </c>
      <c r="B580" s="139">
        <v>42248</v>
      </c>
      <c r="C580" s="138" t="s">
        <v>118</v>
      </c>
      <c r="D580" s="138"/>
      <c r="E580" s="140" t="s">
        <v>629</v>
      </c>
      <c r="F580" s="141"/>
      <c r="G580" s="142"/>
      <c r="H580" s="141"/>
      <c r="I580" s="141"/>
      <c r="J580" s="143">
        <v>0</v>
      </c>
      <c r="K580" s="6"/>
      <c r="L580" s="20">
        <f>IF(ISNA(MATCH(Transactions[[#This Row],[TransType]],TransTypes[TransType],0)),1,MATCH(Transactions[[#This Row],[TransType]],TransTypes[TransType],0))</f>
        <v>4</v>
      </c>
      <c r="M580" s="144">
        <f>IF( AND( INDEX(TransTypes[],Transactions[[#This Row],[TTR]],TT_COL_GLFlag)=1, INDEX(TransTypes[],Transactions[[#This Row],[TTR]],TT_COL_LONGORSHORT)="S" ),
      Transactions[[#This Row],[PL]],
      IF(INDEX(TransTypes[],Transactions[[#This Row],[TTR]],TT_COL_LONGORSHORT)="S",0,Transactions[[#This Row],[CalCashImpact]])
)</f>
        <v>0</v>
      </c>
      <c r="N580" s="145">
        <f>IF(VLOOKUP(Transactions[[#This Row],[Symbol]],Symbols[],COLUMN(Symbols[Currency])-COLUMN(Symbols[])+1,FALSE)=
       VLOOKUP(Transactions[[#This Row],[Account]],Accounts[],COLUMN(Accounts[Currency])-COLUMN(Accounts[])+1,FALSE),
     Transactions[[#This Row],[OrigCashImpact]],
     0
)</f>
        <v>0</v>
      </c>
      <c r="O58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8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8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2603141.0099999998</v>
      </c>
      <c r="R580" s="41">
        <f>ROW()</f>
        <v>580</v>
      </c>
      <c r="S5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2603081.947941998</v>
      </c>
      <c r="U58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2603141.0099999998</v>
      </c>
      <c r="V580" s="150">
        <f>IF(INDEX(TransTypes[],Transactions[[#This Row],[TTR]],TT_COL_GLFlag)=1,Transactions[[#This Row],[CalCashImpact]]+Transactions[[#This Row],[CostImpact]],0)</f>
        <v>0</v>
      </c>
      <c r="W580" s="151">
        <f>Transactions[[#This Row],[Amount]]*INDEX(TransTypes[],Transactions[[#This Row],[TTR]],TT_COL_AmntSign)</f>
        <v>0</v>
      </c>
      <c r="X580" s="151">
        <f>IF(INDEX(TransTypes[],Transactions[[#This Row],[TTR]],TT_COL_LONGORSHORT)="S",
      IF( OR(INDEX(TransTypes[],Transactions[[#This Row],[TTR]],TT_COL_GLFlag)=1, INDEX(TransTypes[], Transactions[[#This Row],[TTR]], TT_COL_ShareTransferFlag)=1),
            Transactions[[#This Row],[CostImpact]]*-1,
            Transactions[[#This Row],[CalCashImpact]]
      ),
     0
)</f>
        <v>0</v>
      </c>
      <c r="Y580" s="152" t="str">
        <f>VLOOKUP(Transactions[[#This Row],[Symbol]],Symbols[], COLUMN(Symbols[Currency])-COLUMN(Symbols[])+1,FALSE)</f>
        <v>CNY</v>
      </c>
    </row>
    <row r="581" spans="1:25">
      <c r="A581" s="138" t="s">
        <v>600</v>
      </c>
      <c r="B581" s="139">
        <v>42248</v>
      </c>
      <c r="C581" s="138" t="s">
        <v>113</v>
      </c>
      <c r="D581" s="138" t="s">
        <v>531</v>
      </c>
      <c r="E581" s="140" t="s">
        <v>629</v>
      </c>
      <c r="F581" s="141">
        <v>2704.87</v>
      </c>
      <c r="G581" s="142">
        <v>0</v>
      </c>
      <c r="H581" s="141"/>
      <c r="I581" s="141"/>
      <c r="J581" s="143">
        <v>0</v>
      </c>
      <c r="K581" s="6"/>
      <c r="L581" s="20">
        <f>IF(ISNA(MATCH(Transactions[[#This Row],[TransType]],TransTypes[TransType],0)),1,MATCH(Transactions[[#This Row],[TransType]],TransTypes[TransType],0))</f>
        <v>2</v>
      </c>
      <c r="M581" s="144">
        <f>IF( AND( INDEX(TransTypes[],Transactions[[#This Row],[TTR]],TT_COL_GLFlag)=1, INDEX(TransTypes[],Transactions[[#This Row],[TTR]],TT_COL_LONGORSHORT)="S" ),
      Transactions[[#This Row],[PL]],
      IF(INDEX(TransTypes[],Transactions[[#This Row],[TTR]],TT_COL_LONGORSHORT)="S",0,Transactions[[#This Row],[CalCashImpact]])
)</f>
        <v>0</v>
      </c>
      <c r="N581" s="145">
        <f>IF(VLOOKUP(Transactions[[#This Row],[Symbol]],Symbols[],COLUMN(Symbols[Currency])-COLUMN(Symbols[])+1,FALSE)=
       VLOOKUP(Transactions[[#This Row],[Account]],Accounts[],COLUMN(Accounts[Currency])-COLUMN(Accounts[])+1,FALSE),
     Transactions[[#This Row],[OrigCashImpact]],
     0
)</f>
        <v>0</v>
      </c>
      <c r="O58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8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2704.87</v>
      </c>
      <c r="Q58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2605845.88</v>
      </c>
      <c r="R581" s="41">
        <f>ROW()</f>
        <v>581</v>
      </c>
      <c r="S5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2603081.947941998</v>
      </c>
      <c r="U58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2605845.88</v>
      </c>
      <c r="V581" s="150">
        <f>IF(INDEX(TransTypes[],Transactions[[#This Row],[TTR]],TT_COL_GLFlag)=1,Transactions[[#This Row],[CalCashImpact]]+Transactions[[#This Row],[CostImpact]],0)</f>
        <v>0</v>
      </c>
      <c r="W581" s="151">
        <f>Transactions[[#This Row],[Amount]]*INDEX(TransTypes[],Transactions[[#This Row],[TTR]],TT_COL_AmntSign)</f>
        <v>0</v>
      </c>
      <c r="X581" s="151">
        <f>IF(INDEX(TransTypes[],Transactions[[#This Row],[TTR]],TT_COL_LONGORSHORT)="S",
      IF( OR(INDEX(TransTypes[],Transactions[[#This Row],[TTR]],TT_COL_GLFlag)=1, INDEX(TransTypes[], Transactions[[#This Row],[TTR]], TT_COL_ShareTransferFlag)=1),
            Transactions[[#This Row],[CostImpact]]*-1,
            Transactions[[#This Row],[CalCashImpact]]
      ),
     0
)</f>
        <v>0</v>
      </c>
      <c r="Y581" s="152" t="str">
        <f>VLOOKUP(Transactions[[#This Row],[Symbol]],Symbols[], COLUMN(Symbols[Currency])-COLUMN(Symbols[])+1,FALSE)</f>
        <v>CNY</v>
      </c>
    </row>
    <row r="582" spans="1:25">
      <c r="A582" s="138" t="s">
        <v>600</v>
      </c>
      <c r="B582" s="139">
        <v>42261</v>
      </c>
      <c r="C582" s="138" t="s">
        <v>119</v>
      </c>
      <c r="D582" s="138"/>
      <c r="E582" s="140" t="s">
        <v>211</v>
      </c>
      <c r="F582" s="141"/>
      <c r="G582" s="142"/>
      <c r="H582" s="141"/>
      <c r="I582" s="141"/>
      <c r="J582" s="143">
        <v>300000</v>
      </c>
      <c r="K582" s="6"/>
      <c r="L582" s="20">
        <f>IF(ISNA(MATCH(Transactions[[#This Row],[TransType]],TransTypes[TransType],0)),1,MATCH(Transactions[[#This Row],[TransType]],TransTypes[TransType],0))</f>
        <v>5</v>
      </c>
      <c r="M582" s="144">
        <f>IF( AND( INDEX(TransTypes[],Transactions[[#This Row],[TTR]],TT_COL_GLFlag)=1, INDEX(TransTypes[],Transactions[[#This Row],[TTR]],TT_COL_LONGORSHORT)="S" ),
      Transactions[[#This Row],[PL]],
      IF(INDEX(TransTypes[],Transactions[[#This Row],[TTR]],TT_COL_LONGORSHORT)="S",0,Transactions[[#This Row],[CalCashImpact]])
)</f>
        <v>-300000</v>
      </c>
      <c r="N582" s="145">
        <f>IF(VLOOKUP(Transactions[[#This Row],[Symbol]],Symbols[],COLUMN(Symbols[Currency])-COLUMN(Symbols[])+1,FALSE)=
       VLOOKUP(Transactions[[#This Row],[Account]],Accounts[],COLUMN(Accounts[Currency])-COLUMN(Accounts[])+1,FALSE),
     Transactions[[#This Row],[OrigCashImpact]],
     0
)</f>
        <v>-300000</v>
      </c>
      <c r="O58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-300000</v>
      </c>
      <c r="P58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8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82" s="41">
        <f>ROW()</f>
        <v>582</v>
      </c>
      <c r="S5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8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82" s="150">
        <f>IF(INDEX(TransTypes[],Transactions[[#This Row],[TTR]],TT_COL_GLFlag)=1,Transactions[[#This Row],[CalCashImpact]]+Transactions[[#This Row],[CostImpact]],0)</f>
        <v>0</v>
      </c>
      <c r="W582" s="151">
        <f>Transactions[[#This Row],[Amount]]*INDEX(TransTypes[],Transactions[[#This Row],[TTR]],TT_COL_AmntSign)</f>
        <v>-300000</v>
      </c>
      <c r="X582" s="151">
        <f>IF(INDEX(TransTypes[],Transactions[[#This Row],[TTR]],TT_COL_LONGORSHORT)="S",
      IF( OR(INDEX(TransTypes[],Transactions[[#This Row],[TTR]],TT_COL_GLFlag)=1, INDEX(TransTypes[], Transactions[[#This Row],[TTR]], TT_COL_ShareTransferFlag)=1),
            Transactions[[#This Row],[CostImpact]]*-1,
            Transactions[[#This Row],[CalCashImpact]]
      ),
     0
)</f>
        <v>0</v>
      </c>
      <c r="Y582" s="152" t="str">
        <f>VLOOKUP(Transactions[[#This Row],[Symbol]],Symbols[], COLUMN(Symbols[Currency])-COLUMN(Symbols[])+1,FALSE)</f>
        <v>CNY</v>
      </c>
    </row>
    <row r="583" spans="1:25">
      <c r="A583" s="138" t="s">
        <v>600</v>
      </c>
      <c r="B583" s="139">
        <v>42261</v>
      </c>
      <c r="C583" s="138" t="s">
        <v>115</v>
      </c>
      <c r="D583" s="138"/>
      <c r="E583" s="140" t="s">
        <v>629</v>
      </c>
      <c r="F583" s="141">
        <v>300000</v>
      </c>
      <c r="G583" s="142">
        <v>1</v>
      </c>
      <c r="H583" s="141">
        <v>0</v>
      </c>
      <c r="I583" s="141"/>
      <c r="J583" s="143">
        <v>300000</v>
      </c>
      <c r="K583" s="6"/>
      <c r="L583" s="20">
        <f>IF(ISNA(MATCH(Transactions[[#This Row],[TransType]],TransTypes[TransType],0)),1,MATCH(Transactions[[#This Row],[TransType]],TransTypes[TransType],0))</f>
        <v>3</v>
      </c>
      <c r="M583" s="144">
        <f>IF( AND( INDEX(TransTypes[],Transactions[[#This Row],[TTR]],TT_COL_GLFlag)=1, INDEX(TransTypes[],Transactions[[#This Row],[TTR]],TT_COL_LONGORSHORT)="S" ),
      Transactions[[#This Row],[PL]],
      IF(INDEX(TransTypes[],Transactions[[#This Row],[TTR]],TT_COL_LONGORSHORT)="S",0,Transactions[[#This Row],[CalCashImpact]])
)</f>
        <v>300000</v>
      </c>
      <c r="N583" s="145">
        <f>IF(VLOOKUP(Transactions[[#This Row],[Symbol]],Symbols[],COLUMN(Symbols[Currency])-COLUMN(Symbols[])+1,FALSE)=
       VLOOKUP(Transactions[[#This Row],[Account]],Accounts[],COLUMN(Accounts[Currency])-COLUMN(Accounts[])+1,FALSE),
     Transactions[[#This Row],[OrigCashImpact]],
     0
)</f>
        <v>300000</v>
      </c>
      <c r="O58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8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-300000</v>
      </c>
      <c r="Q58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2305845.88</v>
      </c>
      <c r="R583" s="41">
        <f>ROW()</f>
        <v>583</v>
      </c>
      <c r="S5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-299681.80020784627</v>
      </c>
      <c r="T5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2303400.1477341517</v>
      </c>
      <c r="U58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2605845.88</v>
      </c>
      <c r="V583" s="150">
        <f>IF(INDEX(TransTypes[],Transactions[[#This Row],[TTR]],TT_COL_GLFlag)=1,Transactions[[#This Row],[CalCashImpact]]+Transactions[[#This Row],[CostImpact]],0)</f>
        <v>318.19979215372587</v>
      </c>
      <c r="W583" s="151">
        <f>Transactions[[#This Row],[Amount]]*INDEX(TransTypes[],Transactions[[#This Row],[TTR]],TT_COL_AmntSign)</f>
        <v>300000</v>
      </c>
      <c r="X583" s="151">
        <f>IF(INDEX(TransTypes[],Transactions[[#This Row],[TTR]],TT_COL_LONGORSHORT)="S",
      IF( OR(INDEX(TransTypes[],Transactions[[#This Row],[TTR]],TT_COL_GLFlag)=1, INDEX(TransTypes[], Transactions[[#This Row],[TTR]], TT_COL_ShareTransferFlag)=1),
            Transactions[[#This Row],[CostImpact]]*-1,
            Transactions[[#This Row],[CalCashImpact]]
      ),
     0
)</f>
        <v>0</v>
      </c>
      <c r="Y583" s="152" t="str">
        <f>VLOOKUP(Transactions[[#This Row],[Symbol]],Symbols[], COLUMN(Symbols[Currency])-COLUMN(Symbols[])+1,FALSE)</f>
        <v>CNY</v>
      </c>
    </row>
    <row r="584" spans="1:25">
      <c r="A584" s="138" t="s">
        <v>600</v>
      </c>
      <c r="B584" s="139">
        <v>42270</v>
      </c>
      <c r="C584" s="138" t="s">
        <v>119</v>
      </c>
      <c r="D584" s="138"/>
      <c r="E584" s="140" t="s">
        <v>211</v>
      </c>
      <c r="F584" s="141"/>
      <c r="G584" s="142"/>
      <c r="H584" s="141"/>
      <c r="I584" s="141"/>
      <c r="J584" s="143">
        <v>1000000</v>
      </c>
      <c r="K584" s="6"/>
      <c r="L584" s="20">
        <f>IF(ISNA(MATCH(Transactions[[#This Row],[TransType]],TransTypes[TransType],0)),1,MATCH(Transactions[[#This Row],[TransType]],TransTypes[TransType],0))</f>
        <v>5</v>
      </c>
      <c r="M584" s="144">
        <f>IF( AND( INDEX(TransTypes[],Transactions[[#This Row],[TTR]],TT_COL_GLFlag)=1, INDEX(TransTypes[],Transactions[[#This Row],[TTR]],TT_COL_LONGORSHORT)="S" ),
      Transactions[[#This Row],[PL]],
      IF(INDEX(TransTypes[],Transactions[[#This Row],[TTR]],TT_COL_LONGORSHORT)="S",0,Transactions[[#This Row],[CalCashImpact]])
)</f>
        <v>-1000000</v>
      </c>
      <c r="N584" s="145">
        <f>IF(VLOOKUP(Transactions[[#This Row],[Symbol]],Symbols[],COLUMN(Symbols[Currency])-COLUMN(Symbols[])+1,FALSE)=
       VLOOKUP(Transactions[[#This Row],[Account]],Accounts[],COLUMN(Accounts[Currency])-COLUMN(Accounts[])+1,FALSE),
     Transactions[[#This Row],[OrigCashImpact]],
     0
)</f>
        <v>-1000000</v>
      </c>
      <c r="O58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v>
      </c>
      <c r="P58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8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84" s="41">
        <f>ROW()</f>
        <v>584</v>
      </c>
      <c r="S5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8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84" s="150">
        <f>IF(INDEX(TransTypes[],Transactions[[#This Row],[TTR]],TT_COL_GLFlag)=1,Transactions[[#This Row],[CalCashImpact]]+Transactions[[#This Row],[CostImpact]],0)</f>
        <v>0</v>
      </c>
      <c r="W584" s="151">
        <f>Transactions[[#This Row],[Amount]]*INDEX(TransTypes[],Transactions[[#This Row],[TTR]],TT_COL_AmntSign)</f>
        <v>-1000000</v>
      </c>
      <c r="X584" s="151">
        <f>IF(INDEX(TransTypes[],Transactions[[#This Row],[TTR]],TT_COL_LONGORSHORT)="S",
      IF( OR(INDEX(TransTypes[],Transactions[[#This Row],[TTR]],TT_COL_GLFlag)=1, INDEX(TransTypes[], Transactions[[#This Row],[TTR]], TT_COL_ShareTransferFlag)=1),
            Transactions[[#This Row],[CostImpact]]*-1,
            Transactions[[#This Row],[CalCashImpact]]
      ),
     0
)</f>
        <v>0</v>
      </c>
      <c r="Y584" s="152" t="str">
        <f>VLOOKUP(Transactions[[#This Row],[Symbol]],Symbols[], COLUMN(Symbols[Currency])-COLUMN(Symbols[])+1,FALSE)</f>
        <v>CNY</v>
      </c>
    </row>
    <row r="585" spans="1:25">
      <c r="A585" s="138" t="s">
        <v>600</v>
      </c>
      <c r="B585" s="139">
        <v>42270</v>
      </c>
      <c r="C585" s="138" t="s">
        <v>115</v>
      </c>
      <c r="D585" s="138"/>
      <c r="E585" s="140" t="s">
        <v>629</v>
      </c>
      <c r="F585" s="141">
        <v>1000000</v>
      </c>
      <c r="G585" s="142">
        <v>1</v>
      </c>
      <c r="H585" s="141">
        <v>0</v>
      </c>
      <c r="I585" s="141"/>
      <c r="J585" s="143">
        <v>1000000</v>
      </c>
      <c r="K585" s="6"/>
      <c r="L585" s="20">
        <f>IF(ISNA(MATCH(Transactions[[#This Row],[TransType]],TransTypes[TransType],0)),1,MATCH(Transactions[[#This Row],[TransType]],TransTypes[TransType],0))</f>
        <v>3</v>
      </c>
      <c r="M585" s="144">
        <f>IF( AND( INDEX(TransTypes[],Transactions[[#This Row],[TTR]],TT_COL_GLFlag)=1, INDEX(TransTypes[],Transactions[[#This Row],[TTR]],TT_COL_LONGORSHORT)="S" ),
      Transactions[[#This Row],[PL]],
      IF(INDEX(TransTypes[],Transactions[[#This Row],[TTR]],TT_COL_LONGORSHORT)="S",0,Transactions[[#This Row],[CalCashImpact]])
)</f>
        <v>1000000</v>
      </c>
      <c r="N585" s="145">
        <f>IF(VLOOKUP(Transactions[[#This Row],[Symbol]],Symbols[],COLUMN(Symbols[Currency])-COLUMN(Symbols[])+1,FALSE)=
       VLOOKUP(Transactions[[#This Row],[Account]],Accounts[],COLUMN(Accounts[Currency])-COLUMN(Accounts[])+1,FALSE),
     Transactions[[#This Row],[OrigCashImpact]],
     0
)</f>
        <v>1000000</v>
      </c>
      <c r="O58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8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-1000000</v>
      </c>
      <c r="Q58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1305845.8799999999</v>
      </c>
      <c r="R585" s="41">
        <f>ROW()</f>
        <v>585</v>
      </c>
      <c r="S5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-998939.33402615436</v>
      </c>
      <c r="T5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1304460.8137079973</v>
      </c>
      <c r="U58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2305845.88</v>
      </c>
      <c r="V585" s="150">
        <f>IF(INDEX(TransTypes[],Transactions[[#This Row],[TTR]],TT_COL_GLFlag)=1,Transactions[[#This Row],[CalCashImpact]]+Transactions[[#This Row],[CostImpact]],0)</f>
        <v>1060.6659738456365</v>
      </c>
      <c r="W585" s="151">
        <f>Transactions[[#This Row],[Amount]]*INDEX(TransTypes[],Transactions[[#This Row],[TTR]],TT_COL_AmntSign)</f>
        <v>1000000</v>
      </c>
      <c r="X585" s="151">
        <f>IF(INDEX(TransTypes[],Transactions[[#This Row],[TTR]],TT_COL_LONGORSHORT)="S",
      IF( OR(INDEX(TransTypes[],Transactions[[#This Row],[TTR]],TT_COL_GLFlag)=1, INDEX(TransTypes[], Transactions[[#This Row],[TTR]], TT_COL_ShareTransferFlag)=1),
            Transactions[[#This Row],[CostImpact]]*-1,
            Transactions[[#This Row],[CalCashImpact]]
      ),
     0
)</f>
        <v>0</v>
      </c>
      <c r="Y585" s="152" t="str">
        <f>VLOOKUP(Transactions[[#This Row],[Symbol]],Symbols[], COLUMN(Symbols[Currency])-COLUMN(Symbols[])+1,FALSE)</f>
        <v>CNY</v>
      </c>
    </row>
    <row r="586" spans="1:25">
      <c r="A586" s="138" t="s">
        <v>600</v>
      </c>
      <c r="B586" s="139">
        <v>42287</v>
      </c>
      <c r="C586" s="138" t="s">
        <v>118</v>
      </c>
      <c r="D586" s="138"/>
      <c r="E586" s="140" t="s">
        <v>629</v>
      </c>
      <c r="F586" s="141"/>
      <c r="G586" s="142"/>
      <c r="H586" s="141"/>
      <c r="I586" s="141"/>
      <c r="J586" s="143">
        <v>0</v>
      </c>
      <c r="K586" s="6"/>
      <c r="L586" s="20">
        <f>IF(ISNA(MATCH(Transactions[[#This Row],[TransType]],TransTypes[TransType],0)),1,MATCH(Transactions[[#This Row],[TransType]],TransTypes[TransType],0))</f>
        <v>4</v>
      </c>
      <c r="M586" s="144">
        <f>IF( AND( INDEX(TransTypes[],Transactions[[#This Row],[TTR]],TT_COL_GLFlag)=1, INDEX(TransTypes[],Transactions[[#This Row],[TTR]],TT_COL_LONGORSHORT)="S" ),
      Transactions[[#This Row],[PL]],
      IF(INDEX(TransTypes[],Transactions[[#This Row],[TTR]],TT_COL_LONGORSHORT)="S",0,Transactions[[#This Row],[CalCashImpact]])
)</f>
        <v>0</v>
      </c>
      <c r="N586" s="145">
        <f>IF(VLOOKUP(Transactions[[#This Row],[Symbol]],Symbols[],COLUMN(Symbols[Currency])-COLUMN(Symbols[])+1,FALSE)=
       VLOOKUP(Transactions[[#This Row],[Account]],Accounts[],COLUMN(Accounts[Currency])-COLUMN(Accounts[])+1,FALSE),
     Transactions[[#This Row],[OrigCashImpact]],
     0
)</f>
        <v>0</v>
      </c>
      <c r="O58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8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8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1305845.8799999999</v>
      </c>
      <c r="R586" s="41">
        <f>ROW()</f>
        <v>586</v>
      </c>
      <c r="S5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1304460.8137079973</v>
      </c>
      <c r="U58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1305845.8799999999</v>
      </c>
      <c r="V586" s="150">
        <f>IF(INDEX(TransTypes[],Transactions[[#This Row],[TTR]],TT_COL_GLFlag)=1,Transactions[[#This Row],[CalCashImpact]]+Transactions[[#This Row],[CostImpact]],0)</f>
        <v>0</v>
      </c>
      <c r="W586" s="151">
        <f>Transactions[[#This Row],[Amount]]*INDEX(TransTypes[],Transactions[[#This Row],[TTR]],TT_COL_AmntSign)</f>
        <v>0</v>
      </c>
      <c r="X586" s="151">
        <f>IF(INDEX(TransTypes[],Transactions[[#This Row],[TTR]],TT_COL_LONGORSHORT)="S",
      IF( OR(INDEX(TransTypes[],Transactions[[#This Row],[TTR]],TT_COL_GLFlag)=1, INDEX(TransTypes[], Transactions[[#This Row],[TTR]], TT_COL_ShareTransferFlag)=1),
            Transactions[[#This Row],[CostImpact]]*-1,
            Transactions[[#This Row],[CalCashImpact]]
      ),
     0
)</f>
        <v>0</v>
      </c>
      <c r="Y586" s="152" t="str">
        <f>VLOOKUP(Transactions[[#This Row],[Symbol]],Symbols[], COLUMN(Symbols[Currency])-COLUMN(Symbols[])+1,FALSE)</f>
        <v>CNY</v>
      </c>
    </row>
    <row r="587" spans="1:25">
      <c r="A587" s="138" t="s">
        <v>600</v>
      </c>
      <c r="B587" s="139">
        <v>42287</v>
      </c>
      <c r="C587" s="138" t="s">
        <v>113</v>
      </c>
      <c r="D587" s="138" t="s">
        <v>531</v>
      </c>
      <c r="E587" s="140" t="s">
        <v>629</v>
      </c>
      <c r="F587" s="141">
        <v>6475.51</v>
      </c>
      <c r="G587" s="142">
        <v>0</v>
      </c>
      <c r="H587" s="141"/>
      <c r="I587" s="141"/>
      <c r="J587" s="143">
        <v>0</v>
      </c>
      <c r="K587" s="6"/>
      <c r="L587" s="20">
        <f>IF(ISNA(MATCH(Transactions[[#This Row],[TransType]],TransTypes[TransType],0)),1,MATCH(Transactions[[#This Row],[TransType]],TransTypes[TransType],0))</f>
        <v>2</v>
      </c>
      <c r="M587" s="144">
        <f>IF( AND( INDEX(TransTypes[],Transactions[[#This Row],[TTR]],TT_COL_GLFlag)=1, INDEX(TransTypes[],Transactions[[#This Row],[TTR]],TT_COL_LONGORSHORT)="S" ),
      Transactions[[#This Row],[PL]],
      IF(INDEX(TransTypes[],Transactions[[#This Row],[TTR]],TT_COL_LONGORSHORT)="S",0,Transactions[[#This Row],[CalCashImpact]])
)</f>
        <v>0</v>
      </c>
      <c r="N587" s="145">
        <f>IF(VLOOKUP(Transactions[[#This Row],[Symbol]],Symbols[],COLUMN(Symbols[Currency])-COLUMN(Symbols[])+1,FALSE)=
       VLOOKUP(Transactions[[#This Row],[Account]],Accounts[],COLUMN(Accounts[Currency])-COLUMN(Accounts[])+1,FALSE),
     Transactions[[#This Row],[OrigCashImpact]],
     0
)</f>
        <v>0</v>
      </c>
      <c r="O58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8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6475.51</v>
      </c>
      <c r="Q58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1312321.3899999999</v>
      </c>
      <c r="R587" s="41">
        <f>ROW()</f>
        <v>587</v>
      </c>
      <c r="S5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1304460.8137079973</v>
      </c>
      <c r="U58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1312321.3899999999</v>
      </c>
      <c r="V587" s="150">
        <f>IF(INDEX(TransTypes[],Transactions[[#This Row],[TTR]],TT_COL_GLFlag)=1,Transactions[[#This Row],[CalCashImpact]]+Transactions[[#This Row],[CostImpact]],0)</f>
        <v>0</v>
      </c>
      <c r="W587" s="151">
        <f>Transactions[[#This Row],[Amount]]*INDEX(TransTypes[],Transactions[[#This Row],[TTR]],TT_COL_AmntSign)</f>
        <v>0</v>
      </c>
      <c r="X587" s="151">
        <f>IF(INDEX(TransTypes[],Transactions[[#This Row],[TTR]],TT_COL_LONGORSHORT)="S",
      IF( OR(INDEX(TransTypes[],Transactions[[#This Row],[TTR]],TT_COL_GLFlag)=1, INDEX(TransTypes[], Transactions[[#This Row],[TTR]], TT_COL_ShareTransferFlag)=1),
            Transactions[[#This Row],[CostImpact]]*-1,
            Transactions[[#This Row],[CalCashImpact]]
      ),
     0
)</f>
        <v>0</v>
      </c>
      <c r="Y587" s="152" t="str">
        <f>VLOOKUP(Transactions[[#This Row],[Symbol]],Symbols[], COLUMN(Symbols[Currency])-COLUMN(Symbols[])+1,FALSE)</f>
        <v>CNY</v>
      </c>
    </row>
    <row r="588" spans="1:25">
      <c r="A588" s="138" t="s">
        <v>600</v>
      </c>
      <c r="B588" s="139">
        <v>42310</v>
      </c>
      <c r="C588" s="138" t="s">
        <v>118</v>
      </c>
      <c r="D588" s="138"/>
      <c r="E588" s="140" t="s">
        <v>629</v>
      </c>
      <c r="F588" s="141"/>
      <c r="G588" s="142"/>
      <c r="H588" s="141"/>
      <c r="I588" s="141"/>
      <c r="J588" s="143">
        <v>0</v>
      </c>
      <c r="K588" s="6"/>
      <c r="L588" s="20">
        <f>IF(ISNA(MATCH(Transactions[[#This Row],[TransType]],TransTypes[TransType],0)),1,MATCH(Transactions[[#This Row],[TransType]],TransTypes[TransType],0))</f>
        <v>4</v>
      </c>
      <c r="M588" s="144">
        <f>IF( AND( INDEX(TransTypes[],Transactions[[#This Row],[TTR]],TT_COL_GLFlag)=1, INDEX(TransTypes[],Transactions[[#This Row],[TTR]],TT_COL_LONGORSHORT)="S" ),
      Transactions[[#This Row],[PL]],
      IF(INDEX(TransTypes[],Transactions[[#This Row],[TTR]],TT_COL_LONGORSHORT)="S",0,Transactions[[#This Row],[CalCashImpact]])
)</f>
        <v>0</v>
      </c>
      <c r="N588" s="145">
        <f>IF(VLOOKUP(Transactions[[#This Row],[Symbol]],Symbols[],COLUMN(Symbols[Currency])-COLUMN(Symbols[])+1,FALSE)=
       VLOOKUP(Transactions[[#This Row],[Account]],Accounts[],COLUMN(Accounts[Currency])-COLUMN(Accounts[])+1,FALSE),
     Transactions[[#This Row],[OrigCashImpact]],
     0
)</f>
        <v>0</v>
      </c>
      <c r="O58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8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8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1312321.3899999999</v>
      </c>
      <c r="R588" s="41">
        <f>ROW()</f>
        <v>588</v>
      </c>
      <c r="S5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1304460.8137079973</v>
      </c>
      <c r="U58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1312321.3899999999</v>
      </c>
      <c r="V588" s="150">
        <f>IF(INDEX(TransTypes[],Transactions[[#This Row],[TTR]],TT_COL_GLFlag)=1,Transactions[[#This Row],[CalCashImpact]]+Transactions[[#This Row],[CostImpact]],0)</f>
        <v>0</v>
      </c>
      <c r="W588" s="151">
        <f>Transactions[[#This Row],[Amount]]*INDEX(TransTypes[],Transactions[[#This Row],[TTR]],TT_COL_AmntSign)</f>
        <v>0</v>
      </c>
      <c r="X588" s="151">
        <f>IF(INDEX(TransTypes[],Transactions[[#This Row],[TTR]],TT_COL_LONGORSHORT)="S",
      IF( OR(INDEX(TransTypes[],Transactions[[#This Row],[TTR]],TT_COL_GLFlag)=1, INDEX(TransTypes[], Transactions[[#This Row],[TTR]], TT_COL_ShareTransferFlag)=1),
            Transactions[[#This Row],[CostImpact]]*-1,
            Transactions[[#This Row],[CalCashImpact]]
      ),
     0
)</f>
        <v>0</v>
      </c>
      <c r="Y588" s="152" t="str">
        <f>VLOOKUP(Transactions[[#This Row],[Symbol]],Symbols[], COLUMN(Symbols[Currency])-COLUMN(Symbols[])+1,FALSE)</f>
        <v>CNY</v>
      </c>
    </row>
    <row r="589" spans="1:25">
      <c r="A589" s="138" t="s">
        <v>600</v>
      </c>
      <c r="B589" s="139">
        <v>42310</v>
      </c>
      <c r="C589" s="138" t="s">
        <v>113</v>
      </c>
      <c r="D589" s="138" t="s">
        <v>531</v>
      </c>
      <c r="E589" s="140" t="s">
        <v>629</v>
      </c>
      <c r="F589" s="141">
        <v>3048.32</v>
      </c>
      <c r="G589" s="142">
        <v>0</v>
      </c>
      <c r="H589" s="141"/>
      <c r="I589" s="141"/>
      <c r="J589" s="143">
        <v>0</v>
      </c>
      <c r="K589" s="6"/>
      <c r="L589" s="20">
        <f>IF(ISNA(MATCH(Transactions[[#This Row],[TransType]],TransTypes[TransType],0)),1,MATCH(Transactions[[#This Row],[TransType]],TransTypes[TransType],0))</f>
        <v>2</v>
      </c>
      <c r="M589" s="144">
        <f>IF( AND( INDEX(TransTypes[],Transactions[[#This Row],[TTR]],TT_COL_GLFlag)=1, INDEX(TransTypes[],Transactions[[#This Row],[TTR]],TT_COL_LONGORSHORT)="S" ),
      Transactions[[#This Row],[PL]],
      IF(INDEX(TransTypes[],Transactions[[#This Row],[TTR]],TT_COL_LONGORSHORT)="S",0,Transactions[[#This Row],[CalCashImpact]])
)</f>
        <v>0</v>
      </c>
      <c r="N589" s="145">
        <f>IF(VLOOKUP(Transactions[[#This Row],[Symbol]],Symbols[],COLUMN(Symbols[Currency])-COLUMN(Symbols[])+1,FALSE)=
       VLOOKUP(Transactions[[#This Row],[Account]],Accounts[],COLUMN(Accounts[Currency])-COLUMN(Accounts[])+1,FALSE),
     Transactions[[#This Row],[OrigCashImpact]],
     0
)</f>
        <v>0</v>
      </c>
      <c r="O58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8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3048.32</v>
      </c>
      <c r="Q58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1315369.71</v>
      </c>
      <c r="R589" s="41">
        <f>ROW()</f>
        <v>589</v>
      </c>
      <c r="S5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1304460.8137079973</v>
      </c>
      <c r="U58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1315369.71</v>
      </c>
      <c r="V589" s="150">
        <f>IF(INDEX(TransTypes[],Transactions[[#This Row],[TTR]],TT_COL_GLFlag)=1,Transactions[[#This Row],[CalCashImpact]]+Transactions[[#This Row],[CostImpact]],0)</f>
        <v>0</v>
      </c>
      <c r="W589" s="151">
        <f>Transactions[[#This Row],[Amount]]*INDEX(TransTypes[],Transactions[[#This Row],[TTR]],TT_COL_AmntSign)</f>
        <v>0</v>
      </c>
      <c r="X589" s="151">
        <f>IF(INDEX(TransTypes[],Transactions[[#This Row],[TTR]],TT_COL_LONGORSHORT)="S",
      IF( OR(INDEX(TransTypes[],Transactions[[#This Row],[TTR]],TT_COL_GLFlag)=1, INDEX(TransTypes[], Transactions[[#This Row],[TTR]], TT_COL_ShareTransferFlag)=1),
            Transactions[[#This Row],[CostImpact]]*-1,
            Transactions[[#This Row],[CalCashImpact]]
      ),
     0
)</f>
        <v>0</v>
      </c>
      <c r="Y589" s="152" t="str">
        <f>VLOOKUP(Transactions[[#This Row],[Symbol]],Symbols[], COLUMN(Symbols[Currency])-COLUMN(Symbols[])+1,FALSE)</f>
        <v>CNY</v>
      </c>
    </row>
    <row r="590" spans="1:25">
      <c r="A590" s="138" t="s">
        <v>600</v>
      </c>
      <c r="B590" s="139">
        <v>42318</v>
      </c>
      <c r="C590" s="138" t="s">
        <v>119</v>
      </c>
      <c r="D590" s="138"/>
      <c r="E590" s="140" t="s">
        <v>211</v>
      </c>
      <c r="F590" s="141"/>
      <c r="G590" s="142"/>
      <c r="H590" s="141"/>
      <c r="I590" s="141"/>
      <c r="J590" s="143">
        <v>1000000</v>
      </c>
      <c r="K590" s="6"/>
      <c r="L590" s="20">
        <f>IF(ISNA(MATCH(Transactions[[#This Row],[TransType]],TransTypes[TransType],0)),1,MATCH(Transactions[[#This Row],[TransType]],TransTypes[TransType],0))</f>
        <v>5</v>
      </c>
      <c r="M590" s="144">
        <f>IF( AND( INDEX(TransTypes[],Transactions[[#This Row],[TTR]],TT_COL_GLFlag)=1, INDEX(TransTypes[],Transactions[[#This Row],[TTR]],TT_COL_LONGORSHORT)="S" ),
      Transactions[[#This Row],[PL]],
      IF(INDEX(TransTypes[],Transactions[[#This Row],[TTR]],TT_COL_LONGORSHORT)="S",0,Transactions[[#This Row],[CalCashImpact]])
)</f>
        <v>-1000000</v>
      </c>
      <c r="N590" s="145">
        <f>IF(VLOOKUP(Transactions[[#This Row],[Symbol]],Symbols[],COLUMN(Symbols[Currency])-COLUMN(Symbols[])+1,FALSE)=
       VLOOKUP(Transactions[[#This Row],[Account]],Accounts[],COLUMN(Accounts[Currency])-COLUMN(Accounts[])+1,FALSE),
     Transactions[[#This Row],[OrigCashImpact]],
     0
)</f>
        <v>-1000000</v>
      </c>
      <c r="O59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v>
      </c>
      <c r="P59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9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90" s="41">
        <f>ROW()</f>
        <v>590</v>
      </c>
      <c r="S5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9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90" s="150">
        <f>IF(INDEX(TransTypes[],Transactions[[#This Row],[TTR]],TT_COL_GLFlag)=1,Transactions[[#This Row],[CalCashImpact]]+Transactions[[#This Row],[CostImpact]],0)</f>
        <v>0</v>
      </c>
      <c r="W590" s="151">
        <f>Transactions[[#This Row],[Amount]]*INDEX(TransTypes[],Transactions[[#This Row],[TTR]],TT_COL_AmntSign)</f>
        <v>-1000000</v>
      </c>
      <c r="X590" s="151">
        <f>IF(INDEX(TransTypes[],Transactions[[#This Row],[TTR]],TT_COL_LONGORSHORT)="S",
      IF( OR(INDEX(TransTypes[],Transactions[[#This Row],[TTR]],TT_COL_GLFlag)=1, INDEX(TransTypes[], Transactions[[#This Row],[TTR]], TT_COL_ShareTransferFlag)=1),
            Transactions[[#This Row],[CostImpact]]*-1,
            Transactions[[#This Row],[CalCashImpact]]
      ),
     0
)</f>
        <v>0</v>
      </c>
      <c r="Y590" s="152" t="str">
        <f>VLOOKUP(Transactions[[#This Row],[Symbol]],Symbols[], COLUMN(Symbols[Currency])-COLUMN(Symbols[])+1,FALSE)</f>
        <v>CNY</v>
      </c>
    </row>
    <row r="591" spans="1:25">
      <c r="A591" s="138" t="s">
        <v>600</v>
      </c>
      <c r="B591" s="139">
        <v>42318</v>
      </c>
      <c r="C591" s="138" t="s">
        <v>115</v>
      </c>
      <c r="D591" s="138"/>
      <c r="E591" s="140" t="s">
        <v>629</v>
      </c>
      <c r="F591" s="141">
        <v>1000000</v>
      </c>
      <c r="G591" s="142">
        <v>1</v>
      </c>
      <c r="H591" s="141">
        <v>0</v>
      </c>
      <c r="I591" s="141"/>
      <c r="J591" s="143">
        <v>1000000</v>
      </c>
      <c r="K591" s="6"/>
      <c r="L591" s="20">
        <f>IF(ISNA(MATCH(Transactions[[#This Row],[TransType]],TransTypes[TransType],0)),1,MATCH(Transactions[[#This Row],[TransType]],TransTypes[TransType],0))</f>
        <v>3</v>
      </c>
      <c r="M591" s="144">
        <f>IF( AND( INDEX(TransTypes[],Transactions[[#This Row],[TTR]],TT_COL_GLFlag)=1, INDEX(TransTypes[],Transactions[[#This Row],[TTR]],TT_COL_LONGORSHORT)="S" ),
      Transactions[[#This Row],[PL]],
      IF(INDEX(TransTypes[],Transactions[[#This Row],[TTR]],TT_COL_LONGORSHORT)="S",0,Transactions[[#This Row],[CalCashImpact]])
)</f>
        <v>1000000</v>
      </c>
      <c r="N591" s="145">
        <f>IF(VLOOKUP(Transactions[[#This Row],[Symbol]],Symbols[],COLUMN(Symbols[Currency])-COLUMN(Symbols[])+1,FALSE)=
       VLOOKUP(Transactions[[#This Row],[Account]],Accounts[],COLUMN(Accounts[Currency])-COLUMN(Accounts[])+1,FALSE),
     Transactions[[#This Row],[OrigCashImpact]],
     0
)</f>
        <v>1000000</v>
      </c>
      <c r="O59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9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-1000000</v>
      </c>
      <c r="Q59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315369.70999999996</v>
      </c>
      <c r="R591" s="41">
        <f>ROW()</f>
        <v>591</v>
      </c>
      <c r="S5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-991706.59305207606</v>
      </c>
      <c r="T5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312754.22065592126</v>
      </c>
      <c r="U59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1315369.71</v>
      </c>
      <c r="V591" s="150">
        <f>IF(INDEX(TransTypes[],Transactions[[#This Row],[TTR]],TT_COL_GLFlag)=1,Transactions[[#This Row],[CalCashImpact]]+Transactions[[#This Row],[CostImpact]],0)</f>
        <v>8293.4069479239406</v>
      </c>
      <c r="W591" s="151">
        <f>Transactions[[#This Row],[Amount]]*INDEX(TransTypes[],Transactions[[#This Row],[TTR]],TT_COL_AmntSign)</f>
        <v>1000000</v>
      </c>
      <c r="X591" s="151">
        <f>IF(INDEX(TransTypes[],Transactions[[#This Row],[TTR]],TT_COL_LONGORSHORT)="S",
      IF( OR(INDEX(TransTypes[],Transactions[[#This Row],[TTR]],TT_COL_GLFlag)=1, INDEX(TransTypes[], Transactions[[#This Row],[TTR]], TT_COL_ShareTransferFlag)=1),
            Transactions[[#This Row],[CostImpact]]*-1,
            Transactions[[#This Row],[CalCashImpact]]
      ),
     0
)</f>
        <v>0</v>
      </c>
      <c r="Y591" s="152" t="str">
        <f>VLOOKUP(Transactions[[#This Row],[Symbol]],Symbols[], COLUMN(Symbols[Currency])-COLUMN(Symbols[])+1,FALSE)</f>
        <v>CNY</v>
      </c>
    </row>
    <row r="592" spans="1:25">
      <c r="A592" s="138" t="s">
        <v>600</v>
      </c>
      <c r="B592" s="139">
        <v>42339</v>
      </c>
      <c r="C592" s="138" t="s">
        <v>118</v>
      </c>
      <c r="D592" s="138"/>
      <c r="E592" s="140" t="s">
        <v>629</v>
      </c>
      <c r="F592" s="141"/>
      <c r="G592" s="142"/>
      <c r="H592" s="141"/>
      <c r="I592" s="141"/>
      <c r="J592" s="143">
        <v>0</v>
      </c>
      <c r="K592" s="6"/>
      <c r="L592" s="20">
        <f>IF(ISNA(MATCH(Transactions[[#This Row],[TransType]],TransTypes[TransType],0)),1,MATCH(Transactions[[#This Row],[TransType]],TransTypes[TransType],0))</f>
        <v>4</v>
      </c>
      <c r="M592" s="144">
        <f>IF( AND( INDEX(TransTypes[],Transactions[[#This Row],[TTR]],TT_COL_GLFlag)=1, INDEX(TransTypes[],Transactions[[#This Row],[TTR]],TT_COL_LONGORSHORT)="S" ),
      Transactions[[#This Row],[PL]],
      IF(INDEX(TransTypes[],Transactions[[#This Row],[TTR]],TT_COL_LONGORSHORT)="S",0,Transactions[[#This Row],[CalCashImpact]])
)</f>
        <v>0</v>
      </c>
      <c r="N592" s="145">
        <f>IF(VLOOKUP(Transactions[[#This Row],[Symbol]],Symbols[],COLUMN(Symbols[Currency])-COLUMN(Symbols[])+1,FALSE)=
       VLOOKUP(Transactions[[#This Row],[Account]],Accounts[],COLUMN(Accounts[Currency])-COLUMN(Accounts[])+1,FALSE),
     Transactions[[#This Row],[OrigCashImpact]],
     0
)</f>
        <v>0</v>
      </c>
      <c r="O59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9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9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315369.70999999996</v>
      </c>
      <c r="R592" s="41">
        <f>ROW()</f>
        <v>592</v>
      </c>
      <c r="S5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312754.22065592126</v>
      </c>
      <c r="U59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315369.70999999996</v>
      </c>
      <c r="V592" s="150">
        <f>IF(INDEX(TransTypes[],Transactions[[#This Row],[TTR]],TT_COL_GLFlag)=1,Transactions[[#This Row],[CalCashImpact]]+Transactions[[#This Row],[CostImpact]],0)</f>
        <v>0</v>
      </c>
      <c r="W592" s="151">
        <f>Transactions[[#This Row],[Amount]]*INDEX(TransTypes[],Transactions[[#This Row],[TTR]],TT_COL_AmntSign)</f>
        <v>0</v>
      </c>
      <c r="X592" s="151">
        <f>IF(INDEX(TransTypes[],Transactions[[#This Row],[TTR]],TT_COL_LONGORSHORT)="S",
      IF( OR(INDEX(TransTypes[],Transactions[[#This Row],[TTR]],TT_COL_GLFlag)=1, INDEX(TransTypes[], Transactions[[#This Row],[TTR]], TT_COL_ShareTransferFlag)=1),
            Transactions[[#This Row],[CostImpact]]*-1,
            Transactions[[#This Row],[CalCashImpact]]
      ),
     0
)</f>
        <v>0</v>
      </c>
      <c r="Y592" s="152" t="str">
        <f>VLOOKUP(Transactions[[#This Row],[Symbol]],Symbols[], COLUMN(Symbols[Currency])-COLUMN(Symbols[])+1,FALSE)</f>
        <v>CNY</v>
      </c>
    </row>
    <row r="593" spans="1:25">
      <c r="A593" s="138" t="s">
        <v>600</v>
      </c>
      <c r="B593" s="139">
        <v>42339</v>
      </c>
      <c r="C593" s="138" t="s">
        <v>113</v>
      </c>
      <c r="D593" s="138" t="s">
        <v>531</v>
      </c>
      <c r="E593" s="140" t="s">
        <v>629</v>
      </c>
      <c r="F593" s="141">
        <v>1553.18</v>
      </c>
      <c r="G593" s="142">
        <v>0</v>
      </c>
      <c r="H593" s="141"/>
      <c r="I593" s="141"/>
      <c r="J593" s="143">
        <v>0</v>
      </c>
      <c r="K593" s="6"/>
      <c r="L593" s="20">
        <f>IF(ISNA(MATCH(Transactions[[#This Row],[TransType]],TransTypes[TransType],0)),1,MATCH(Transactions[[#This Row],[TransType]],TransTypes[TransType],0))</f>
        <v>2</v>
      </c>
      <c r="M593" s="144">
        <f>IF( AND( INDEX(TransTypes[],Transactions[[#This Row],[TTR]],TT_COL_GLFlag)=1, INDEX(TransTypes[],Transactions[[#This Row],[TTR]],TT_COL_LONGORSHORT)="S" ),
      Transactions[[#This Row],[PL]],
      IF(INDEX(TransTypes[],Transactions[[#This Row],[TTR]],TT_COL_LONGORSHORT)="S",0,Transactions[[#This Row],[CalCashImpact]])
)</f>
        <v>0</v>
      </c>
      <c r="N593" s="145">
        <f>IF(VLOOKUP(Transactions[[#This Row],[Symbol]],Symbols[],COLUMN(Symbols[Currency])-COLUMN(Symbols[])+1,FALSE)=
       VLOOKUP(Transactions[[#This Row],[Account]],Accounts[],COLUMN(Accounts[Currency])-COLUMN(Accounts[])+1,FALSE),
     Transactions[[#This Row],[OrigCashImpact]],
     0
)</f>
        <v>0</v>
      </c>
      <c r="O59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9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1553.18</v>
      </c>
      <c r="Q59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316922.88999999996</v>
      </c>
      <c r="R593" s="41">
        <f>ROW()</f>
        <v>593</v>
      </c>
      <c r="S5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312754.22065592126</v>
      </c>
      <c r="U59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316922.88999999996</v>
      </c>
      <c r="V593" s="150">
        <f>IF(INDEX(TransTypes[],Transactions[[#This Row],[TTR]],TT_COL_GLFlag)=1,Transactions[[#This Row],[CalCashImpact]]+Transactions[[#This Row],[CostImpact]],0)</f>
        <v>0</v>
      </c>
      <c r="W593" s="151">
        <f>Transactions[[#This Row],[Amount]]*INDEX(TransTypes[],Transactions[[#This Row],[TTR]],TT_COL_AmntSign)</f>
        <v>0</v>
      </c>
      <c r="X593" s="151">
        <f>IF(INDEX(TransTypes[],Transactions[[#This Row],[TTR]],TT_COL_LONGORSHORT)="S",
      IF( OR(INDEX(TransTypes[],Transactions[[#This Row],[TTR]],TT_COL_GLFlag)=1, INDEX(TransTypes[], Transactions[[#This Row],[TTR]], TT_COL_ShareTransferFlag)=1),
            Transactions[[#This Row],[CostImpact]]*-1,
            Transactions[[#This Row],[CalCashImpact]]
      ),
     0
)</f>
        <v>0</v>
      </c>
      <c r="Y593" s="152" t="str">
        <f>VLOOKUP(Transactions[[#This Row],[Symbol]],Symbols[], COLUMN(Symbols[Currency])-COLUMN(Symbols[])+1,FALSE)</f>
        <v>CNY</v>
      </c>
    </row>
    <row r="594" spans="1:25">
      <c r="A594" s="138" t="s">
        <v>600</v>
      </c>
      <c r="B594" s="139">
        <v>42363</v>
      </c>
      <c r="C594" s="138" t="s">
        <v>115</v>
      </c>
      <c r="D594" s="138"/>
      <c r="E594" s="140" t="s">
        <v>614</v>
      </c>
      <c r="F594" s="141">
        <v>65605.88</v>
      </c>
      <c r="G594" s="142">
        <v>2.9529999445171602</v>
      </c>
      <c r="H594" s="141">
        <v>968.67</v>
      </c>
      <c r="I594" s="141"/>
      <c r="J594" s="143">
        <v>192765.49</v>
      </c>
      <c r="K594" s="6"/>
      <c r="L594" s="20">
        <f>IF(ISNA(MATCH(Transactions[[#This Row],[TransType]],TransTypes[TransType],0)),1,MATCH(Transactions[[#This Row],[TransType]],TransTypes[TransType],0))</f>
        <v>3</v>
      </c>
      <c r="M594" s="144">
        <f>IF( AND( INDEX(TransTypes[],Transactions[[#This Row],[TTR]],TT_COL_GLFlag)=1, INDEX(TransTypes[],Transactions[[#This Row],[TTR]],TT_COL_LONGORSHORT)="S" ),
      Transactions[[#This Row],[PL]],
      IF(INDEX(TransTypes[],Transactions[[#This Row],[TTR]],TT_COL_LONGORSHORT)="S",0,Transactions[[#This Row],[CalCashImpact]])
)</f>
        <v>192765.49</v>
      </c>
      <c r="N594" s="145">
        <f>IF(VLOOKUP(Transactions[[#This Row],[Symbol]],Symbols[],COLUMN(Symbols[Currency])-COLUMN(Symbols[])+1,FALSE)=
       VLOOKUP(Transactions[[#This Row],[Account]],Accounts[],COLUMN(Accounts[Currency])-COLUMN(Accounts[])+1,FALSE),
     Transactions[[#This Row],[OrigCashImpact]],
     0
)</f>
        <v>192765.49</v>
      </c>
      <c r="O59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192765.49</v>
      </c>
      <c r="P59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-65605.88</v>
      </c>
      <c r="Q59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370000</v>
      </c>
      <c r="R594" s="41">
        <f>ROW()</f>
        <v>594</v>
      </c>
      <c r="S5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-180730.01218440852</v>
      </c>
      <c r="T5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1019269.9878155915</v>
      </c>
      <c r="U59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435605.88</v>
      </c>
      <c r="V594" s="150">
        <f>IF(INDEX(TransTypes[],Transactions[[#This Row],[TTR]],TT_COL_GLFlag)=1,Transactions[[#This Row],[CalCashImpact]]+Transactions[[#This Row],[CostImpact]],0)</f>
        <v>12035.477815591468</v>
      </c>
      <c r="W594" s="151">
        <f>Transactions[[#This Row],[Amount]]*INDEX(TransTypes[],Transactions[[#This Row],[TTR]],TT_COL_AmntSign)</f>
        <v>192765.49</v>
      </c>
      <c r="X594" s="151">
        <f>IF(INDEX(TransTypes[],Transactions[[#This Row],[TTR]],TT_COL_LONGORSHORT)="S",
      IF( OR(INDEX(TransTypes[],Transactions[[#This Row],[TTR]],TT_COL_GLFlag)=1, INDEX(TransTypes[], Transactions[[#This Row],[TTR]], TT_COL_ShareTransferFlag)=1),
            Transactions[[#This Row],[CostImpact]]*-1,
            Transactions[[#This Row],[CalCashImpact]]
      ),
     0
)</f>
        <v>0</v>
      </c>
      <c r="Y594" s="152" t="str">
        <f>VLOOKUP(Transactions[[#This Row],[Symbol]],Symbols[], COLUMN(Symbols[Currency])-COLUMN(Symbols[])+1,FALSE)</f>
        <v>CNY</v>
      </c>
    </row>
    <row r="595" spans="1:25">
      <c r="A595" s="138" t="s">
        <v>600</v>
      </c>
      <c r="B595" s="139">
        <v>42366</v>
      </c>
      <c r="C595" s="138" t="s">
        <v>113</v>
      </c>
      <c r="D595" s="138"/>
      <c r="E595" s="140" t="s">
        <v>623</v>
      </c>
      <c r="F595" s="141">
        <v>192765.49</v>
      </c>
      <c r="G595" s="142">
        <v>1</v>
      </c>
      <c r="H595" s="141">
        <v>0</v>
      </c>
      <c r="I595" s="141"/>
      <c r="J595" s="143">
        <v>192765.49</v>
      </c>
      <c r="K595" s="6"/>
      <c r="L595" s="20">
        <f>IF(ISNA(MATCH(Transactions[[#This Row],[TransType]],TransTypes[TransType],0)),1,MATCH(Transactions[[#This Row],[TransType]],TransTypes[TransType],0))</f>
        <v>2</v>
      </c>
      <c r="M595" s="144">
        <f>IF( AND( INDEX(TransTypes[],Transactions[[#This Row],[TTR]],TT_COL_GLFlag)=1, INDEX(TransTypes[],Transactions[[#This Row],[TTR]],TT_COL_LONGORSHORT)="S" ),
      Transactions[[#This Row],[PL]],
      IF(INDEX(TransTypes[],Transactions[[#This Row],[TTR]],TT_COL_LONGORSHORT)="S",0,Transactions[[#This Row],[CalCashImpact]])
)</f>
        <v>-192765.49</v>
      </c>
      <c r="N595" s="145">
        <f>IF(VLOOKUP(Transactions[[#This Row],[Symbol]],Symbols[],COLUMN(Symbols[Currency])-COLUMN(Symbols[])+1,FALSE)=
       VLOOKUP(Transactions[[#This Row],[Account]],Accounts[],COLUMN(Accounts[Currency])-COLUMN(Accounts[])+1,FALSE),
     Transactions[[#This Row],[OrigCashImpact]],
     0
)</f>
        <v>-192765.49</v>
      </c>
      <c r="O59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9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192765.49</v>
      </c>
      <c r="Q59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192765.49</v>
      </c>
      <c r="R595" s="41">
        <f>ROW()</f>
        <v>595</v>
      </c>
      <c r="S5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192765.49</v>
      </c>
      <c r="T5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192765.49</v>
      </c>
      <c r="U59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192765.49</v>
      </c>
      <c r="V595" s="150">
        <f>IF(INDEX(TransTypes[],Transactions[[#This Row],[TTR]],TT_COL_GLFlag)=1,Transactions[[#This Row],[CalCashImpact]]+Transactions[[#This Row],[CostImpact]],0)</f>
        <v>0</v>
      </c>
      <c r="W595" s="151">
        <f>Transactions[[#This Row],[Amount]]*INDEX(TransTypes[],Transactions[[#This Row],[TTR]],TT_COL_AmntSign)</f>
        <v>-192765.49</v>
      </c>
      <c r="X595" s="151">
        <f>IF(INDEX(TransTypes[],Transactions[[#This Row],[TTR]],TT_COL_LONGORSHORT)="S",
      IF( OR(INDEX(TransTypes[],Transactions[[#This Row],[TTR]],TT_COL_GLFlag)=1, INDEX(TransTypes[], Transactions[[#This Row],[TTR]], TT_COL_ShareTransferFlag)=1),
            Transactions[[#This Row],[CostImpact]]*-1,
            Transactions[[#This Row],[CalCashImpact]]
      ),
     0
)</f>
        <v>0</v>
      </c>
      <c r="Y595" s="152" t="str">
        <f>VLOOKUP(Transactions[[#This Row],[Symbol]],Symbols[], COLUMN(Symbols[Currency])-COLUMN(Symbols[])+1,FALSE)</f>
        <v>CNY</v>
      </c>
    </row>
    <row r="596" spans="1:25">
      <c r="A596" s="138" t="s">
        <v>600</v>
      </c>
      <c r="B596" s="139">
        <v>42367</v>
      </c>
      <c r="C596" s="138" t="s">
        <v>115</v>
      </c>
      <c r="D596" s="138"/>
      <c r="E596" s="140" t="s">
        <v>614</v>
      </c>
      <c r="F596" s="141">
        <v>180000</v>
      </c>
      <c r="G596" s="142">
        <v>3.02</v>
      </c>
      <c r="H596" s="141">
        <v>2718</v>
      </c>
      <c r="I596" s="141"/>
      <c r="J596" s="143">
        <v>540882</v>
      </c>
      <c r="K596" s="6"/>
      <c r="L596" s="20">
        <f>IF(ISNA(MATCH(Transactions[[#This Row],[TransType]],TransTypes[TransType],0)),1,MATCH(Transactions[[#This Row],[TransType]],TransTypes[TransType],0))</f>
        <v>3</v>
      </c>
      <c r="M596" s="144">
        <f>IF( AND( INDEX(TransTypes[],Transactions[[#This Row],[TTR]],TT_COL_GLFlag)=1, INDEX(TransTypes[],Transactions[[#This Row],[TTR]],TT_COL_LONGORSHORT)="S" ),
      Transactions[[#This Row],[PL]],
      IF(INDEX(TransTypes[],Transactions[[#This Row],[TTR]],TT_COL_LONGORSHORT)="S",0,Transactions[[#This Row],[CalCashImpact]])
)</f>
        <v>540882</v>
      </c>
      <c r="N596" s="145">
        <f>IF(VLOOKUP(Transactions[[#This Row],[Symbol]],Symbols[],COLUMN(Symbols[Currency])-COLUMN(Symbols[])+1,FALSE)=
       VLOOKUP(Transactions[[#This Row],[Account]],Accounts[],COLUMN(Accounts[Currency])-COLUMN(Accounts[])+1,FALSE),
     Transactions[[#This Row],[OrigCashImpact]],
     0
)</f>
        <v>540882</v>
      </c>
      <c r="O59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540882</v>
      </c>
      <c r="P59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-180000</v>
      </c>
      <c r="Q59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190000</v>
      </c>
      <c r="R596" s="41">
        <f>ROW()</f>
        <v>596</v>
      </c>
      <c r="S5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-495861.07515353098</v>
      </c>
      <c r="T5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523408.91266206052</v>
      </c>
      <c r="U59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370000</v>
      </c>
      <c r="V596" s="150">
        <f>IF(INDEX(TransTypes[],Transactions[[#This Row],[TTR]],TT_COL_GLFlag)=1,Transactions[[#This Row],[CalCashImpact]]+Transactions[[#This Row],[CostImpact]],0)</f>
        <v>45020.924846469017</v>
      </c>
      <c r="W596" s="151">
        <f>Transactions[[#This Row],[Amount]]*INDEX(TransTypes[],Transactions[[#This Row],[TTR]],TT_COL_AmntSign)</f>
        <v>540882</v>
      </c>
      <c r="X596" s="151">
        <f>IF(INDEX(TransTypes[],Transactions[[#This Row],[TTR]],TT_COL_LONGORSHORT)="S",
      IF( OR(INDEX(TransTypes[],Transactions[[#This Row],[TTR]],TT_COL_GLFlag)=1, INDEX(TransTypes[], Transactions[[#This Row],[TTR]], TT_COL_ShareTransferFlag)=1),
            Transactions[[#This Row],[CostImpact]]*-1,
            Transactions[[#This Row],[CalCashImpact]]
      ),
     0
)</f>
        <v>0</v>
      </c>
      <c r="Y596" s="152" t="str">
        <f>VLOOKUP(Transactions[[#This Row],[Symbol]],Symbols[], COLUMN(Symbols[Currency])-COLUMN(Symbols[])+1,FALSE)</f>
        <v>CNY</v>
      </c>
    </row>
    <row r="597" spans="1:25">
      <c r="A597" s="138" t="s">
        <v>600</v>
      </c>
      <c r="B597" s="139">
        <v>42369</v>
      </c>
      <c r="C597" s="138" t="s">
        <v>119</v>
      </c>
      <c r="D597" s="138"/>
      <c r="E597" s="140" t="s">
        <v>211</v>
      </c>
      <c r="F597" s="141"/>
      <c r="G597" s="142"/>
      <c r="H597" s="141"/>
      <c r="I597" s="141"/>
      <c r="J597" s="143">
        <v>540882</v>
      </c>
      <c r="K597" s="6"/>
      <c r="L597" s="20">
        <f>IF(ISNA(MATCH(Transactions[[#This Row],[TransType]],TransTypes[TransType],0)),1,MATCH(Transactions[[#This Row],[TransType]],TransTypes[TransType],0))</f>
        <v>5</v>
      </c>
      <c r="M597" s="144">
        <f>IF( AND( INDEX(TransTypes[],Transactions[[#This Row],[TTR]],TT_COL_GLFlag)=1, INDEX(TransTypes[],Transactions[[#This Row],[TTR]],TT_COL_LONGORSHORT)="S" ),
      Transactions[[#This Row],[PL]],
      IF(INDEX(TransTypes[],Transactions[[#This Row],[TTR]],TT_COL_LONGORSHORT)="S",0,Transactions[[#This Row],[CalCashImpact]])
)</f>
        <v>-540882</v>
      </c>
      <c r="N597" s="145">
        <f>IF(VLOOKUP(Transactions[[#This Row],[Symbol]],Symbols[],COLUMN(Symbols[Currency])-COLUMN(Symbols[])+1,FALSE)=
       VLOOKUP(Transactions[[#This Row],[Account]],Accounts[],COLUMN(Accounts[Currency])-COLUMN(Accounts[])+1,FALSE),
     Transactions[[#This Row],[OrigCashImpact]],
     0
)</f>
        <v>-540882</v>
      </c>
      <c r="O59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9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9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597" s="41">
        <f>ROW()</f>
        <v>597</v>
      </c>
      <c r="S5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59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597" s="150">
        <f>IF(INDEX(TransTypes[],Transactions[[#This Row],[TTR]],TT_COL_GLFlag)=1,Transactions[[#This Row],[CalCashImpact]]+Transactions[[#This Row],[CostImpact]],0)</f>
        <v>0</v>
      </c>
      <c r="W597" s="151">
        <f>Transactions[[#This Row],[Amount]]*INDEX(TransTypes[],Transactions[[#This Row],[TTR]],TT_COL_AmntSign)</f>
        <v>-540882</v>
      </c>
      <c r="X597" s="151">
        <f>IF(INDEX(TransTypes[],Transactions[[#This Row],[TTR]],TT_COL_LONGORSHORT)="S",
      IF( OR(INDEX(TransTypes[],Transactions[[#This Row],[TTR]],TT_COL_GLFlag)=1, INDEX(TransTypes[], Transactions[[#This Row],[TTR]], TT_COL_ShareTransferFlag)=1),
            Transactions[[#This Row],[CostImpact]]*-1,
            Transactions[[#This Row],[CalCashImpact]]
      ),
     0
)</f>
        <v>0</v>
      </c>
      <c r="Y597" s="152" t="str">
        <f>VLOOKUP(Transactions[[#This Row],[Symbol]],Symbols[], COLUMN(Symbols[Currency])-COLUMN(Symbols[])+1,FALSE)</f>
        <v>CNY</v>
      </c>
    </row>
    <row r="598" spans="1:25">
      <c r="A598" s="138" t="s">
        <v>600</v>
      </c>
      <c r="B598" s="139">
        <v>42373</v>
      </c>
      <c r="C598" s="138" t="s">
        <v>118</v>
      </c>
      <c r="D598" s="138"/>
      <c r="E598" s="140" t="s">
        <v>629</v>
      </c>
      <c r="F598" s="141"/>
      <c r="G598" s="142"/>
      <c r="H598" s="141"/>
      <c r="I598" s="141"/>
      <c r="J598" s="143">
        <v>866.9</v>
      </c>
      <c r="K598" s="6"/>
      <c r="L598" s="20">
        <f>IF(ISNA(MATCH(Transactions[[#This Row],[TransType]],TransTypes[TransType],0)),1,MATCH(Transactions[[#This Row],[TransType]],TransTypes[TransType],0))</f>
        <v>4</v>
      </c>
      <c r="M598" s="144">
        <f>IF( AND( INDEX(TransTypes[],Transactions[[#This Row],[TTR]],TT_COL_GLFlag)=1, INDEX(TransTypes[],Transactions[[#This Row],[TTR]],TT_COL_LONGORSHORT)="S" ),
      Transactions[[#This Row],[PL]],
      IF(INDEX(TransTypes[],Transactions[[#This Row],[TTR]],TT_COL_LONGORSHORT)="S",0,Transactions[[#This Row],[CalCashImpact]])
)</f>
        <v>866.9</v>
      </c>
      <c r="N598" s="145">
        <f>IF(VLOOKUP(Transactions[[#This Row],[Symbol]],Symbols[],COLUMN(Symbols[Currency])-COLUMN(Symbols[])+1,FALSE)=
       VLOOKUP(Transactions[[#This Row],[Account]],Accounts[],COLUMN(Accounts[Currency])-COLUMN(Accounts[])+1,FALSE),
     Transactions[[#This Row],[OrigCashImpact]],
     0
)</f>
        <v>866.9</v>
      </c>
      <c r="O59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866.9</v>
      </c>
      <c r="P59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59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316922.88999999996</v>
      </c>
      <c r="R598" s="41">
        <f>ROW()</f>
        <v>598</v>
      </c>
      <c r="S5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5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312754.22065592126</v>
      </c>
      <c r="U59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316922.88999999996</v>
      </c>
      <c r="V598" s="150">
        <f>IF(INDEX(TransTypes[],Transactions[[#This Row],[TTR]],TT_COL_GLFlag)=1,Transactions[[#This Row],[CalCashImpact]]+Transactions[[#This Row],[CostImpact]],0)</f>
        <v>0</v>
      </c>
      <c r="W598" s="151">
        <f>Transactions[[#This Row],[Amount]]*INDEX(TransTypes[],Transactions[[#This Row],[TTR]],TT_COL_AmntSign)</f>
        <v>866.9</v>
      </c>
      <c r="X598" s="151">
        <f>IF(INDEX(TransTypes[],Transactions[[#This Row],[TTR]],TT_COL_LONGORSHORT)="S",
      IF( OR(INDEX(TransTypes[],Transactions[[#This Row],[TTR]],TT_COL_GLFlag)=1, INDEX(TransTypes[], Transactions[[#This Row],[TTR]], TT_COL_ShareTransferFlag)=1),
            Transactions[[#This Row],[CostImpact]]*-1,
            Transactions[[#This Row],[CalCashImpact]]
      ),
     0
)</f>
        <v>0</v>
      </c>
      <c r="Y598" s="152" t="str">
        <f>VLOOKUP(Transactions[[#This Row],[Symbol]],Symbols[], COLUMN(Symbols[Currency])-COLUMN(Symbols[])+1,FALSE)</f>
        <v>CNY</v>
      </c>
    </row>
    <row r="599" spans="1:25">
      <c r="A599" s="138" t="s">
        <v>600</v>
      </c>
      <c r="B599" s="139">
        <v>42373</v>
      </c>
      <c r="C599" s="138" t="s">
        <v>113</v>
      </c>
      <c r="D599" s="138" t="s">
        <v>531</v>
      </c>
      <c r="E599" s="140" t="s">
        <v>629</v>
      </c>
      <c r="F599" s="141">
        <v>866.9</v>
      </c>
      <c r="G599" s="142">
        <v>1</v>
      </c>
      <c r="H599" s="141"/>
      <c r="I599" s="141"/>
      <c r="J599" s="143">
        <v>866.9</v>
      </c>
      <c r="K599" s="6"/>
      <c r="L599" s="20">
        <f>IF(ISNA(MATCH(Transactions[[#This Row],[TransType]],TransTypes[TransType],0)),1,MATCH(Transactions[[#This Row],[TransType]],TransTypes[TransType],0))</f>
        <v>2</v>
      </c>
      <c r="M599" s="144">
        <f>IF( AND( INDEX(TransTypes[],Transactions[[#This Row],[TTR]],TT_COL_GLFlag)=1, INDEX(TransTypes[],Transactions[[#This Row],[TTR]],TT_COL_LONGORSHORT)="S" ),
      Transactions[[#This Row],[PL]],
      IF(INDEX(TransTypes[],Transactions[[#This Row],[TTR]],TT_COL_LONGORSHORT)="S",0,Transactions[[#This Row],[CalCashImpact]])
)</f>
        <v>-866.9</v>
      </c>
      <c r="N599" s="145">
        <f>IF(VLOOKUP(Transactions[[#This Row],[Symbol]],Symbols[],COLUMN(Symbols[Currency])-COLUMN(Symbols[])+1,FALSE)=
       VLOOKUP(Transactions[[#This Row],[Account]],Accounts[],COLUMN(Accounts[Currency])-COLUMN(Accounts[])+1,FALSE),
     Transactions[[#This Row],[OrigCashImpact]],
     0
)</f>
        <v>-866.9</v>
      </c>
      <c r="O59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59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866.9</v>
      </c>
      <c r="Q59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317789.78999999998</v>
      </c>
      <c r="R599" s="41">
        <f>ROW()</f>
        <v>599</v>
      </c>
      <c r="S5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866.9</v>
      </c>
      <c r="T5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313621.12065592129</v>
      </c>
      <c r="U59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317789.78999999998</v>
      </c>
      <c r="V599" s="150">
        <f>IF(INDEX(TransTypes[],Transactions[[#This Row],[TTR]],TT_COL_GLFlag)=1,Transactions[[#This Row],[CalCashImpact]]+Transactions[[#This Row],[CostImpact]],0)</f>
        <v>0</v>
      </c>
      <c r="W599" s="151">
        <f>Transactions[[#This Row],[Amount]]*INDEX(TransTypes[],Transactions[[#This Row],[TTR]],TT_COL_AmntSign)</f>
        <v>-866.9</v>
      </c>
      <c r="X599" s="151">
        <f>IF(INDEX(TransTypes[],Transactions[[#This Row],[TTR]],TT_COL_LONGORSHORT)="S",
      IF( OR(INDEX(TransTypes[],Transactions[[#This Row],[TTR]],TT_COL_GLFlag)=1, INDEX(TransTypes[], Transactions[[#This Row],[TTR]], TT_COL_ShareTransferFlag)=1),
            Transactions[[#This Row],[CostImpact]]*-1,
            Transactions[[#This Row],[CalCashImpact]]
      ),
     0
)</f>
        <v>0</v>
      </c>
      <c r="Y599" s="152" t="str">
        <f>VLOOKUP(Transactions[[#This Row],[Symbol]],Symbols[], COLUMN(Symbols[Currency])-COLUMN(Symbols[])+1,FALSE)</f>
        <v>CNY</v>
      </c>
    </row>
    <row r="600" spans="1:25">
      <c r="A600" s="138" t="s">
        <v>600</v>
      </c>
      <c r="B600" s="139">
        <v>42382</v>
      </c>
      <c r="C600" s="138" t="s">
        <v>113</v>
      </c>
      <c r="D600" s="138"/>
      <c r="E600" s="140" t="s">
        <v>614</v>
      </c>
      <c r="F600" s="141">
        <v>87734.85</v>
      </c>
      <c r="G600" s="142">
        <v>2.2659999988602002</v>
      </c>
      <c r="H600" s="141">
        <v>1192.83</v>
      </c>
      <c r="I600" s="141"/>
      <c r="J600" s="143">
        <v>200000</v>
      </c>
      <c r="K600" s="6"/>
      <c r="L600" s="20">
        <f>IF(ISNA(MATCH(Transactions[[#This Row],[TransType]],TransTypes[TransType],0)),1,MATCH(Transactions[[#This Row],[TransType]],TransTypes[TransType],0))</f>
        <v>2</v>
      </c>
      <c r="M600" s="144">
        <f>IF( AND( INDEX(TransTypes[],Transactions[[#This Row],[TTR]],TT_COL_GLFlag)=1, INDEX(TransTypes[],Transactions[[#This Row],[TTR]],TT_COL_LONGORSHORT)="S" ),
      Transactions[[#This Row],[PL]],
      IF(INDEX(TransTypes[],Transactions[[#This Row],[TTR]],TT_COL_LONGORSHORT)="S",0,Transactions[[#This Row],[CalCashImpact]])
)</f>
        <v>-200000</v>
      </c>
      <c r="N600" s="145">
        <f>IF(VLOOKUP(Transactions[[#This Row],[Symbol]],Symbols[],COLUMN(Symbols[Currency])-COLUMN(Symbols[])+1,FALSE)=
       VLOOKUP(Transactions[[#This Row],[Account]],Accounts[],COLUMN(Accounts[Currency])-COLUMN(Accounts[])+1,FALSE),
     Transactions[[#This Row],[OrigCashImpact]],
     0
)</f>
        <v>-200000</v>
      </c>
      <c r="O60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-200000</v>
      </c>
      <c r="P60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87734.85</v>
      </c>
      <c r="Q60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277734.84999999998</v>
      </c>
      <c r="R600" s="41">
        <f>ROW()</f>
        <v>600</v>
      </c>
      <c r="S6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200000</v>
      </c>
      <c r="T6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723408.91266206047</v>
      </c>
      <c r="U60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277734.84999999998</v>
      </c>
      <c r="V600" s="150">
        <f>IF(INDEX(TransTypes[],Transactions[[#This Row],[TTR]],TT_COL_GLFlag)=1,Transactions[[#This Row],[CalCashImpact]]+Transactions[[#This Row],[CostImpact]],0)</f>
        <v>0</v>
      </c>
      <c r="W600" s="151">
        <f>Transactions[[#This Row],[Amount]]*INDEX(TransTypes[],Transactions[[#This Row],[TTR]],TT_COL_AmntSign)</f>
        <v>-200000</v>
      </c>
      <c r="X600" s="151">
        <f>IF(INDEX(TransTypes[],Transactions[[#This Row],[TTR]],TT_COL_LONGORSHORT)="S",
      IF( OR(INDEX(TransTypes[],Transactions[[#This Row],[TTR]],TT_COL_GLFlag)=1, INDEX(TransTypes[], Transactions[[#This Row],[TTR]], TT_COL_ShareTransferFlag)=1),
            Transactions[[#This Row],[CostImpact]]*-1,
            Transactions[[#This Row],[CalCashImpact]]
      ),
     0
)</f>
        <v>0</v>
      </c>
      <c r="Y600" s="152" t="str">
        <f>VLOOKUP(Transactions[[#This Row],[Symbol]],Symbols[], COLUMN(Symbols[Currency])-COLUMN(Symbols[])+1,FALSE)</f>
        <v>CNY</v>
      </c>
    </row>
    <row r="601" spans="1:25">
      <c r="A601" s="138" t="s">
        <v>600</v>
      </c>
      <c r="B601" s="139">
        <v>42382</v>
      </c>
      <c r="C601" s="138" t="s">
        <v>115</v>
      </c>
      <c r="D601" s="138"/>
      <c r="E601" s="140" t="s">
        <v>629</v>
      </c>
      <c r="F601" s="141">
        <v>200000</v>
      </c>
      <c r="G601" s="142">
        <v>1</v>
      </c>
      <c r="H601" s="141">
        <v>0</v>
      </c>
      <c r="I601" s="141"/>
      <c r="J601" s="143">
        <v>200000</v>
      </c>
      <c r="K601" s="6"/>
      <c r="L601" s="20">
        <f>IF(ISNA(MATCH(Transactions[[#This Row],[TransType]],TransTypes[TransType],0)),1,MATCH(Transactions[[#This Row],[TransType]],TransTypes[TransType],0))</f>
        <v>3</v>
      </c>
      <c r="M601" s="144">
        <f>IF( AND( INDEX(TransTypes[],Transactions[[#This Row],[TTR]],TT_COL_GLFlag)=1, INDEX(TransTypes[],Transactions[[#This Row],[TTR]],TT_COL_LONGORSHORT)="S" ),
      Transactions[[#This Row],[PL]],
      IF(INDEX(TransTypes[],Transactions[[#This Row],[TTR]],TT_COL_LONGORSHORT)="S",0,Transactions[[#This Row],[CalCashImpact]])
)</f>
        <v>200000</v>
      </c>
      <c r="N601" s="145">
        <f>IF(VLOOKUP(Transactions[[#This Row],[Symbol]],Symbols[],COLUMN(Symbols[Currency])-COLUMN(Symbols[])+1,FALSE)=
       VLOOKUP(Transactions[[#This Row],[Account]],Accounts[],COLUMN(Accounts[Currency])-COLUMN(Accounts[])+1,FALSE),
     Transactions[[#This Row],[OrigCashImpact]],
     0
)</f>
        <v>200000</v>
      </c>
      <c r="O60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60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60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117789.78999999998</v>
      </c>
      <c r="R601" s="41">
        <f>ROW()</f>
        <v>601</v>
      </c>
      <c r="S6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-197376.46112288334</v>
      </c>
      <c r="T6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116244.65953303795</v>
      </c>
      <c r="U60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317789.78999999998</v>
      </c>
      <c r="V601" s="150">
        <f>IF(INDEX(TransTypes[],Transactions[[#This Row],[TTR]],TT_COL_GLFlag)=1,Transactions[[#This Row],[CalCashImpact]]+Transactions[[#This Row],[CostImpact]],0)</f>
        <v>2623.5388771166618</v>
      </c>
      <c r="W601" s="151">
        <f>Transactions[[#This Row],[Amount]]*INDEX(TransTypes[],Transactions[[#This Row],[TTR]],TT_COL_AmntSign)</f>
        <v>200000</v>
      </c>
      <c r="X601" s="151">
        <f>IF(INDEX(TransTypes[],Transactions[[#This Row],[TTR]],TT_COL_LONGORSHORT)="S",
      IF( OR(INDEX(TransTypes[],Transactions[[#This Row],[TTR]],TT_COL_GLFlag)=1, INDEX(TransTypes[], Transactions[[#This Row],[TTR]], TT_COL_ShareTransferFlag)=1),
            Transactions[[#This Row],[CostImpact]]*-1,
            Transactions[[#This Row],[CalCashImpact]]
      ),
     0
)</f>
        <v>0</v>
      </c>
      <c r="Y601" s="152" t="str">
        <f>VLOOKUP(Transactions[[#This Row],[Symbol]],Symbols[], COLUMN(Symbols[Currency])-COLUMN(Symbols[])+1,FALSE)</f>
        <v>CNY</v>
      </c>
    </row>
    <row r="602" spans="1:25">
      <c r="A602" s="138" t="s">
        <v>600</v>
      </c>
      <c r="B602" s="139">
        <v>42388</v>
      </c>
      <c r="C602" s="138" t="s">
        <v>113</v>
      </c>
      <c r="D602" s="138"/>
      <c r="E602" s="140" t="s">
        <v>629</v>
      </c>
      <c r="F602" s="141">
        <v>993584.18</v>
      </c>
      <c r="G602" s="142">
        <v>1</v>
      </c>
      <c r="H602" s="141">
        <v>0</v>
      </c>
      <c r="I602" s="141"/>
      <c r="J602" s="143">
        <v>993584.18</v>
      </c>
      <c r="K602" s="6"/>
      <c r="L602" s="20">
        <f>IF(ISNA(MATCH(Transactions[[#This Row],[TransType]],TransTypes[TransType],0)),1,MATCH(Transactions[[#This Row],[TransType]],TransTypes[TransType],0))</f>
        <v>2</v>
      </c>
      <c r="M602" s="144">
        <f>IF( AND( INDEX(TransTypes[],Transactions[[#This Row],[TTR]],TT_COL_GLFlag)=1, INDEX(TransTypes[],Transactions[[#This Row],[TTR]],TT_COL_LONGORSHORT)="S" ),
      Transactions[[#This Row],[PL]],
      IF(INDEX(TransTypes[],Transactions[[#This Row],[TTR]],TT_COL_LONGORSHORT)="S",0,Transactions[[#This Row],[CalCashImpact]])
)</f>
        <v>-993584.18</v>
      </c>
      <c r="N602" s="145">
        <f>IF(VLOOKUP(Transactions[[#This Row],[Symbol]],Symbols[],COLUMN(Symbols[Currency])-COLUMN(Symbols[])+1,FALSE)=
       VLOOKUP(Transactions[[#This Row],[Account]],Accounts[],COLUMN(Accounts[Currency])-COLUMN(Accounts[])+1,FALSE),
     Transactions[[#This Row],[OrigCashImpact]],
     0
)</f>
        <v>-993584.18</v>
      </c>
      <c r="O60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-993584.18</v>
      </c>
      <c r="P60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993584.18</v>
      </c>
      <c r="Q60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1111373.97</v>
      </c>
      <c r="R602" s="41">
        <f>ROW()</f>
        <v>602</v>
      </c>
      <c r="S6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993584.18</v>
      </c>
      <c r="T6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1109828.839533038</v>
      </c>
      <c r="U60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1111373.97</v>
      </c>
      <c r="V602" s="150">
        <f>IF(INDEX(TransTypes[],Transactions[[#This Row],[TTR]],TT_COL_GLFlag)=1,Transactions[[#This Row],[CalCashImpact]]+Transactions[[#This Row],[CostImpact]],0)</f>
        <v>0</v>
      </c>
      <c r="W602" s="151">
        <f>Transactions[[#This Row],[Amount]]*INDEX(TransTypes[],Transactions[[#This Row],[TTR]],TT_COL_AmntSign)</f>
        <v>-993584.18</v>
      </c>
      <c r="X602" s="151">
        <f>IF(INDEX(TransTypes[],Transactions[[#This Row],[TTR]],TT_COL_LONGORSHORT)="S",
      IF( OR(INDEX(TransTypes[],Transactions[[#This Row],[TTR]],TT_COL_GLFlag)=1, INDEX(TransTypes[], Transactions[[#This Row],[TTR]], TT_COL_ShareTransferFlag)=1),
            Transactions[[#This Row],[CostImpact]]*-1,
            Transactions[[#This Row],[CalCashImpact]]
      ),
     0
)</f>
        <v>0</v>
      </c>
      <c r="Y602" s="152" t="str">
        <f>VLOOKUP(Transactions[[#This Row],[Symbol]],Symbols[], COLUMN(Symbols[Currency])-COLUMN(Symbols[])+1,FALSE)</f>
        <v>CNY</v>
      </c>
    </row>
    <row r="603" spans="1:25">
      <c r="A603" s="138" t="s">
        <v>600</v>
      </c>
      <c r="B603" s="139">
        <v>42388</v>
      </c>
      <c r="C603" s="138" t="s">
        <v>113</v>
      </c>
      <c r="D603" s="138"/>
      <c r="E603" s="140" t="s">
        <v>629</v>
      </c>
      <c r="F603" s="141">
        <v>192765.48</v>
      </c>
      <c r="G603" s="142">
        <v>1</v>
      </c>
      <c r="H603" s="141">
        <v>0</v>
      </c>
      <c r="I603" s="141"/>
      <c r="J603" s="143">
        <v>192765.48</v>
      </c>
      <c r="K603" s="6"/>
      <c r="L603" s="20">
        <f>IF(ISNA(MATCH(Transactions[[#This Row],[TransType]],TransTypes[TransType],0)),1,MATCH(Transactions[[#This Row],[TransType]],TransTypes[TransType],0))</f>
        <v>2</v>
      </c>
      <c r="M603" s="144">
        <f>IF( AND( INDEX(TransTypes[],Transactions[[#This Row],[TTR]],TT_COL_GLFlag)=1, INDEX(TransTypes[],Transactions[[#This Row],[TTR]],TT_COL_LONGORSHORT)="S" ),
      Transactions[[#This Row],[PL]],
      IF(INDEX(TransTypes[],Transactions[[#This Row],[TTR]],TT_COL_LONGORSHORT)="S",0,Transactions[[#This Row],[CalCashImpact]])
)</f>
        <v>-192765.48</v>
      </c>
      <c r="N603" s="145">
        <f>IF(VLOOKUP(Transactions[[#This Row],[Symbol]],Symbols[],COLUMN(Symbols[Currency])-COLUMN(Symbols[])+1,FALSE)=
       VLOOKUP(Transactions[[#This Row],[Account]],Accounts[],COLUMN(Accounts[Currency])-COLUMN(Accounts[])+1,FALSE),
     Transactions[[#This Row],[OrigCashImpact]],
     0
)</f>
        <v>-192765.48</v>
      </c>
      <c r="O60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-1186349.6600000001</v>
      </c>
      <c r="P60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192765.48</v>
      </c>
      <c r="Q60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1304139.4500000002</v>
      </c>
      <c r="R603" s="41">
        <f>ROW()</f>
        <v>603</v>
      </c>
      <c r="S6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192765.48</v>
      </c>
      <c r="T6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1302594.3195330382</v>
      </c>
      <c r="U60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1304139.45</v>
      </c>
      <c r="V603" s="150">
        <f>IF(INDEX(TransTypes[],Transactions[[#This Row],[TTR]],TT_COL_GLFlag)=1,Transactions[[#This Row],[CalCashImpact]]+Transactions[[#This Row],[CostImpact]],0)</f>
        <v>0</v>
      </c>
      <c r="W603" s="151">
        <f>Transactions[[#This Row],[Amount]]*INDEX(TransTypes[],Transactions[[#This Row],[TTR]],TT_COL_AmntSign)</f>
        <v>-192765.48</v>
      </c>
      <c r="X603" s="151">
        <f>IF(INDEX(TransTypes[],Transactions[[#This Row],[TTR]],TT_COL_LONGORSHORT)="S",
      IF( OR(INDEX(TransTypes[],Transactions[[#This Row],[TTR]],TT_COL_GLFlag)=1, INDEX(TransTypes[], Transactions[[#This Row],[TTR]], TT_COL_ShareTransferFlag)=1),
            Transactions[[#This Row],[CostImpact]]*-1,
            Transactions[[#This Row],[CalCashImpact]]
      ),
     0
)</f>
        <v>0</v>
      </c>
      <c r="Y603" s="152" t="str">
        <f>VLOOKUP(Transactions[[#This Row],[Symbol]],Symbols[], COLUMN(Symbols[Currency])-COLUMN(Symbols[])+1,FALSE)</f>
        <v>CNY</v>
      </c>
    </row>
    <row r="604" spans="1:25">
      <c r="A604" s="138" t="s">
        <v>600</v>
      </c>
      <c r="B604" s="139">
        <v>42388</v>
      </c>
      <c r="C604" s="138" t="s">
        <v>115</v>
      </c>
      <c r="D604" s="138"/>
      <c r="E604" s="140" t="s">
        <v>623</v>
      </c>
      <c r="F604" s="141">
        <v>192765.48</v>
      </c>
      <c r="G604" s="142">
        <v>1</v>
      </c>
      <c r="H604" s="141">
        <v>0</v>
      </c>
      <c r="I604" s="141"/>
      <c r="J604" s="143">
        <v>192765.48</v>
      </c>
      <c r="K604" s="6"/>
      <c r="L604" s="20">
        <f>IF(ISNA(MATCH(Transactions[[#This Row],[TransType]],TransTypes[TransType],0)),1,MATCH(Transactions[[#This Row],[TransType]],TransTypes[TransType],0))</f>
        <v>3</v>
      </c>
      <c r="M604" s="144">
        <f>IF( AND( INDEX(TransTypes[],Transactions[[#This Row],[TTR]],TT_COL_GLFlag)=1, INDEX(TransTypes[],Transactions[[#This Row],[TTR]],TT_COL_LONGORSHORT)="S" ),
      Transactions[[#This Row],[PL]],
      IF(INDEX(TransTypes[],Transactions[[#This Row],[TTR]],TT_COL_LONGORSHORT)="S",0,Transactions[[#This Row],[CalCashImpact]])
)</f>
        <v>192765.48</v>
      </c>
      <c r="N604" s="145">
        <f>IF(VLOOKUP(Transactions[[#This Row],[Symbol]],Symbols[],COLUMN(Symbols[Currency])-COLUMN(Symbols[])+1,FALSE)=
       VLOOKUP(Transactions[[#This Row],[Account]],Accounts[],COLUMN(Accounts[Currency])-COLUMN(Accounts[])+1,FALSE),
     Transactions[[#This Row],[OrigCashImpact]],
     0
)</f>
        <v>192765.48</v>
      </c>
      <c r="O60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-993584.18000000017</v>
      </c>
      <c r="P60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-192765.48</v>
      </c>
      <c r="Q60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9.9999999802093953E-3</v>
      </c>
      <c r="R604" s="41">
        <f>ROW()</f>
        <v>604</v>
      </c>
      <c r="S6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-192765.48</v>
      </c>
      <c r="T6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9.9999999802093953E-3</v>
      </c>
      <c r="U60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192765.49</v>
      </c>
      <c r="V604" s="150">
        <f>IF(INDEX(TransTypes[],Transactions[[#This Row],[TTR]],TT_COL_GLFlag)=1,Transactions[[#This Row],[CalCashImpact]]+Transactions[[#This Row],[CostImpact]],0)</f>
        <v>0</v>
      </c>
      <c r="W604" s="151">
        <f>Transactions[[#This Row],[Amount]]*INDEX(TransTypes[],Transactions[[#This Row],[TTR]],TT_COL_AmntSign)</f>
        <v>192765.48</v>
      </c>
      <c r="X604" s="151">
        <f>IF(INDEX(TransTypes[],Transactions[[#This Row],[TTR]],TT_COL_LONGORSHORT)="S",
      IF( OR(INDEX(TransTypes[],Transactions[[#This Row],[TTR]],TT_COL_GLFlag)=1, INDEX(TransTypes[], Transactions[[#This Row],[TTR]], TT_COL_ShareTransferFlag)=1),
            Transactions[[#This Row],[CostImpact]]*-1,
            Transactions[[#This Row],[CalCashImpact]]
      ),
     0
)</f>
        <v>0</v>
      </c>
      <c r="Y604" s="152" t="str">
        <f>VLOOKUP(Transactions[[#This Row],[Symbol]],Symbols[], COLUMN(Symbols[Currency])-COLUMN(Symbols[])+1,FALSE)</f>
        <v>CNY</v>
      </c>
    </row>
    <row r="605" spans="1:25">
      <c r="A605" s="138" t="s">
        <v>600</v>
      </c>
      <c r="B605" s="139">
        <v>42388</v>
      </c>
      <c r="C605" s="138" t="s">
        <v>113</v>
      </c>
      <c r="D605" s="138"/>
      <c r="E605" s="140" t="s">
        <v>629</v>
      </c>
      <c r="F605" s="141">
        <v>637806.18999999994</v>
      </c>
      <c r="G605" s="142">
        <v>1</v>
      </c>
      <c r="H605" s="141">
        <v>0</v>
      </c>
      <c r="I605" s="141"/>
      <c r="J605" s="143">
        <v>637806.18999999994</v>
      </c>
      <c r="K605" s="6"/>
      <c r="L605" s="20">
        <f>IF(ISNA(MATCH(Transactions[[#This Row],[TransType]],TransTypes[TransType],0)),1,MATCH(Transactions[[#This Row],[TransType]],TransTypes[TransType],0))</f>
        <v>2</v>
      </c>
      <c r="M605" s="144">
        <f>IF( AND( INDEX(TransTypes[],Transactions[[#This Row],[TTR]],TT_COL_GLFlag)=1, INDEX(TransTypes[],Transactions[[#This Row],[TTR]],TT_COL_LONGORSHORT)="S" ),
      Transactions[[#This Row],[PL]],
      IF(INDEX(TransTypes[],Transactions[[#This Row],[TTR]],TT_COL_LONGORSHORT)="S",0,Transactions[[#This Row],[CalCashImpact]])
)</f>
        <v>-637806.18999999994</v>
      </c>
      <c r="N605" s="145">
        <f>IF(VLOOKUP(Transactions[[#This Row],[Symbol]],Symbols[],COLUMN(Symbols[Currency])-COLUMN(Symbols[])+1,FALSE)=
       VLOOKUP(Transactions[[#This Row],[Account]],Accounts[],COLUMN(Accounts[Currency])-COLUMN(Accounts[])+1,FALSE),
     Transactions[[#This Row],[OrigCashImpact]],
     0
)</f>
        <v>-637806.18999999994</v>
      </c>
      <c r="O60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-1631390.37</v>
      </c>
      <c r="P60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637806.18999999994</v>
      </c>
      <c r="Q60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1941945.6400000001</v>
      </c>
      <c r="R605" s="41">
        <f>ROW()</f>
        <v>605</v>
      </c>
      <c r="S6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637806.18999999994</v>
      </c>
      <c r="T6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1940400.5095330381</v>
      </c>
      <c r="U60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1941945.64</v>
      </c>
      <c r="V605" s="150">
        <f>IF(INDEX(TransTypes[],Transactions[[#This Row],[TTR]],TT_COL_GLFlag)=1,Transactions[[#This Row],[CalCashImpact]]+Transactions[[#This Row],[CostImpact]],0)</f>
        <v>0</v>
      </c>
      <c r="W605" s="151">
        <f>Transactions[[#This Row],[Amount]]*INDEX(TransTypes[],Transactions[[#This Row],[TTR]],TT_COL_AmntSign)</f>
        <v>-637806.18999999994</v>
      </c>
      <c r="X605" s="151">
        <f>IF(INDEX(TransTypes[],Transactions[[#This Row],[TTR]],TT_COL_LONGORSHORT)="S",
      IF( OR(INDEX(TransTypes[],Transactions[[#This Row],[TTR]],TT_COL_GLFlag)=1, INDEX(TransTypes[], Transactions[[#This Row],[TTR]], TT_COL_ShareTransferFlag)=1),
            Transactions[[#This Row],[CostImpact]]*-1,
            Transactions[[#This Row],[CalCashImpact]]
      ),
     0
)</f>
        <v>0</v>
      </c>
      <c r="Y605" s="152" t="str">
        <f>VLOOKUP(Transactions[[#This Row],[Symbol]],Symbols[], COLUMN(Symbols[Currency])-COLUMN(Symbols[])+1,FALSE)</f>
        <v>CNY</v>
      </c>
    </row>
    <row r="606" spans="1:25">
      <c r="A606" s="138" t="s">
        <v>600</v>
      </c>
      <c r="B606" s="139">
        <v>42388</v>
      </c>
      <c r="C606" s="138" t="s">
        <v>115</v>
      </c>
      <c r="D606" s="138"/>
      <c r="E606" s="140" t="s">
        <v>614</v>
      </c>
      <c r="F606" s="141">
        <v>277734.84999999998</v>
      </c>
      <c r="G606" s="142">
        <v>2.3079999863178799</v>
      </c>
      <c r="H606" s="141">
        <v>3205.06</v>
      </c>
      <c r="I606" s="141"/>
      <c r="J606" s="143">
        <v>637806.97</v>
      </c>
      <c r="K606" s="6"/>
      <c r="L606" s="20">
        <f>IF(ISNA(MATCH(Transactions[[#This Row],[TransType]],TransTypes[TransType],0)),1,MATCH(Transactions[[#This Row],[TransType]],TransTypes[TransType],0))</f>
        <v>3</v>
      </c>
      <c r="M606" s="144">
        <f>IF( AND( INDEX(TransTypes[],Transactions[[#This Row],[TTR]],TT_COL_GLFlag)=1, INDEX(TransTypes[],Transactions[[#This Row],[TTR]],TT_COL_LONGORSHORT)="S" ),
      Transactions[[#This Row],[PL]],
      IF(INDEX(TransTypes[],Transactions[[#This Row],[TTR]],TT_COL_LONGORSHORT)="S",0,Transactions[[#This Row],[CalCashImpact]])
)</f>
        <v>637806.97</v>
      </c>
      <c r="N606" s="145">
        <f>IF(VLOOKUP(Transactions[[#This Row],[Symbol]],Symbols[],COLUMN(Symbols[Currency])-COLUMN(Symbols[])+1,FALSE)=
       VLOOKUP(Transactions[[#This Row],[Account]],Accounts[],COLUMN(Accounts[Currency])-COLUMN(Accounts[])+1,FALSE),
     Transactions[[#This Row],[OrigCashImpact]],
     0
)</f>
        <v>637806.97</v>
      </c>
      <c r="O60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-993583.40000000014</v>
      </c>
      <c r="P60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-277734.84999999998</v>
      </c>
      <c r="Q60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06" s="41">
        <f>ROW()</f>
        <v>606</v>
      </c>
      <c r="S6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-723408.91266206047</v>
      </c>
      <c r="T6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0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277734.84999999998</v>
      </c>
      <c r="V606" s="150">
        <f>IF(INDEX(TransTypes[],Transactions[[#This Row],[TTR]],TT_COL_GLFlag)=1,Transactions[[#This Row],[CalCashImpact]]+Transactions[[#This Row],[CostImpact]],0)</f>
        <v>-85601.942662060494</v>
      </c>
      <c r="W606" s="151">
        <f>Transactions[[#This Row],[Amount]]*INDEX(TransTypes[],Transactions[[#This Row],[TTR]],TT_COL_AmntSign)</f>
        <v>637806.97</v>
      </c>
      <c r="X606" s="151">
        <f>IF(INDEX(TransTypes[],Transactions[[#This Row],[TTR]],TT_COL_LONGORSHORT)="S",
      IF( OR(INDEX(TransTypes[],Transactions[[#This Row],[TTR]],TT_COL_GLFlag)=1, INDEX(TransTypes[], Transactions[[#This Row],[TTR]], TT_COL_ShareTransferFlag)=1),
            Transactions[[#This Row],[CostImpact]]*-1,
            Transactions[[#This Row],[CalCashImpact]]
      ),
     0
)</f>
        <v>0</v>
      </c>
      <c r="Y606" s="152" t="str">
        <f>VLOOKUP(Transactions[[#This Row],[Symbol]],Symbols[], COLUMN(Symbols[Currency])-COLUMN(Symbols[])+1,FALSE)</f>
        <v>CNY</v>
      </c>
    </row>
    <row r="607" spans="1:25">
      <c r="A607" s="138" t="s">
        <v>600</v>
      </c>
      <c r="B607" s="139">
        <v>42388</v>
      </c>
      <c r="C607" s="138" t="s">
        <v>115</v>
      </c>
      <c r="D607" s="138"/>
      <c r="E607" s="140" t="s">
        <v>617</v>
      </c>
      <c r="F607" s="141">
        <v>677967.8</v>
      </c>
      <c r="G607" s="142">
        <v>1.466999996165</v>
      </c>
      <c r="H607" s="141">
        <v>994.58</v>
      </c>
      <c r="I607" s="141"/>
      <c r="J607" s="143">
        <v>993584.18</v>
      </c>
      <c r="K607" s="6"/>
      <c r="L607" s="20">
        <f>IF(ISNA(MATCH(Transactions[[#This Row],[TransType]],TransTypes[TransType],0)),1,MATCH(Transactions[[#This Row],[TransType]],TransTypes[TransType],0))</f>
        <v>3</v>
      </c>
      <c r="M607" s="144">
        <f>IF( AND( INDEX(TransTypes[],Transactions[[#This Row],[TTR]],TT_COL_GLFlag)=1, INDEX(TransTypes[],Transactions[[#This Row],[TTR]],TT_COL_LONGORSHORT)="S" ),
      Transactions[[#This Row],[PL]],
      IF(INDEX(TransTypes[],Transactions[[#This Row],[TTR]],TT_COL_LONGORSHORT)="S",0,Transactions[[#This Row],[CalCashImpact]])
)</f>
        <v>993584.18</v>
      </c>
      <c r="N607" s="145">
        <f>IF(VLOOKUP(Transactions[[#This Row],[Symbol]],Symbols[],COLUMN(Symbols[Currency])-COLUMN(Symbols[])+1,FALSE)=
       VLOOKUP(Transactions[[#This Row],[Account]],Accounts[],COLUMN(Accounts[Currency])-COLUMN(Accounts[])+1,FALSE),
     Transactions[[#This Row],[OrigCashImpact]],
     0
)</f>
        <v>993584.18</v>
      </c>
      <c r="O60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0.77999999991152436</v>
      </c>
      <c r="P60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-677967.8</v>
      </c>
      <c r="Q60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07" s="41">
        <f>ROW()</f>
        <v>607</v>
      </c>
      <c r="S6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-1160000.0000000002</v>
      </c>
      <c r="T6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0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677967.79999999993</v>
      </c>
      <c r="V607" s="150">
        <f>IF(INDEX(TransTypes[],Transactions[[#This Row],[TTR]],TT_COL_GLFlag)=1,Transactions[[#This Row],[CalCashImpact]]+Transactions[[#This Row],[CostImpact]],0)</f>
        <v>-166415.82000000018</v>
      </c>
      <c r="W607" s="151">
        <f>Transactions[[#This Row],[Amount]]*INDEX(TransTypes[],Transactions[[#This Row],[TTR]],TT_COL_AmntSign)</f>
        <v>993584.18</v>
      </c>
      <c r="X607" s="151">
        <f>IF(INDEX(TransTypes[],Transactions[[#This Row],[TTR]],TT_COL_LONGORSHORT)="S",
      IF( OR(INDEX(TransTypes[],Transactions[[#This Row],[TTR]],TT_COL_GLFlag)=1, INDEX(TransTypes[], Transactions[[#This Row],[TTR]], TT_COL_ShareTransferFlag)=1),
            Transactions[[#This Row],[CostImpact]]*-1,
            Transactions[[#This Row],[CalCashImpact]]
      ),
     0
)</f>
        <v>0</v>
      </c>
      <c r="Y607" s="152" t="str">
        <f>VLOOKUP(Transactions[[#This Row],[Symbol]],Symbols[], COLUMN(Symbols[Currency])-COLUMN(Symbols[])+1,FALSE)</f>
        <v>CNY</v>
      </c>
    </row>
    <row r="608" spans="1:25">
      <c r="A608" s="138" t="s">
        <v>600</v>
      </c>
      <c r="B608" s="139">
        <v>42394</v>
      </c>
      <c r="C608" s="138" t="s">
        <v>119</v>
      </c>
      <c r="D608" s="138"/>
      <c r="E608" s="140" t="s">
        <v>211</v>
      </c>
      <c r="F608" s="141"/>
      <c r="G608" s="142"/>
      <c r="H608" s="141"/>
      <c r="I608" s="141"/>
      <c r="J608" s="143">
        <v>141946.43</v>
      </c>
      <c r="K608" s="6"/>
      <c r="L608" s="20">
        <f>IF(ISNA(MATCH(Transactions[[#This Row],[TransType]],TransTypes[TransType],0)),1,MATCH(Transactions[[#This Row],[TransType]],TransTypes[TransType],0))</f>
        <v>5</v>
      </c>
      <c r="M608" s="144">
        <f>IF( AND( INDEX(TransTypes[],Transactions[[#This Row],[TTR]],TT_COL_GLFlag)=1, INDEX(TransTypes[],Transactions[[#This Row],[TTR]],TT_COL_LONGORSHORT)="S" ),
      Transactions[[#This Row],[PL]],
      IF(INDEX(TransTypes[],Transactions[[#This Row],[TTR]],TT_COL_LONGORSHORT)="S",0,Transactions[[#This Row],[CalCashImpact]])
)</f>
        <v>-141946.43</v>
      </c>
      <c r="N608" s="145">
        <f>IF(VLOOKUP(Transactions[[#This Row],[Symbol]],Symbols[],COLUMN(Symbols[Currency])-COLUMN(Symbols[])+1,FALSE)=
       VLOOKUP(Transactions[[#This Row],[Account]],Accounts[],COLUMN(Accounts[Currency])-COLUMN(Accounts[])+1,FALSE),
     Transactions[[#This Row],[OrigCashImpact]],
     0
)</f>
        <v>-141946.43</v>
      </c>
      <c r="O60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-141945.65000000008</v>
      </c>
      <c r="P60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0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08" s="41">
        <f>ROW()</f>
        <v>608</v>
      </c>
      <c r="S6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0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608" s="150">
        <f>IF(INDEX(TransTypes[],Transactions[[#This Row],[TTR]],TT_COL_GLFlag)=1,Transactions[[#This Row],[CalCashImpact]]+Transactions[[#This Row],[CostImpact]],0)</f>
        <v>0</v>
      </c>
      <c r="W608" s="151">
        <f>Transactions[[#This Row],[Amount]]*INDEX(TransTypes[],Transactions[[#This Row],[TTR]],TT_COL_AmntSign)</f>
        <v>-141946.43</v>
      </c>
      <c r="X608" s="151">
        <f>IF(INDEX(TransTypes[],Transactions[[#This Row],[TTR]],TT_COL_LONGORSHORT)="S",
      IF( OR(INDEX(TransTypes[],Transactions[[#This Row],[TTR]],TT_COL_GLFlag)=1, INDEX(TransTypes[], Transactions[[#This Row],[TTR]], TT_COL_ShareTransferFlag)=1),
            Transactions[[#This Row],[CostImpact]]*-1,
            Transactions[[#This Row],[CalCashImpact]]
      ),
     0
)</f>
        <v>0</v>
      </c>
      <c r="Y608" s="152" t="str">
        <f>VLOOKUP(Transactions[[#This Row],[Symbol]],Symbols[], COLUMN(Symbols[Currency])-COLUMN(Symbols[])+1,FALSE)</f>
        <v>CNY</v>
      </c>
    </row>
    <row r="609" spans="1:25">
      <c r="A609" s="138" t="s">
        <v>600</v>
      </c>
      <c r="B609" s="139">
        <v>42394</v>
      </c>
      <c r="C609" s="138" t="s">
        <v>115</v>
      </c>
      <c r="D609" s="138"/>
      <c r="E609" s="140" t="s">
        <v>629</v>
      </c>
      <c r="F609" s="141">
        <v>1941945.64</v>
      </c>
      <c r="G609" s="142">
        <v>1</v>
      </c>
      <c r="H609" s="141">
        <v>0</v>
      </c>
      <c r="I609" s="141"/>
      <c r="J609" s="143">
        <v>1941945.64</v>
      </c>
      <c r="K609" s="6"/>
      <c r="L609" s="20">
        <f>IF(ISNA(MATCH(Transactions[[#This Row],[TransType]],TransTypes[TransType],0)),1,MATCH(Transactions[[#This Row],[TransType]],TransTypes[TransType],0))</f>
        <v>3</v>
      </c>
      <c r="M609" s="144">
        <f>IF( AND( INDEX(TransTypes[],Transactions[[#This Row],[TTR]],TT_COL_GLFlag)=1, INDEX(TransTypes[],Transactions[[#This Row],[TTR]],TT_COL_LONGORSHORT)="S" ),
      Transactions[[#This Row],[PL]],
      IF(INDEX(TransTypes[],Transactions[[#This Row],[TTR]],TT_COL_LONGORSHORT)="S",0,Transactions[[#This Row],[CalCashImpact]])
)</f>
        <v>1941945.64</v>
      </c>
      <c r="N609" s="145">
        <f>IF(VLOOKUP(Transactions[[#This Row],[Symbol]],Symbols[],COLUMN(Symbols[Currency])-COLUMN(Symbols[])+1,FALSE)=
       VLOOKUP(Transactions[[#This Row],[Account]],Accounts[],COLUMN(Accounts[Currency])-COLUMN(Accounts[])+1,FALSE),
     Transactions[[#This Row],[OrigCashImpact]],
     0
)</f>
        <v>1941945.64</v>
      </c>
      <c r="O60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1799999.9899999998</v>
      </c>
      <c r="P60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-1941945.64</v>
      </c>
      <c r="Q60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09" s="41">
        <f>ROW()</f>
        <v>609</v>
      </c>
      <c r="S6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-1940400.5095330379</v>
      </c>
      <c r="T6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0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1941945.64</v>
      </c>
      <c r="V609" s="150">
        <f>IF(INDEX(TransTypes[],Transactions[[#This Row],[TTR]],TT_COL_GLFlag)=1,Transactions[[#This Row],[CalCashImpact]]+Transactions[[#This Row],[CostImpact]],0)</f>
        <v>1545.1304669620004</v>
      </c>
      <c r="W609" s="151">
        <f>Transactions[[#This Row],[Amount]]*INDEX(TransTypes[],Transactions[[#This Row],[TTR]],TT_COL_AmntSign)</f>
        <v>1941945.64</v>
      </c>
      <c r="X609" s="151">
        <f>IF(INDEX(TransTypes[],Transactions[[#This Row],[TTR]],TT_COL_LONGORSHORT)="S",
      IF( OR(INDEX(TransTypes[],Transactions[[#This Row],[TTR]],TT_COL_GLFlag)=1, INDEX(TransTypes[], Transactions[[#This Row],[TTR]], TT_COL_ShareTransferFlag)=1),
            Transactions[[#This Row],[CostImpact]]*-1,
            Transactions[[#This Row],[CalCashImpact]]
      ),
     0
)</f>
        <v>0</v>
      </c>
      <c r="Y609" s="152" t="str">
        <f>VLOOKUP(Transactions[[#This Row],[Symbol]],Symbols[], COLUMN(Symbols[Currency])-COLUMN(Symbols[])+1,FALSE)</f>
        <v>CNY</v>
      </c>
    </row>
    <row r="610" spans="1:25">
      <c r="A610" s="138" t="s">
        <v>600</v>
      </c>
      <c r="B610" s="139">
        <v>42398</v>
      </c>
      <c r="C610" s="138" t="s">
        <v>113</v>
      </c>
      <c r="D610" s="138"/>
      <c r="E610" s="140" t="s">
        <v>623</v>
      </c>
      <c r="F610" s="141">
        <v>500000</v>
      </c>
      <c r="G610" s="142">
        <v>1</v>
      </c>
      <c r="H610" s="141">
        <v>0</v>
      </c>
      <c r="I610" s="141"/>
      <c r="J610" s="143">
        <v>500000</v>
      </c>
      <c r="K610" s="6"/>
      <c r="L610" s="20">
        <f>IF(ISNA(MATCH(Transactions[[#This Row],[TransType]],TransTypes[TransType],0)),1,MATCH(Transactions[[#This Row],[TransType]],TransTypes[TransType],0))</f>
        <v>2</v>
      </c>
      <c r="M610" s="144">
        <f>IF( AND( INDEX(TransTypes[],Transactions[[#This Row],[TTR]],TT_COL_GLFlag)=1, INDEX(TransTypes[],Transactions[[#This Row],[TTR]],TT_COL_LONGORSHORT)="S" ),
      Transactions[[#This Row],[PL]],
      IF(INDEX(TransTypes[],Transactions[[#This Row],[TTR]],TT_COL_LONGORSHORT)="S",0,Transactions[[#This Row],[CalCashImpact]])
)</f>
        <v>-500000</v>
      </c>
      <c r="N610" s="145">
        <f>IF(VLOOKUP(Transactions[[#This Row],[Symbol]],Symbols[],COLUMN(Symbols[Currency])-COLUMN(Symbols[])+1,FALSE)=
       VLOOKUP(Transactions[[#This Row],[Account]],Accounts[],COLUMN(Accounts[Currency])-COLUMN(Accounts[])+1,FALSE),
     Transactions[[#This Row],[OrigCashImpact]],
     0
)</f>
        <v>-500000</v>
      </c>
      <c r="O61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1299999.9899999998</v>
      </c>
      <c r="P61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500000</v>
      </c>
      <c r="Q61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500000.01</v>
      </c>
      <c r="R610" s="41">
        <f>ROW()</f>
        <v>610</v>
      </c>
      <c r="S6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500000</v>
      </c>
      <c r="T6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500000.01</v>
      </c>
      <c r="U61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500000.01</v>
      </c>
      <c r="V610" s="150">
        <f>IF(INDEX(TransTypes[],Transactions[[#This Row],[TTR]],TT_COL_GLFlag)=1,Transactions[[#This Row],[CalCashImpact]]+Transactions[[#This Row],[CostImpact]],0)</f>
        <v>0</v>
      </c>
      <c r="W610" s="151">
        <f>Transactions[[#This Row],[Amount]]*INDEX(TransTypes[],Transactions[[#This Row],[TTR]],TT_COL_AmntSign)</f>
        <v>-500000</v>
      </c>
      <c r="X610" s="151">
        <f>IF(INDEX(TransTypes[],Transactions[[#This Row],[TTR]],TT_COL_LONGORSHORT)="S",
      IF( OR(INDEX(TransTypes[],Transactions[[#This Row],[TTR]],TT_COL_GLFlag)=1, INDEX(TransTypes[], Transactions[[#This Row],[TTR]], TT_COL_ShareTransferFlag)=1),
            Transactions[[#This Row],[CostImpact]]*-1,
            Transactions[[#This Row],[CalCashImpact]]
      ),
     0
)</f>
        <v>0</v>
      </c>
      <c r="Y610" s="152" t="str">
        <f>VLOOKUP(Transactions[[#This Row],[Symbol]],Symbols[], COLUMN(Symbols[Currency])-COLUMN(Symbols[])+1,FALSE)</f>
        <v>CNY</v>
      </c>
    </row>
    <row r="611" spans="1:25">
      <c r="A611" s="138" t="s">
        <v>600</v>
      </c>
      <c r="B611" s="139">
        <v>42398</v>
      </c>
      <c r="C611" s="138" t="s">
        <v>113</v>
      </c>
      <c r="D611" s="138"/>
      <c r="E611" s="140" t="s">
        <v>626</v>
      </c>
      <c r="F611" s="141">
        <v>417014.18</v>
      </c>
      <c r="G611" s="142">
        <v>1.1989999956356401</v>
      </c>
      <c r="H611" s="141">
        <v>0</v>
      </c>
      <c r="I611" s="141"/>
      <c r="J611" s="143">
        <v>500000</v>
      </c>
      <c r="K611" s="6"/>
      <c r="L611" s="20">
        <f>IF(ISNA(MATCH(Transactions[[#This Row],[TransType]],TransTypes[TransType],0)),1,MATCH(Transactions[[#This Row],[TransType]],TransTypes[TransType],0))</f>
        <v>2</v>
      </c>
      <c r="M611" s="144">
        <f>IF( AND( INDEX(TransTypes[],Transactions[[#This Row],[TTR]],TT_COL_GLFlag)=1, INDEX(TransTypes[],Transactions[[#This Row],[TTR]],TT_COL_LONGORSHORT)="S" ),
      Transactions[[#This Row],[PL]],
      IF(INDEX(TransTypes[],Transactions[[#This Row],[TTR]],TT_COL_LONGORSHORT)="S",0,Transactions[[#This Row],[CalCashImpact]])
)</f>
        <v>-500000</v>
      </c>
      <c r="N611" s="145">
        <f>IF(VLOOKUP(Transactions[[#This Row],[Symbol]],Symbols[],COLUMN(Symbols[Currency])-COLUMN(Symbols[])+1,FALSE)=
       VLOOKUP(Transactions[[#This Row],[Account]],Accounts[],COLUMN(Accounts[Currency])-COLUMN(Accounts[])+1,FALSE),
     Transactions[[#This Row],[OrigCashImpact]],
     0
)</f>
        <v>-500000</v>
      </c>
      <c r="O61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799999.98999999976</v>
      </c>
      <c r="P61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417014.18</v>
      </c>
      <c r="Q61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417014.18</v>
      </c>
      <c r="R611" s="41">
        <f>ROW()</f>
        <v>611</v>
      </c>
      <c r="S6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500000</v>
      </c>
      <c r="T6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500000</v>
      </c>
      <c r="U61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417014.18</v>
      </c>
      <c r="V611" s="150">
        <f>IF(INDEX(TransTypes[],Transactions[[#This Row],[TTR]],TT_COL_GLFlag)=1,Transactions[[#This Row],[CalCashImpact]]+Transactions[[#This Row],[CostImpact]],0)</f>
        <v>0</v>
      </c>
      <c r="W611" s="151">
        <f>Transactions[[#This Row],[Amount]]*INDEX(TransTypes[],Transactions[[#This Row],[TTR]],TT_COL_AmntSign)</f>
        <v>-500000</v>
      </c>
      <c r="X611" s="151">
        <f>IF(INDEX(TransTypes[],Transactions[[#This Row],[TTR]],TT_COL_LONGORSHORT)="S",
      IF( OR(INDEX(TransTypes[],Transactions[[#This Row],[TTR]],TT_COL_GLFlag)=1, INDEX(TransTypes[], Transactions[[#This Row],[TTR]], TT_COL_ShareTransferFlag)=1),
            Transactions[[#This Row],[CostImpact]]*-1,
            Transactions[[#This Row],[CalCashImpact]]
      ),
     0
)</f>
        <v>0</v>
      </c>
      <c r="Y611" s="152" t="str">
        <f>VLOOKUP(Transactions[[#This Row],[Symbol]],Symbols[], COLUMN(Symbols[Currency])-COLUMN(Symbols[])+1,FALSE)</f>
        <v>CNY</v>
      </c>
    </row>
    <row r="612" spans="1:25">
      <c r="A612" s="138" t="s">
        <v>600</v>
      </c>
      <c r="B612" s="139">
        <v>42401</v>
      </c>
      <c r="C612" s="138" t="s">
        <v>113</v>
      </c>
      <c r="D612" s="138"/>
      <c r="E612" s="140" t="s">
        <v>635</v>
      </c>
      <c r="F612" s="141">
        <v>61933.69</v>
      </c>
      <c r="G612" s="142">
        <v>4.8150000427876902</v>
      </c>
      <c r="H612" s="141">
        <v>1789.28</v>
      </c>
      <c r="I612" s="141"/>
      <c r="J612" s="143">
        <v>300000</v>
      </c>
      <c r="K612" s="6"/>
      <c r="L612" s="20">
        <f>IF(ISNA(MATCH(Transactions[[#This Row],[TransType]],TransTypes[TransType],0)),1,MATCH(Transactions[[#This Row],[TransType]],TransTypes[TransType],0))</f>
        <v>2</v>
      </c>
      <c r="M612" s="144">
        <f>IF( AND( INDEX(TransTypes[],Transactions[[#This Row],[TTR]],TT_COL_GLFlag)=1, INDEX(TransTypes[],Transactions[[#This Row],[TTR]],TT_COL_LONGORSHORT)="S" ),
      Transactions[[#This Row],[PL]],
      IF(INDEX(TransTypes[],Transactions[[#This Row],[TTR]],TT_COL_LONGORSHORT)="S",0,Transactions[[#This Row],[CalCashImpact]])
)</f>
        <v>-300000</v>
      </c>
      <c r="N612" s="145">
        <f>IF(VLOOKUP(Transactions[[#This Row],[Symbol]],Symbols[],COLUMN(Symbols[Currency])-COLUMN(Symbols[])+1,FALSE)=
       VLOOKUP(Transactions[[#This Row],[Account]],Accounts[],COLUMN(Accounts[Currency])-COLUMN(Accounts[])+1,FALSE),
     Transactions[[#This Row],[OrigCashImpact]],
     0
)</f>
        <v>-300000</v>
      </c>
      <c r="O61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499999.98999999976</v>
      </c>
      <c r="P61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61933.69</v>
      </c>
      <c r="Q61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61933.69</v>
      </c>
      <c r="R612" s="41">
        <f>ROW()</f>
        <v>612</v>
      </c>
      <c r="S6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300000</v>
      </c>
      <c r="T6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300000</v>
      </c>
      <c r="U61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61933.69</v>
      </c>
      <c r="V612" s="150">
        <f>IF(INDEX(TransTypes[],Transactions[[#This Row],[TTR]],TT_COL_GLFlag)=1,Transactions[[#This Row],[CalCashImpact]]+Transactions[[#This Row],[CostImpact]],0)</f>
        <v>0</v>
      </c>
      <c r="W612" s="151">
        <f>Transactions[[#This Row],[Amount]]*INDEX(TransTypes[],Transactions[[#This Row],[TTR]],TT_COL_AmntSign)</f>
        <v>-300000</v>
      </c>
      <c r="X612" s="151">
        <f>IF(INDEX(TransTypes[],Transactions[[#This Row],[TTR]],TT_COL_LONGORSHORT)="S",
      IF( OR(INDEX(TransTypes[],Transactions[[#This Row],[TTR]],TT_COL_GLFlag)=1, INDEX(TransTypes[], Transactions[[#This Row],[TTR]], TT_COL_ShareTransferFlag)=1),
            Transactions[[#This Row],[CostImpact]]*-1,
            Transactions[[#This Row],[CalCashImpact]]
      ),
     0
)</f>
        <v>0</v>
      </c>
      <c r="Y612" s="152" t="str">
        <f>VLOOKUP(Transactions[[#This Row],[Symbol]],Symbols[], COLUMN(Symbols[Currency])-COLUMN(Symbols[])+1,FALSE)</f>
        <v>CNY</v>
      </c>
    </row>
    <row r="613" spans="1:25">
      <c r="A613" s="138" t="s">
        <v>600</v>
      </c>
      <c r="B613" s="139">
        <v>42401</v>
      </c>
      <c r="C613" s="138" t="s">
        <v>113</v>
      </c>
      <c r="D613" s="138"/>
      <c r="E613" s="140" t="s">
        <v>626</v>
      </c>
      <c r="F613" s="141">
        <v>416319.73</v>
      </c>
      <c r="G613" s="142">
        <v>1.2010000102565399</v>
      </c>
      <c r="H613" s="141">
        <v>0</v>
      </c>
      <c r="I613" s="141"/>
      <c r="J613" s="143">
        <v>500000</v>
      </c>
      <c r="K613" s="6"/>
      <c r="L613" s="20">
        <f>IF(ISNA(MATCH(Transactions[[#This Row],[TransType]],TransTypes[TransType],0)),1,MATCH(Transactions[[#This Row],[TransType]],TransTypes[TransType],0))</f>
        <v>2</v>
      </c>
      <c r="M613" s="144">
        <f>IF( AND( INDEX(TransTypes[],Transactions[[#This Row],[TTR]],TT_COL_GLFlag)=1, INDEX(TransTypes[],Transactions[[#This Row],[TTR]],TT_COL_LONGORSHORT)="S" ),
      Transactions[[#This Row],[PL]],
      IF(INDEX(TransTypes[],Transactions[[#This Row],[TTR]],TT_COL_LONGORSHORT)="S",0,Transactions[[#This Row],[CalCashImpact]])
)</f>
        <v>-500000</v>
      </c>
      <c r="N613" s="145">
        <f>IF(VLOOKUP(Transactions[[#This Row],[Symbol]],Symbols[],COLUMN(Symbols[Currency])-COLUMN(Symbols[])+1,FALSE)=
       VLOOKUP(Transactions[[#This Row],[Account]],Accounts[],COLUMN(Accounts[Currency])-COLUMN(Accounts[])+1,FALSE),
     Transactions[[#This Row],[OrigCashImpact]],
     0
)</f>
        <v>-500000</v>
      </c>
      <c r="O61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1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416319.73</v>
      </c>
      <c r="Q61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833333.90999999992</v>
      </c>
      <c r="R613" s="41">
        <f>ROW()</f>
        <v>613</v>
      </c>
      <c r="S6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500000</v>
      </c>
      <c r="T6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1000000</v>
      </c>
      <c r="U61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833333.90999999992</v>
      </c>
      <c r="V613" s="150">
        <f>IF(INDEX(TransTypes[],Transactions[[#This Row],[TTR]],TT_COL_GLFlag)=1,Transactions[[#This Row],[CalCashImpact]]+Transactions[[#This Row],[CostImpact]],0)</f>
        <v>0</v>
      </c>
      <c r="W613" s="151">
        <f>Transactions[[#This Row],[Amount]]*INDEX(TransTypes[],Transactions[[#This Row],[TTR]],TT_COL_AmntSign)</f>
        <v>-500000</v>
      </c>
      <c r="X613" s="151">
        <f>IF(INDEX(TransTypes[],Transactions[[#This Row],[TTR]],TT_COL_LONGORSHORT)="S",
      IF( OR(INDEX(TransTypes[],Transactions[[#This Row],[TTR]],TT_COL_GLFlag)=1, INDEX(TransTypes[], Transactions[[#This Row],[TTR]], TT_COL_ShareTransferFlag)=1),
            Transactions[[#This Row],[CostImpact]]*-1,
            Transactions[[#This Row],[CalCashImpact]]
      ),
     0
)</f>
        <v>0</v>
      </c>
      <c r="Y613" s="152" t="str">
        <f>VLOOKUP(Transactions[[#This Row],[Symbol]],Symbols[], COLUMN(Symbols[Currency])-COLUMN(Symbols[])+1,FALSE)</f>
        <v>CNY</v>
      </c>
    </row>
    <row r="614" spans="1:25">
      <c r="A614" s="138" t="s">
        <v>600</v>
      </c>
      <c r="B614" s="139">
        <v>42416</v>
      </c>
      <c r="C614" s="138" t="s">
        <v>118</v>
      </c>
      <c r="D614" s="138"/>
      <c r="E614" s="140" t="s">
        <v>623</v>
      </c>
      <c r="F614" s="141"/>
      <c r="G614" s="142"/>
      <c r="H614" s="141"/>
      <c r="I614" s="141"/>
      <c r="J614" s="143">
        <v>1076.92</v>
      </c>
      <c r="K614" s="6"/>
      <c r="L614" s="20">
        <f>IF(ISNA(MATCH(Transactions[[#This Row],[TransType]],TransTypes[TransType],0)),1,MATCH(Transactions[[#This Row],[TransType]],TransTypes[TransType],0))</f>
        <v>4</v>
      </c>
      <c r="M614" s="144">
        <f>IF( AND( INDEX(TransTypes[],Transactions[[#This Row],[TTR]],TT_COL_GLFlag)=1, INDEX(TransTypes[],Transactions[[#This Row],[TTR]],TT_COL_LONGORSHORT)="S" ),
      Transactions[[#This Row],[PL]],
      IF(INDEX(TransTypes[],Transactions[[#This Row],[TTR]],TT_COL_LONGORSHORT)="S",0,Transactions[[#This Row],[CalCashImpact]])
)</f>
        <v>1076.92</v>
      </c>
      <c r="N614" s="145">
        <f>IF(VLOOKUP(Transactions[[#This Row],[Symbol]],Symbols[],COLUMN(Symbols[Currency])-COLUMN(Symbols[])+1,FALSE)=
       VLOOKUP(Transactions[[#This Row],[Account]],Accounts[],COLUMN(Accounts[Currency])-COLUMN(Accounts[])+1,FALSE),
     Transactions[[#This Row],[OrigCashImpact]],
     0
)</f>
        <v>1076.92</v>
      </c>
      <c r="O61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1076.9099999997579</v>
      </c>
      <c r="P61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1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500000.01</v>
      </c>
      <c r="R614" s="41">
        <f>ROW()</f>
        <v>614</v>
      </c>
      <c r="S6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500000.01</v>
      </c>
      <c r="U61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500000.01</v>
      </c>
      <c r="V614" s="150">
        <f>IF(INDEX(TransTypes[],Transactions[[#This Row],[TTR]],TT_COL_GLFlag)=1,Transactions[[#This Row],[CalCashImpact]]+Transactions[[#This Row],[CostImpact]],0)</f>
        <v>0</v>
      </c>
      <c r="W614" s="151">
        <f>Transactions[[#This Row],[Amount]]*INDEX(TransTypes[],Transactions[[#This Row],[TTR]],TT_COL_AmntSign)</f>
        <v>1076.92</v>
      </c>
      <c r="X614" s="151">
        <f>IF(INDEX(TransTypes[],Transactions[[#This Row],[TTR]],TT_COL_LONGORSHORT)="S",
      IF( OR(INDEX(TransTypes[],Transactions[[#This Row],[TTR]],TT_COL_GLFlag)=1, INDEX(TransTypes[], Transactions[[#This Row],[TTR]], TT_COL_ShareTransferFlag)=1),
            Transactions[[#This Row],[CostImpact]]*-1,
            Transactions[[#This Row],[CalCashImpact]]
      ),
     0
)</f>
        <v>0</v>
      </c>
      <c r="Y614" s="152" t="str">
        <f>VLOOKUP(Transactions[[#This Row],[Symbol]],Symbols[], COLUMN(Symbols[Currency])-COLUMN(Symbols[])+1,FALSE)</f>
        <v>CNY</v>
      </c>
    </row>
    <row r="615" spans="1:25">
      <c r="A615" s="138" t="s">
        <v>600</v>
      </c>
      <c r="B615" s="139">
        <v>42416</v>
      </c>
      <c r="C615" s="138" t="s">
        <v>113</v>
      </c>
      <c r="D615" s="138" t="s">
        <v>531</v>
      </c>
      <c r="E615" s="140" t="s">
        <v>623</v>
      </c>
      <c r="F615" s="141">
        <v>1076.92</v>
      </c>
      <c r="G615" s="142">
        <v>1</v>
      </c>
      <c r="H615" s="141"/>
      <c r="I615" s="141"/>
      <c r="J615" s="143">
        <v>1076.92</v>
      </c>
      <c r="K615" s="6"/>
      <c r="L615" s="20">
        <f>IF(ISNA(MATCH(Transactions[[#This Row],[TransType]],TransTypes[TransType],0)),1,MATCH(Transactions[[#This Row],[TransType]],TransTypes[TransType],0))</f>
        <v>2</v>
      </c>
      <c r="M615" s="144">
        <f>IF( AND( INDEX(TransTypes[],Transactions[[#This Row],[TTR]],TT_COL_GLFlag)=1, INDEX(TransTypes[],Transactions[[#This Row],[TTR]],TT_COL_LONGORSHORT)="S" ),
      Transactions[[#This Row],[PL]],
      IF(INDEX(TransTypes[],Transactions[[#This Row],[TTR]],TT_COL_LONGORSHORT)="S",0,Transactions[[#This Row],[CalCashImpact]])
)</f>
        <v>-1076.92</v>
      </c>
      <c r="N615" s="145">
        <f>IF(VLOOKUP(Transactions[[#This Row],[Symbol]],Symbols[],COLUMN(Symbols[Currency])-COLUMN(Symbols[])+1,FALSE)=
       VLOOKUP(Transactions[[#This Row],[Account]],Accounts[],COLUMN(Accounts[Currency])-COLUMN(Accounts[])+1,FALSE),
     Transactions[[#This Row],[OrigCashImpact]],
     0
)</f>
        <v>-1076.92</v>
      </c>
      <c r="O61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1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1076.92</v>
      </c>
      <c r="Q61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501076.93</v>
      </c>
      <c r="R615" s="41">
        <f>ROW()</f>
        <v>615</v>
      </c>
      <c r="S6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1076.92</v>
      </c>
      <c r="T6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501076.93</v>
      </c>
      <c r="U61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501076.93</v>
      </c>
      <c r="V615" s="150">
        <f>IF(INDEX(TransTypes[],Transactions[[#This Row],[TTR]],TT_COL_GLFlag)=1,Transactions[[#This Row],[CalCashImpact]]+Transactions[[#This Row],[CostImpact]],0)</f>
        <v>0</v>
      </c>
      <c r="W615" s="151">
        <f>Transactions[[#This Row],[Amount]]*INDEX(TransTypes[],Transactions[[#This Row],[TTR]],TT_COL_AmntSign)</f>
        <v>-1076.92</v>
      </c>
      <c r="X615" s="151">
        <f>IF(INDEX(TransTypes[],Transactions[[#This Row],[TTR]],TT_COL_LONGORSHORT)="S",
      IF( OR(INDEX(TransTypes[],Transactions[[#This Row],[TTR]],TT_COL_GLFlag)=1, INDEX(TransTypes[], Transactions[[#This Row],[TTR]], TT_COL_ShareTransferFlag)=1),
            Transactions[[#This Row],[CostImpact]]*-1,
            Transactions[[#This Row],[CalCashImpact]]
      ),
     0
)</f>
        <v>0</v>
      </c>
      <c r="Y615" s="152" t="str">
        <f>VLOOKUP(Transactions[[#This Row],[Symbol]],Symbols[], COLUMN(Symbols[Currency])-COLUMN(Symbols[])+1,FALSE)</f>
        <v>CNY</v>
      </c>
    </row>
    <row r="616" spans="1:25">
      <c r="A616" s="138" t="s">
        <v>600</v>
      </c>
      <c r="B616" s="139">
        <v>42426</v>
      </c>
      <c r="C616" s="138" t="s">
        <v>113</v>
      </c>
      <c r="D616" s="138"/>
      <c r="E616" s="140" t="s">
        <v>635</v>
      </c>
      <c r="F616" s="141">
        <v>40747.519999999997</v>
      </c>
      <c r="G616" s="142">
        <v>4.87899999803669</v>
      </c>
      <c r="H616" s="141">
        <v>1192.8499999999999</v>
      </c>
      <c r="I616" s="141"/>
      <c r="J616" s="143">
        <v>200000</v>
      </c>
      <c r="K616" s="6"/>
      <c r="L616" s="20">
        <f>IF(ISNA(MATCH(Transactions[[#This Row],[TransType]],TransTypes[TransType],0)),1,MATCH(Transactions[[#This Row],[TransType]],TransTypes[TransType],0))</f>
        <v>2</v>
      </c>
      <c r="M616" s="144">
        <f>IF( AND( INDEX(TransTypes[],Transactions[[#This Row],[TTR]],TT_COL_GLFlag)=1, INDEX(TransTypes[],Transactions[[#This Row],[TTR]],TT_COL_LONGORSHORT)="S" ),
      Transactions[[#This Row],[PL]],
      IF(INDEX(TransTypes[],Transactions[[#This Row],[TTR]],TT_COL_LONGORSHORT)="S",0,Transactions[[#This Row],[CalCashImpact]])
)</f>
        <v>-200000</v>
      </c>
      <c r="N616" s="145">
        <f>IF(VLOOKUP(Transactions[[#This Row],[Symbol]],Symbols[],COLUMN(Symbols[Currency])-COLUMN(Symbols[])+1,FALSE)=
       VLOOKUP(Transactions[[#This Row],[Account]],Accounts[],COLUMN(Accounts[Currency])-COLUMN(Accounts[])+1,FALSE),
     Transactions[[#This Row],[OrigCashImpact]],
     0
)</f>
        <v>-200000</v>
      </c>
      <c r="O61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-200000.01000000024</v>
      </c>
      <c r="P61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40747.519999999997</v>
      </c>
      <c r="Q61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102681.20999999999</v>
      </c>
      <c r="R616" s="41">
        <f>ROW()</f>
        <v>616</v>
      </c>
      <c r="S6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200000</v>
      </c>
      <c r="T6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500000</v>
      </c>
      <c r="U61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102681.20999999999</v>
      </c>
      <c r="V616" s="150">
        <f>IF(INDEX(TransTypes[],Transactions[[#This Row],[TTR]],TT_COL_GLFlag)=1,Transactions[[#This Row],[CalCashImpact]]+Transactions[[#This Row],[CostImpact]],0)</f>
        <v>0</v>
      </c>
      <c r="W616" s="151">
        <f>Transactions[[#This Row],[Amount]]*INDEX(TransTypes[],Transactions[[#This Row],[TTR]],TT_COL_AmntSign)</f>
        <v>-200000</v>
      </c>
      <c r="X616" s="151">
        <f>IF(INDEX(TransTypes[],Transactions[[#This Row],[TTR]],TT_COL_LONGORSHORT)="S",
      IF( OR(INDEX(TransTypes[],Transactions[[#This Row],[TTR]],TT_COL_GLFlag)=1, INDEX(TransTypes[], Transactions[[#This Row],[TTR]], TT_COL_ShareTransferFlag)=1),
            Transactions[[#This Row],[CostImpact]]*-1,
            Transactions[[#This Row],[CalCashImpact]]
      ),
     0
)</f>
        <v>0</v>
      </c>
      <c r="Y616" s="152" t="str">
        <f>VLOOKUP(Transactions[[#This Row],[Symbol]],Symbols[], COLUMN(Symbols[Currency])-COLUMN(Symbols[])+1,FALSE)</f>
        <v>CNY</v>
      </c>
    </row>
    <row r="617" spans="1:25">
      <c r="A617" s="138" t="s">
        <v>600</v>
      </c>
      <c r="B617" s="139">
        <v>42426</v>
      </c>
      <c r="C617" s="138" t="s">
        <v>115</v>
      </c>
      <c r="D617" s="138"/>
      <c r="E617" s="140" t="s">
        <v>623</v>
      </c>
      <c r="F617" s="141">
        <v>200000</v>
      </c>
      <c r="G617" s="142">
        <v>1</v>
      </c>
      <c r="H617" s="141">
        <v>0</v>
      </c>
      <c r="I617" s="141"/>
      <c r="J617" s="143">
        <v>200000</v>
      </c>
      <c r="K617" s="6"/>
      <c r="L617" s="20">
        <f>IF(ISNA(MATCH(Transactions[[#This Row],[TransType]],TransTypes[TransType],0)),1,MATCH(Transactions[[#This Row],[TransType]],TransTypes[TransType],0))</f>
        <v>3</v>
      </c>
      <c r="M617" s="144">
        <f>IF( AND( INDEX(TransTypes[],Transactions[[#This Row],[TTR]],TT_COL_GLFlag)=1, INDEX(TransTypes[],Transactions[[#This Row],[TTR]],TT_COL_LONGORSHORT)="S" ),
      Transactions[[#This Row],[PL]],
      IF(INDEX(TransTypes[],Transactions[[#This Row],[TTR]],TT_COL_LONGORSHORT)="S",0,Transactions[[#This Row],[CalCashImpact]])
)</f>
        <v>200000</v>
      </c>
      <c r="N617" s="145">
        <f>IF(VLOOKUP(Transactions[[#This Row],[Symbol]],Symbols[],COLUMN(Symbols[Currency])-COLUMN(Symbols[])+1,FALSE)=
       VLOOKUP(Transactions[[#This Row],[Account]],Accounts[],COLUMN(Accounts[Currency])-COLUMN(Accounts[])+1,FALSE),
     Transactions[[#This Row],[OrigCashImpact]],
     0
)</f>
        <v>200000</v>
      </c>
      <c r="O61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1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61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301076.93</v>
      </c>
      <c r="R617" s="41">
        <f>ROW()</f>
        <v>617</v>
      </c>
      <c r="S6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-200000</v>
      </c>
      <c r="T6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301076.93</v>
      </c>
      <c r="U61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501076.93</v>
      </c>
      <c r="V617" s="150">
        <f>IF(INDEX(TransTypes[],Transactions[[#This Row],[TTR]],TT_COL_GLFlag)=1,Transactions[[#This Row],[CalCashImpact]]+Transactions[[#This Row],[CostImpact]],0)</f>
        <v>0</v>
      </c>
      <c r="W617" s="151">
        <f>Transactions[[#This Row],[Amount]]*INDEX(TransTypes[],Transactions[[#This Row],[TTR]],TT_COL_AmntSign)</f>
        <v>200000</v>
      </c>
      <c r="X617" s="151">
        <f>IF(INDEX(TransTypes[],Transactions[[#This Row],[TTR]],TT_COL_LONGORSHORT)="S",
      IF( OR(INDEX(TransTypes[],Transactions[[#This Row],[TTR]],TT_COL_GLFlag)=1, INDEX(TransTypes[], Transactions[[#This Row],[TTR]], TT_COL_ShareTransferFlag)=1),
            Transactions[[#This Row],[CostImpact]]*-1,
            Transactions[[#This Row],[CalCashImpact]]
      ),
     0
)</f>
        <v>0</v>
      </c>
      <c r="Y617" s="152" t="str">
        <f>VLOOKUP(Transactions[[#This Row],[Symbol]],Symbols[], COLUMN(Symbols[Currency])-COLUMN(Symbols[])+1,FALSE)</f>
        <v>CNY</v>
      </c>
    </row>
    <row r="618" spans="1:25">
      <c r="A618" s="138" t="s">
        <v>600</v>
      </c>
      <c r="B618" s="139">
        <v>42445</v>
      </c>
      <c r="C618" s="138" t="s">
        <v>118</v>
      </c>
      <c r="D618" s="138"/>
      <c r="E618" s="140" t="s">
        <v>623</v>
      </c>
      <c r="F618" s="141"/>
      <c r="G618" s="142"/>
      <c r="H618" s="141"/>
      <c r="I618" s="141"/>
      <c r="J618" s="143">
        <v>814.79</v>
      </c>
      <c r="K618" s="6"/>
      <c r="L618" s="20">
        <f>IF(ISNA(MATCH(Transactions[[#This Row],[TransType]],TransTypes[TransType],0)),1,MATCH(Transactions[[#This Row],[TransType]],TransTypes[TransType],0))</f>
        <v>4</v>
      </c>
      <c r="M618" s="144">
        <f>IF( AND( INDEX(TransTypes[],Transactions[[#This Row],[TTR]],TT_COL_GLFlag)=1, INDEX(TransTypes[],Transactions[[#This Row],[TTR]],TT_COL_LONGORSHORT)="S" ),
      Transactions[[#This Row],[PL]],
      IF(INDEX(TransTypes[],Transactions[[#This Row],[TTR]],TT_COL_LONGORSHORT)="S",0,Transactions[[#This Row],[CalCashImpact]])
)</f>
        <v>814.79</v>
      </c>
      <c r="N618" s="145">
        <f>IF(VLOOKUP(Transactions[[#This Row],[Symbol]],Symbols[],COLUMN(Symbols[Currency])-COLUMN(Symbols[])+1,FALSE)=
       VLOOKUP(Transactions[[#This Row],[Account]],Accounts[],COLUMN(Accounts[Currency])-COLUMN(Accounts[])+1,FALSE),
     Transactions[[#This Row],[OrigCashImpact]],
     0
)</f>
        <v>814.79</v>
      </c>
      <c r="O61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814.77999999975782</v>
      </c>
      <c r="P61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1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301076.93</v>
      </c>
      <c r="R618" s="41">
        <f>ROW()</f>
        <v>618</v>
      </c>
      <c r="S6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301076.93</v>
      </c>
      <c r="U61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301076.93</v>
      </c>
      <c r="V618" s="150">
        <f>IF(INDEX(TransTypes[],Transactions[[#This Row],[TTR]],TT_COL_GLFlag)=1,Transactions[[#This Row],[CalCashImpact]]+Transactions[[#This Row],[CostImpact]],0)</f>
        <v>0</v>
      </c>
      <c r="W618" s="151">
        <f>Transactions[[#This Row],[Amount]]*INDEX(TransTypes[],Transactions[[#This Row],[TTR]],TT_COL_AmntSign)</f>
        <v>814.79</v>
      </c>
      <c r="X618" s="151">
        <f>IF(INDEX(TransTypes[],Transactions[[#This Row],[TTR]],TT_COL_LONGORSHORT)="S",
      IF( OR(INDEX(TransTypes[],Transactions[[#This Row],[TTR]],TT_COL_GLFlag)=1, INDEX(TransTypes[], Transactions[[#This Row],[TTR]], TT_COL_ShareTransferFlag)=1),
            Transactions[[#This Row],[CostImpact]]*-1,
            Transactions[[#This Row],[CalCashImpact]]
      ),
     0
)</f>
        <v>0</v>
      </c>
      <c r="Y618" s="152" t="str">
        <f>VLOOKUP(Transactions[[#This Row],[Symbol]],Symbols[], COLUMN(Symbols[Currency])-COLUMN(Symbols[])+1,FALSE)</f>
        <v>CNY</v>
      </c>
    </row>
    <row r="619" spans="1:25">
      <c r="A619" s="138" t="s">
        <v>600</v>
      </c>
      <c r="B619" s="139">
        <v>42445</v>
      </c>
      <c r="C619" s="138" t="s">
        <v>113</v>
      </c>
      <c r="D619" s="138" t="s">
        <v>531</v>
      </c>
      <c r="E619" s="140" t="s">
        <v>623</v>
      </c>
      <c r="F619" s="141">
        <v>814.79</v>
      </c>
      <c r="G619" s="142">
        <v>1</v>
      </c>
      <c r="H619" s="141"/>
      <c r="I619" s="141"/>
      <c r="J619" s="143">
        <v>814.79</v>
      </c>
      <c r="K619" s="6"/>
      <c r="L619" s="20">
        <f>IF(ISNA(MATCH(Transactions[[#This Row],[TransType]],TransTypes[TransType],0)),1,MATCH(Transactions[[#This Row],[TransType]],TransTypes[TransType],0))</f>
        <v>2</v>
      </c>
      <c r="M619" s="144">
        <f>IF( AND( INDEX(TransTypes[],Transactions[[#This Row],[TTR]],TT_COL_GLFlag)=1, INDEX(TransTypes[],Transactions[[#This Row],[TTR]],TT_COL_LONGORSHORT)="S" ),
      Transactions[[#This Row],[PL]],
      IF(INDEX(TransTypes[],Transactions[[#This Row],[TTR]],TT_COL_LONGORSHORT)="S",0,Transactions[[#This Row],[CalCashImpact]])
)</f>
        <v>-814.79</v>
      </c>
      <c r="N619" s="145">
        <f>IF(VLOOKUP(Transactions[[#This Row],[Symbol]],Symbols[],COLUMN(Symbols[Currency])-COLUMN(Symbols[])+1,FALSE)=
       VLOOKUP(Transactions[[#This Row],[Account]],Accounts[],COLUMN(Accounts[Currency])-COLUMN(Accounts[])+1,FALSE),
     Transactions[[#This Row],[OrigCashImpact]],
     0
)</f>
        <v>-814.79</v>
      </c>
      <c r="O61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1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814.79</v>
      </c>
      <c r="Q61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301891.71999999997</v>
      </c>
      <c r="R619" s="41">
        <f>ROW()</f>
        <v>619</v>
      </c>
      <c r="S6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814.79</v>
      </c>
      <c r="T6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301891.71999999997</v>
      </c>
      <c r="U61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301891.71999999997</v>
      </c>
      <c r="V619" s="150">
        <f>IF(INDEX(TransTypes[],Transactions[[#This Row],[TTR]],TT_COL_GLFlag)=1,Transactions[[#This Row],[CalCashImpact]]+Transactions[[#This Row],[CostImpact]],0)</f>
        <v>0</v>
      </c>
      <c r="W619" s="151">
        <f>Transactions[[#This Row],[Amount]]*INDEX(TransTypes[],Transactions[[#This Row],[TTR]],TT_COL_AmntSign)</f>
        <v>-814.79</v>
      </c>
      <c r="X619" s="151">
        <f>IF(INDEX(TransTypes[],Transactions[[#This Row],[TTR]],TT_COL_LONGORSHORT)="S",
      IF( OR(INDEX(TransTypes[],Transactions[[#This Row],[TTR]],TT_COL_GLFlag)=1, INDEX(TransTypes[], Transactions[[#This Row],[TTR]], TT_COL_ShareTransferFlag)=1),
            Transactions[[#This Row],[CostImpact]]*-1,
            Transactions[[#This Row],[CalCashImpact]]
      ),
     0
)</f>
        <v>0</v>
      </c>
      <c r="Y619" s="152" t="str">
        <f>VLOOKUP(Transactions[[#This Row],[Symbol]],Symbols[], COLUMN(Symbols[Currency])-COLUMN(Symbols[])+1,FALSE)</f>
        <v>CNY</v>
      </c>
    </row>
    <row r="620" spans="1:25">
      <c r="A620" s="138" t="s">
        <v>600</v>
      </c>
      <c r="B620" s="139">
        <v>42465</v>
      </c>
      <c r="C620" s="138" t="s">
        <v>113</v>
      </c>
      <c r="D620" s="138"/>
      <c r="E620" s="140" t="s">
        <v>605</v>
      </c>
      <c r="F620" s="141">
        <v>209766.13</v>
      </c>
      <c r="G620" s="142">
        <v>0.95230002098050803</v>
      </c>
      <c r="H620" s="141">
        <v>239.71</v>
      </c>
      <c r="I620" s="141"/>
      <c r="J620" s="143">
        <v>200000</v>
      </c>
      <c r="K620" s="6"/>
      <c r="L620" s="20">
        <f>IF(ISNA(MATCH(Transactions[[#This Row],[TransType]],TransTypes[TransType],0)),1,MATCH(Transactions[[#This Row],[TransType]],TransTypes[TransType],0))</f>
        <v>2</v>
      </c>
      <c r="M620" s="144">
        <f>IF( AND( INDEX(TransTypes[],Transactions[[#This Row],[TTR]],TT_COL_GLFlag)=1, INDEX(TransTypes[],Transactions[[#This Row],[TTR]],TT_COL_LONGORSHORT)="S" ),
      Transactions[[#This Row],[PL]],
      IF(INDEX(TransTypes[],Transactions[[#This Row],[TTR]],TT_COL_LONGORSHORT)="S",0,Transactions[[#This Row],[CalCashImpact]])
)</f>
        <v>-200000</v>
      </c>
      <c r="N620" s="145">
        <f>IF(VLOOKUP(Transactions[[#This Row],[Symbol]],Symbols[],COLUMN(Symbols[Currency])-COLUMN(Symbols[])+1,FALSE)=
       VLOOKUP(Transactions[[#This Row],[Account]],Accounts[],COLUMN(Accounts[Currency])-COLUMN(Accounts[])+1,FALSE),
     Transactions[[#This Row],[OrigCashImpact]],
     0
)</f>
        <v>-200000</v>
      </c>
      <c r="O62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-200000.01000000024</v>
      </c>
      <c r="P62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209766.13</v>
      </c>
      <c r="Q62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209766.13</v>
      </c>
      <c r="R620" s="41">
        <f>ROW()</f>
        <v>620</v>
      </c>
      <c r="S6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200000</v>
      </c>
      <c r="T6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200000</v>
      </c>
      <c r="U62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209766.13</v>
      </c>
      <c r="V620" s="150">
        <f>IF(INDEX(TransTypes[],Transactions[[#This Row],[TTR]],TT_COL_GLFlag)=1,Transactions[[#This Row],[CalCashImpact]]+Transactions[[#This Row],[CostImpact]],0)</f>
        <v>0</v>
      </c>
      <c r="W620" s="151">
        <f>Transactions[[#This Row],[Amount]]*INDEX(TransTypes[],Transactions[[#This Row],[TTR]],TT_COL_AmntSign)</f>
        <v>-200000</v>
      </c>
      <c r="X620" s="151">
        <f>IF(INDEX(TransTypes[],Transactions[[#This Row],[TTR]],TT_COL_LONGORSHORT)="S",
      IF( OR(INDEX(TransTypes[],Transactions[[#This Row],[TTR]],TT_COL_GLFlag)=1, INDEX(TransTypes[], Transactions[[#This Row],[TTR]], TT_COL_ShareTransferFlag)=1),
            Transactions[[#This Row],[CostImpact]]*-1,
            Transactions[[#This Row],[CalCashImpact]]
      ),
     0
)</f>
        <v>0</v>
      </c>
      <c r="Y620" s="152" t="str">
        <f>VLOOKUP(Transactions[[#This Row],[Symbol]],Symbols[], COLUMN(Symbols[Currency])-COLUMN(Symbols[])+1,FALSE)</f>
        <v>CNY</v>
      </c>
    </row>
    <row r="621" spans="1:25">
      <c r="A621" s="138" t="s">
        <v>600</v>
      </c>
      <c r="B621" s="139">
        <v>42465</v>
      </c>
      <c r="C621" s="138" t="s">
        <v>115</v>
      </c>
      <c r="D621" s="138"/>
      <c r="E621" s="140" t="s">
        <v>623</v>
      </c>
      <c r="F621" s="141">
        <v>200000</v>
      </c>
      <c r="G621" s="142">
        <v>1</v>
      </c>
      <c r="H621" s="141">
        <v>0</v>
      </c>
      <c r="I621" s="141"/>
      <c r="J621" s="143">
        <v>200000</v>
      </c>
      <c r="K621" s="6"/>
      <c r="L621" s="20">
        <f>IF(ISNA(MATCH(Transactions[[#This Row],[TransType]],TransTypes[TransType],0)),1,MATCH(Transactions[[#This Row],[TransType]],TransTypes[TransType],0))</f>
        <v>3</v>
      </c>
      <c r="M621" s="144">
        <f>IF( AND( INDEX(TransTypes[],Transactions[[#This Row],[TTR]],TT_COL_GLFlag)=1, INDEX(TransTypes[],Transactions[[#This Row],[TTR]],TT_COL_LONGORSHORT)="S" ),
      Transactions[[#This Row],[PL]],
      IF(INDEX(TransTypes[],Transactions[[#This Row],[TTR]],TT_COL_LONGORSHORT)="S",0,Transactions[[#This Row],[CalCashImpact]])
)</f>
        <v>200000</v>
      </c>
      <c r="N621" s="145">
        <f>IF(VLOOKUP(Transactions[[#This Row],[Symbol]],Symbols[],COLUMN(Symbols[Currency])-COLUMN(Symbols[])+1,FALSE)=
       VLOOKUP(Transactions[[#This Row],[Account]],Accounts[],COLUMN(Accounts[Currency])-COLUMN(Accounts[])+1,FALSE),
     Transactions[[#This Row],[OrigCashImpact]],
     0
)</f>
        <v>200000</v>
      </c>
      <c r="O62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2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62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101891.71999999997</v>
      </c>
      <c r="R621" s="41">
        <f>ROW()</f>
        <v>621</v>
      </c>
      <c r="S6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-200000</v>
      </c>
      <c r="T6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101891.71999999997</v>
      </c>
      <c r="U62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301891.71999999997</v>
      </c>
      <c r="V621" s="150">
        <f>IF(INDEX(TransTypes[],Transactions[[#This Row],[TTR]],TT_COL_GLFlag)=1,Transactions[[#This Row],[CalCashImpact]]+Transactions[[#This Row],[CostImpact]],0)</f>
        <v>0</v>
      </c>
      <c r="W621" s="151">
        <f>Transactions[[#This Row],[Amount]]*INDEX(TransTypes[],Transactions[[#This Row],[TTR]],TT_COL_AmntSign)</f>
        <v>200000</v>
      </c>
      <c r="X621" s="151">
        <f>IF(INDEX(TransTypes[],Transactions[[#This Row],[TTR]],TT_COL_LONGORSHORT)="S",
      IF( OR(INDEX(TransTypes[],Transactions[[#This Row],[TTR]],TT_COL_GLFlag)=1, INDEX(TransTypes[], Transactions[[#This Row],[TTR]], TT_COL_ShareTransferFlag)=1),
            Transactions[[#This Row],[CostImpact]]*-1,
            Transactions[[#This Row],[CalCashImpact]]
      ),
     0
)</f>
        <v>0</v>
      </c>
      <c r="Y621" s="152" t="str">
        <f>VLOOKUP(Transactions[[#This Row],[Symbol]],Symbols[], COLUMN(Symbols[Currency])-COLUMN(Symbols[])+1,FALSE)</f>
        <v>CNY</v>
      </c>
    </row>
    <row r="622" spans="1:25">
      <c r="A622" s="138" t="s">
        <v>600</v>
      </c>
      <c r="B622" s="139">
        <v>42478</v>
      </c>
      <c r="C622" s="138" t="s">
        <v>118</v>
      </c>
      <c r="D622" s="138"/>
      <c r="E622" s="140" t="s">
        <v>626</v>
      </c>
      <c r="F622" s="141"/>
      <c r="G622" s="142"/>
      <c r="H622" s="141"/>
      <c r="I622" s="141"/>
      <c r="J622" s="143">
        <v>6979.35</v>
      </c>
      <c r="K622" s="6"/>
      <c r="L622" s="20">
        <f>IF(ISNA(MATCH(Transactions[[#This Row],[TransType]],TransTypes[TransType],0)),1,MATCH(Transactions[[#This Row],[TransType]],TransTypes[TransType],0))</f>
        <v>4</v>
      </c>
      <c r="M622" s="144">
        <f>IF( AND( INDEX(TransTypes[],Transactions[[#This Row],[TTR]],TT_COL_GLFlag)=1, INDEX(TransTypes[],Transactions[[#This Row],[TTR]],TT_COL_LONGORSHORT)="S" ),
      Transactions[[#This Row],[PL]],
      IF(INDEX(TransTypes[],Transactions[[#This Row],[TTR]],TT_COL_LONGORSHORT)="S",0,Transactions[[#This Row],[CalCashImpact]])
)</f>
        <v>6979.35</v>
      </c>
      <c r="N622" s="145">
        <f>IF(VLOOKUP(Transactions[[#This Row],[Symbol]],Symbols[],COLUMN(Symbols[Currency])-COLUMN(Symbols[])+1,FALSE)=
       VLOOKUP(Transactions[[#This Row],[Account]],Accounts[],COLUMN(Accounts[Currency])-COLUMN(Accounts[])+1,FALSE),
     Transactions[[#This Row],[OrigCashImpact]],
     0
)</f>
        <v>6979.35</v>
      </c>
      <c r="O62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6979.3399999997582</v>
      </c>
      <c r="P62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2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833333.90999999992</v>
      </c>
      <c r="R622" s="41">
        <f>ROW()</f>
        <v>622</v>
      </c>
      <c r="S6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1000000</v>
      </c>
      <c r="U62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833333.90999999992</v>
      </c>
      <c r="V622" s="150">
        <f>IF(INDEX(TransTypes[],Transactions[[#This Row],[TTR]],TT_COL_GLFlag)=1,Transactions[[#This Row],[CalCashImpact]]+Transactions[[#This Row],[CostImpact]],0)</f>
        <v>0</v>
      </c>
      <c r="W622" s="151">
        <f>Transactions[[#This Row],[Amount]]*INDEX(TransTypes[],Transactions[[#This Row],[TTR]],TT_COL_AmntSign)</f>
        <v>6979.35</v>
      </c>
      <c r="X622" s="151">
        <f>IF(INDEX(TransTypes[],Transactions[[#This Row],[TTR]],TT_COL_LONGORSHORT)="S",
      IF( OR(INDEX(TransTypes[],Transactions[[#This Row],[TTR]],TT_COL_GLFlag)=1, INDEX(TransTypes[], Transactions[[#This Row],[TTR]], TT_COL_ShareTransferFlag)=1),
            Transactions[[#This Row],[CostImpact]]*-1,
            Transactions[[#This Row],[CalCashImpact]]
      ),
     0
)</f>
        <v>0</v>
      </c>
      <c r="Y622" s="152" t="str">
        <f>VLOOKUP(Transactions[[#This Row],[Symbol]],Symbols[], COLUMN(Symbols[Currency])-COLUMN(Symbols[])+1,FALSE)</f>
        <v>CNY</v>
      </c>
    </row>
    <row r="623" spans="1:25">
      <c r="A623" s="138" t="s">
        <v>600</v>
      </c>
      <c r="B623" s="139">
        <v>42478</v>
      </c>
      <c r="C623" s="138" t="s">
        <v>113</v>
      </c>
      <c r="D623" s="138" t="s">
        <v>531</v>
      </c>
      <c r="E623" s="140" t="s">
        <v>626</v>
      </c>
      <c r="F623" s="141">
        <v>6979.35</v>
      </c>
      <c r="G623" s="142">
        <v>1</v>
      </c>
      <c r="H623" s="141"/>
      <c r="I623" s="141"/>
      <c r="J623" s="143">
        <v>6979.35</v>
      </c>
      <c r="K623" s="6"/>
      <c r="L623" s="20">
        <f>IF(ISNA(MATCH(Transactions[[#This Row],[TransType]],TransTypes[TransType],0)),1,MATCH(Transactions[[#This Row],[TransType]],TransTypes[TransType],0))</f>
        <v>2</v>
      </c>
      <c r="M623" s="144">
        <f>IF( AND( INDEX(TransTypes[],Transactions[[#This Row],[TTR]],TT_COL_GLFlag)=1, INDEX(TransTypes[],Transactions[[#This Row],[TTR]],TT_COL_LONGORSHORT)="S" ),
      Transactions[[#This Row],[PL]],
      IF(INDEX(TransTypes[],Transactions[[#This Row],[TTR]],TT_COL_LONGORSHORT)="S",0,Transactions[[#This Row],[CalCashImpact]])
)</f>
        <v>-6979.35</v>
      </c>
      <c r="N623" s="145">
        <f>IF(VLOOKUP(Transactions[[#This Row],[Symbol]],Symbols[],COLUMN(Symbols[Currency])-COLUMN(Symbols[])+1,FALSE)=
       VLOOKUP(Transactions[[#This Row],[Account]],Accounts[],COLUMN(Accounts[Currency])-COLUMN(Accounts[])+1,FALSE),
     Transactions[[#This Row],[OrigCashImpact]],
     0
)</f>
        <v>-6979.35</v>
      </c>
      <c r="O62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2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6979.35</v>
      </c>
      <c r="Q62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840313.25999999989</v>
      </c>
      <c r="R623" s="41">
        <f>ROW()</f>
        <v>623</v>
      </c>
      <c r="S6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6979.35</v>
      </c>
      <c r="T6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1006979.35</v>
      </c>
      <c r="U62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840313.25999999989</v>
      </c>
      <c r="V623" s="150">
        <f>IF(INDEX(TransTypes[],Transactions[[#This Row],[TTR]],TT_COL_GLFlag)=1,Transactions[[#This Row],[CalCashImpact]]+Transactions[[#This Row],[CostImpact]],0)</f>
        <v>0</v>
      </c>
      <c r="W623" s="151">
        <f>Transactions[[#This Row],[Amount]]*INDEX(TransTypes[],Transactions[[#This Row],[TTR]],TT_COL_AmntSign)</f>
        <v>-6979.35</v>
      </c>
      <c r="X623" s="151">
        <f>IF(INDEX(TransTypes[],Transactions[[#This Row],[TTR]],TT_COL_LONGORSHORT)="S",
      IF( OR(INDEX(TransTypes[],Transactions[[#This Row],[TTR]],TT_COL_GLFlag)=1, INDEX(TransTypes[], Transactions[[#This Row],[TTR]], TT_COL_ShareTransferFlag)=1),
            Transactions[[#This Row],[CostImpact]]*-1,
            Transactions[[#This Row],[CalCashImpact]]
      ),
     0
)</f>
        <v>0</v>
      </c>
      <c r="Y623" s="152" t="str">
        <f>VLOOKUP(Transactions[[#This Row],[Symbol]],Symbols[], COLUMN(Symbols[Currency])-COLUMN(Symbols[])+1,FALSE)</f>
        <v>CNY</v>
      </c>
    </row>
    <row r="624" spans="1:25">
      <c r="A624" s="138" t="s">
        <v>600</v>
      </c>
      <c r="B624" s="139">
        <v>42478</v>
      </c>
      <c r="C624" s="138" t="s">
        <v>118</v>
      </c>
      <c r="D624" s="138"/>
      <c r="E624" s="140" t="s">
        <v>623</v>
      </c>
      <c r="F624" s="141"/>
      <c r="G624" s="142"/>
      <c r="H624" s="141"/>
      <c r="I624" s="141"/>
      <c r="J624" s="143">
        <v>0</v>
      </c>
      <c r="K624" s="6"/>
      <c r="L624" s="20">
        <f>IF(ISNA(MATCH(Transactions[[#This Row],[TransType]],TransTypes[TransType],0)),1,MATCH(Transactions[[#This Row],[TransType]],TransTypes[TransType],0))</f>
        <v>4</v>
      </c>
      <c r="M624" s="144">
        <f>IF( AND( INDEX(TransTypes[],Transactions[[#This Row],[TTR]],TT_COL_GLFlag)=1, INDEX(TransTypes[],Transactions[[#This Row],[TTR]],TT_COL_LONGORSHORT)="S" ),
      Transactions[[#This Row],[PL]],
      IF(INDEX(TransTypes[],Transactions[[#This Row],[TTR]],TT_COL_LONGORSHORT)="S",0,Transactions[[#This Row],[CalCashImpact]])
)</f>
        <v>0</v>
      </c>
      <c r="N624" s="145">
        <f>IF(VLOOKUP(Transactions[[#This Row],[Symbol]],Symbols[],COLUMN(Symbols[Currency])-COLUMN(Symbols[])+1,FALSE)=
       VLOOKUP(Transactions[[#This Row],[Account]],Accounts[],COLUMN(Accounts[Currency])-COLUMN(Accounts[])+1,FALSE),
     Transactions[[#This Row],[OrigCashImpact]],
     0
)</f>
        <v>0</v>
      </c>
      <c r="O62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2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2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101891.71999999997</v>
      </c>
      <c r="R624" s="41">
        <f>ROW()</f>
        <v>624</v>
      </c>
      <c r="S6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101891.71999999997</v>
      </c>
      <c r="U62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101891.71999999997</v>
      </c>
      <c r="V624" s="150">
        <f>IF(INDEX(TransTypes[],Transactions[[#This Row],[TTR]],TT_COL_GLFlag)=1,Transactions[[#This Row],[CalCashImpact]]+Transactions[[#This Row],[CostImpact]],0)</f>
        <v>0</v>
      </c>
      <c r="W624" s="151">
        <f>Transactions[[#This Row],[Amount]]*INDEX(TransTypes[],Transactions[[#This Row],[TTR]],TT_COL_AmntSign)</f>
        <v>0</v>
      </c>
      <c r="X624" s="151">
        <f>IF(INDEX(TransTypes[],Transactions[[#This Row],[TTR]],TT_COL_LONGORSHORT)="S",
      IF( OR(INDEX(TransTypes[],Transactions[[#This Row],[TTR]],TT_COL_GLFlag)=1, INDEX(TransTypes[], Transactions[[#This Row],[TTR]], TT_COL_ShareTransferFlag)=1),
            Transactions[[#This Row],[CostImpact]]*-1,
            Transactions[[#This Row],[CalCashImpact]]
      ),
     0
)</f>
        <v>0</v>
      </c>
      <c r="Y624" s="152" t="str">
        <f>VLOOKUP(Transactions[[#This Row],[Symbol]],Symbols[], COLUMN(Symbols[Currency])-COLUMN(Symbols[])+1,FALSE)</f>
        <v>CNY</v>
      </c>
    </row>
    <row r="625" spans="1:25">
      <c r="A625" s="138" t="s">
        <v>600</v>
      </c>
      <c r="B625" s="139">
        <v>42478</v>
      </c>
      <c r="C625" s="138" t="s">
        <v>113</v>
      </c>
      <c r="D625" s="138" t="s">
        <v>531</v>
      </c>
      <c r="E625" s="140" t="s">
        <v>623</v>
      </c>
      <c r="F625" s="141">
        <v>526.1</v>
      </c>
      <c r="G625" s="142">
        <v>0</v>
      </c>
      <c r="H625" s="141"/>
      <c r="I625" s="141"/>
      <c r="J625" s="143">
        <v>0</v>
      </c>
      <c r="K625" s="6"/>
      <c r="L625" s="20">
        <f>IF(ISNA(MATCH(Transactions[[#This Row],[TransType]],TransTypes[TransType],0)),1,MATCH(Transactions[[#This Row],[TransType]],TransTypes[TransType],0))</f>
        <v>2</v>
      </c>
      <c r="M625" s="144">
        <f>IF( AND( INDEX(TransTypes[],Transactions[[#This Row],[TTR]],TT_COL_GLFlag)=1, INDEX(TransTypes[],Transactions[[#This Row],[TTR]],TT_COL_LONGORSHORT)="S" ),
      Transactions[[#This Row],[PL]],
      IF(INDEX(TransTypes[],Transactions[[#This Row],[TTR]],TT_COL_LONGORSHORT)="S",0,Transactions[[#This Row],[CalCashImpact]])
)</f>
        <v>0</v>
      </c>
      <c r="N625" s="145">
        <f>IF(VLOOKUP(Transactions[[#This Row],[Symbol]],Symbols[],COLUMN(Symbols[Currency])-COLUMN(Symbols[])+1,FALSE)=
       VLOOKUP(Transactions[[#This Row],[Account]],Accounts[],COLUMN(Accounts[Currency])-COLUMN(Accounts[])+1,FALSE),
     Transactions[[#This Row],[OrigCashImpact]],
     0
)</f>
        <v>0</v>
      </c>
      <c r="O62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2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526.1</v>
      </c>
      <c r="Q62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102417.81999999998</v>
      </c>
      <c r="R625" s="41">
        <f>ROW()</f>
        <v>625</v>
      </c>
      <c r="S6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101891.71999999997</v>
      </c>
      <c r="U62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102417.81999999998</v>
      </c>
      <c r="V625" s="150">
        <f>IF(INDEX(TransTypes[],Transactions[[#This Row],[TTR]],TT_COL_GLFlag)=1,Transactions[[#This Row],[CalCashImpact]]+Transactions[[#This Row],[CostImpact]],0)</f>
        <v>0</v>
      </c>
      <c r="W625" s="151">
        <f>Transactions[[#This Row],[Amount]]*INDEX(TransTypes[],Transactions[[#This Row],[TTR]],TT_COL_AmntSign)</f>
        <v>0</v>
      </c>
      <c r="X625" s="151">
        <f>IF(INDEX(TransTypes[],Transactions[[#This Row],[TTR]],TT_COL_LONGORSHORT)="S",
      IF( OR(INDEX(TransTypes[],Transactions[[#This Row],[TTR]],TT_COL_GLFlag)=1, INDEX(TransTypes[], Transactions[[#This Row],[TTR]], TT_COL_ShareTransferFlag)=1),
            Transactions[[#This Row],[CostImpact]]*-1,
            Transactions[[#This Row],[CalCashImpact]]
      ),
     0
)</f>
        <v>0</v>
      </c>
      <c r="Y625" s="152" t="str">
        <f>VLOOKUP(Transactions[[#This Row],[Symbol]],Symbols[], COLUMN(Symbols[Currency])-COLUMN(Symbols[])+1,FALSE)</f>
        <v>CNY</v>
      </c>
    </row>
    <row r="626" spans="1:25">
      <c r="A626" s="138" t="s">
        <v>600</v>
      </c>
      <c r="B626" s="139">
        <v>42507</v>
      </c>
      <c r="C626" s="138" t="s">
        <v>118</v>
      </c>
      <c r="D626" s="138"/>
      <c r="E626" s="140" t="s">
        <v>623</v>
      </c>
      <c r="F626" s="141"/>
      <c r="G626" s="142"/>
      <c r="H626" s="141"/>
      <c r="I626" s="141"/>
      <c r="J626" s="143">
        <v>0</v>
      </c>
      <c r="K626" s="6"/>
      <c r="L626" s="20">
        <f>IF(ISNA(MATCH(Transactions[[#This Row],[TransType]],TransTypes[TransType],0)),1,MATCH(Transactions[[#This Row],[TransType]],TransTypes[TransType],0))</f>
        <v>4</v>
      </c>
      <c r="M626" s="144">
        <f>IF( AND( INDEX(TransTypes[],Transactions[[#This Row],[TTR]],TT_COL_GLFlag)=1, INDEX(TransTypes[],Transactions[[#This Row],[TTR]],TT_COL_LONGORSHORT)="S" ),
      Transactions[[#This Row],[PL]],
      IF(INDEX(TransTypes[],Transactions[[#This Row],[TTR]],TT_COL_LONGORSHORT)="S",0,Transactions[[#This Row],[CalCashImpact]])
)</f>
        <v>0</v>
      </c>
      <c r="N626" s="145">
        <f>IF(VLOOKUP(Transactions[[#This Row],[Symbol]],Symbols[],COLUMN(Symbols[Currency])-COLUMN(Symbols[])+1,FALSE)=
       VLOOKUP(Transactions[[#This Row],[Account]],Accounts[],COLUMN(Accounts[Currency])-COLUMN(Accounts[])+1,FALSE),
     Transactions[[#This Row],[OrigCashImpact]],
     0
)</f>
        <v>0</v>
      </c>
      <c r="O62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2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2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102417.81999999998</v>
      </c>
      <c r="R626" s="41">
        <f>ROW()</f>
        <v>626</v>
      </c>
      <c r="S6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101891.71999999997</v>
      </c>
      <c r="U62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102417.81999999998</v>
      </c>
      <c r="V626" s="150">
        <f>IF(INDEX(TransTypes[],Transactions[[#This Row],[TTR]],TT_COL_GLFlag)=1,Transactions[[#This Row],[CalCashImpact]]+Transactions[[#This Row],[CostImpact]],0)</f>
        <v>0</v>
      </c>
      <c r="W626" s="151">
        <f>Transactions[[#This Row],[Amount]]*INDEX(TransTypes[],Transactions[[#This Row],[TTR]],TT_COL_AmntSign)</f>
        <v>0</v>
      </c>
      <c r="X626" s="151">
        <f>IF(INDEX(TransTypes[],Transactions[[#This Row],[TTR]],TT_COL_LONGORSHORT)="S",
      IF( OR(INDEX(TransTypes[],Transactions[[#This Row],[TTR]],TT_COL_GLFlag)=1, INDEX(TransTypes[], Transactions[[#This Row],[TTR]], TT_COL_ShareTransferFlag)=1),
            Transactions[[#This Row],[CostImpact]]*-1,
            Transactions[[#This Row],[CalCashImpact]]
      ),
     0
)</f>
        <v>0</v>
      </c>
      <c r="Y626" s="152" t="str">
        <f>VLOOKUP(Transactions[[#This Row],[Symbol]],Symbols[], COLUMN(Symbols[Currency])-COLUMN(Symbols[])+1,FALSE)</f>
        <v>CNY</v>
      </c>
    </row>
    <row r="627" spans="1:25">
      <c r="A627" s="138" t="s">
        <v>600</v>
      </c>
      <c r="B627" s="139">
        <v>42507</v>
      </c>
      <c r="C627" s="138" t="s">
        <v>113</v>
      </c>
      <c r="D627" s="138" t="s">
        <v>531</v>
      </c>
      <c r="E627" s="140" t="s">
        <v>623</v>
      </c>
      <c r="F627" s="141">
        <v>190.69</v>
      </c>
      <c r="G627" s="142">
        <v>0</v>
      </c>
      <c r="H627" s="141"/>
      <c r="I627" s="141"/>
      <c r="J627" s="143">
        <v>0</v>
      </c>
      <c r="K627" s="6"/>
      <c r="L627" s="20">
        <f>IF(ISNA(MATCH(Transactions[[#This Row],[TransType]],TransTypes[TransType],0)),1,MATCH(Transactions[[#This Row],[TransType]],TransTypes[TransType],0))</f>
        <v>2</v>
      </c>
      <c r="M627" s="144">
        <f>IF( AND( INDEX(TransTypes[],Transactions[[#This Row],[TTR]],TT_COL_GLFlag)=1, INDEX(TransTypes[],Transactions[[#This Row],[TTR]],TT_COL_LONGORSHORT)="S" ),
      Transactions[[#This Row],[PL]],
      IF(INDEX(TransTypes[],Transactions[[#This Row],[TTR]],TT_COL_LONGORSHORT)="S",0,Transactions[[#This Row],[CalCashImpact]])
)</f>
        <v>0</v>
      </c>
      <c r="N627" s="145">
        <f>IF(VLOOKUP(Transactions[[#This Row],[Symbol]],Symbols[],COLUMN(Symbols[Currency])-COLUMN(Symbols[])+1,FALSE)=
       VLOOKUP(Transactions[[#This Row],[Account]],Accounts[],COLUMN(Accounts[Currency])-COLUMN(Accounts[])+1,FALSE),
     Transactions[[#This Row],[OrigCashImpact]],
     0
)</f>
        <v>0</v>
      </c>
      <c r="O62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-1.0000000242143869E-2</v>
      </c>
      <c r="P62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190.69</v>
      </c>
      <c r="Q62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102608.50999999998</v>
      </c>
      <c r="R627" s="41">
        <f>ROW()</f>
        <v>627</v>
      </c>
      <c r="S6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101891.71999999997</v>
      </c>
      <c r="U62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102608.50999999998</v>
      </c>
      <c r="V627" s="150">
        <f>IF(INDEX(TransTypes[],Transactions[[#This Row],[TTR]],TT_COL_GLFlag)=1,Transactions[[#This Row],[CalCashImpact]]+Transactions[[#This Row],[CostImpact]],0)</f>
        <v>0</v>
      </c>
      <c r="W627" s="151">
        <f>Transactions[[#This Row],[Amount]]*INDEX(TransTypes[],Transactions[[#This Row],[TTR]],TT_COL_AmntSign)</f>
        <v>0</v>
      </c>
      <c r="X627" s="151">
        <f>IF(INDEX(TransTypes[],Transactions[[#This Row],[TTR]],TT_COL_LONGORSHORT)="S",
      IF( OR(INDEX(TransTypes[],Transactions[[#This Row],[TTR]],TT_COL_GLFlag)=1, INDEX(TransTypes[], Transactions[[#This Row],[TTR]], TT_COL_ShareTransferFlag)=1),
            Transactions[[#This Row],[CostImpact]]*-1,
            Transactions[[#This Row],[CalCashImpact]]
      ),
     0
)</f>
        <v>0</v>
      </c>
      <c r="Y627" s="152" t="str">
        <f>VLOOKUP(Transactions[[#This Row],[Symbol]],Symbols[], COLUMN(Symbols[Currency])-COLUMN(Symbols[])+1,FALSE)</f>
        <v>CNY</v>
      </c>
    </row>
    <row r="628" spans="1:25">
      <c r="A628" s="138" t="s">
        <v>600</v>
      </c>
      <c r="B628" s="139">
        <v>42509</v>
      </c>
      <c r="C628" s="138" t="s">
        <v>113</v>
      </c>
      <c r="D628" s="138"/>
      <c r="E628" s="140" t="s">
        <v>605</v>
      </c>
      <c r="F628" s="141">
        <v>109262.34</v>
      </c>
      <c r="G628" s="142">
        <v>0.88549998105477101</v>
      </c>
      <c r="H628" s="141">
        <v>116.1</v>
      </c>
      <c r="I628" s="141"/>
      <c r="J628" s="143">
        <v>96867.9</v>
      </c>
      <c r="K628" s="6"/>
      <c r="L628" s="20">
        <f>IF(ISNA(MATCH(Transactions[[#This Row],[TransType]],TransTypes[TransType],0)),1,MATCH(Transactions[[#This Row],[TransType]],TransTypes[TransType],0))</f>
        <v>2</v>
      </c>
      <c r="M628" s="144">
        <f>IF( AND( INDEX(TransTypes[],Transactions[[#This Row],[TTR]],TT_COL_GLFlag)=1, INDEX(TransTypes[],Transactions[[#This Row],[TTR]],TT_COL_LONGORSHORT)="S" ),
      Transactions[[#This Row],[PL]],
      IF(INDEX(TransTypes[],Transactions[[#This Row],[TTR]],TT_COL_LONGORSHORT)="S",0,Transactions[[#This Row],[CalCashImpact]])
)</f>
        <v>-96867.9</v>
      </c>
      <c r="N628" s="145">
        <f>IF(VLOOKUP(Transactions[[#This Row],[Symbol]],Symbols[],COLUMN(Symbols[Currency])-COLUMN(Symbols[])+1,FALSE)=
       VLOOKUP(Transactions[[#This Row],[Account]],Accounts[],COLUMN(Accounts[Currency])-COLUMN(Accounts[])+1,FALSE),
     Transactions[[#This Row],[OrigCashImpact]],
     0
)</f>
        <v>-96867.9</v>
      </c>
      <c r="O62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-96867.910000000236</v>
      </c>
      <c r="P62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109262.34</v>
      </c>
      <c r="Q62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319028.46999999997</v>
      </c>
      <c r="R628" s="41">
        <f>ROW()</f>
        <v>628</v>
      </c>
      <c r="S6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96867.9</v>
      </c>
      <c r="T6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296867.90000000002</v>
      </c>
      <c r="U62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319028.46999999997</v>
      </c>
      <c r="V628" s="150">
        <f>IF(INDEX(TransTypes[],Transactions[[#This Row],[TTR]],TT_COL_GLFlag)=1,Transactions[[#This Row],[CalCashImpact]]+Transactions[[#This Row],[CostImpact]],0)</f>
        <v>0</v>
      </c>
      <c r="W628" s="151">
        <f>Transactions[[#This Row],[Amount]]*INDEX(TransTypes[],Transactions[[#This Row],[TTR]],TT_COL_AmntSign)</f>
        <v>-96867.9</v>
      </c>
      <c r="X628" s="151">
        <f>IF(INDEX(TransTypes[],Transactions[[#This Row],[TTR]],TT_COL_LONGORSHORT)="S",
      IF( OR(INDEX(TransTypes[],Transactions[[#This Row],[TTR]],TT_COL_GLFlag)=1, INDEX(TransTypes[], Transactions[[#This Row],[TTR]], TT_COL_ShareTransferFlag)=1),
            Transactions[[#This Row],[CostImpact]]*-1,
            Transactions[[#This Row],[CalCashImpact]]
      ),
     0
)</f>
        <v>0</v>
      </c>
      <c r="Y628" s="152" t="str">
        <f>VLOOKUP(Transactions[[#This Row],[Symbol]],Symbols[], COLUMN(Symbols[Currency])-COLUMN(Symbols[])+1,FALSE)</f>
        <v>CNY</v>
      </c>
    </row>
    <row r="629" spans="1:25">
      <c r="A629" s="138" t="s">
        <v>600</v>
      </c>
      <c r="B629" s="139">
        <v>42509</v>
      </c>
      <c r="C629" s="138" t="s">
        <v>115</v>
      </c>
      <c r="D629" s="138"/>
      <c r="E629" s="140" t="s">
        <v>626</v>
      </c>
      <c r="F629" s="141">
        <v>90000</v>
      </c>
      <c r="G629" s="142">
        <v>1.194</v>
      </c>
      <c r="H629" s="141">
        <v>0</v>
      </c>
      <c r="I629" s="141"/>
      <c r="J629" s="143">
        <v>107460</v>
      </c>
      <c r="K629" s="6"/>
      <c r="L629" s="20">
        <f>IF(ISNA(MATCH(Transactions[[#This Row],[TransType]],TransTypes[TransType],0)),1,MATCH(Transactions[[#This Row],[TransType]],TransTypes[TransType],0))</f>
        <v>3</v>
      </c>
      <c r="M629" s="144">
        <f>IF( AND( INDEX(TransTypes[],Transactions[[#This Row],[TTR]],TT_COL_GLFlag)=1, INDEX(TransTypes[],Transactions[[#This Row],[TTR]],TT_COL_LONGORSHORT)="S" ),
      Transactions[[#This Row],[PL]],
      IF(INDEX(TransTypes[],Transactions[[#This Row],[TTR]],TT_COL_LONGORSHORT)="S",0,Transactions[[#This Row],[CalCashImpact]])
)</f>
        <v>107460</v>
      </c>
      <c r="N629" s="145">
        <f>IF(VLOOKUP(Transactions[[#This Row],[Symbol]],Symbols[],COLUMN(Symbols[Currency])-COLUMN(Symbols[])+1,FALSE)=
       VLOOKUP(Transactions[[#This Row],[Account]],Accounts[],COLUMN(Accounts[Currency])-COLUMN(Accounts[])+1,FALSE),
     Transactions[[#This Row],[OrigCashImpact]],
     0
)</f>
        <v>107460</v>
      </c>
      <c r="O62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10592.089999999764</v>
      </c>
      <c r="P62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-90000</v>
      </c>
      <c r="Q62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750313.25999999989</v>
      </c>
      <c r="R629" s="41">
        <f>ROW()</f>
        <v>629</v>
      </c>
      <c r="S6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-107850.42413825532</v>
      </c>
      <c r="T6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899128.92586174468</v>
      </c>
      <c r="U62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840313.25999999989</v>
      </c>
      <c r="V629" s="150">
        <f>IF(INDEX(TransTypes[],Transactions[[#This Row],[TTR]],TT_COL_GLFlag)=1,Transactions[[#This Row],[CalCashImpact]]+Transactions[[#This Row],[CostImpact]],0)</f>
        <v>-390.42413825531548</v>
      </c>
      <c r="W629" s="151">
        <f>Transactions[[#This Row],[Amount]]*INDEX(TransTypes[],Transactions[[#This Row],[TTR]],TT_COL_AmntSign)</f>
        <v>107460</v>
      </c>
      <c r="X629" s="151">
        <f>IF(INDEX(TransTypes[],Transactions[[#This Row],[TTR]],TT_COL_LONGORSHORT)="S",
      IF( OR(INDEX(TransTypes[],Transactions[[#This Row],[TTR]],TT_COL_GLFlag)=1, INDEX(TransTypes[], Transactions[[#This Row],[TTR]], TT_COL_ShareTransferFlag)=1),
            Transactions[[#This Row],[CostImpact]]*-1,
            Transactions[[#This Row],[CalCashImpact]]
      ),
     0
)</f>
        <v>0</v>
      </c>
      <c r="Y629" s="152" t="str">
        <f>VLOOKUP(Transactions[[#This Row],[Symbol]],Symbols[], COLUMN(Symbols[Currency])-COLUMN(Symbols[])+1,FALSE)</f>
        <v>CNY</v>
      </c>
    </row>
    <row r="630" spans="1:25">
      <c r="A630" s="138" t="s">
        <v>600</v>
      </c>
      <c r="B630" s="139">
        <v>42514</v>
      </c>
      <c r="C630" s="138" t="s">
        <v>113</v>
      </c>
      <c r="D630" s="138"/>
      <c r="E630" s="138" t="s">
        <v>623</v>
      </c>
      <c r="F630" s="141">
        <v>10592.1</v>
      </c>
      <c r="G630" s="142">
        <v>1</v>
      </c>
      <c r="H630" s="141">
        <v>0</v>
      </c>
      <c r="I630" s="141"/>
      <c r="J630" s="143">
        <v>10592.1</v>
      </c>
      <c r="K630" s="6"/>
      <c r="L630" s="20">
        <f>IF(ISNA(MATCH(Transactions[[#This Row],[TransType]],TransTypes[TransType],0)),1,MATCH(Transactions[[#This Row],[TransType]],TransTypes[TransType],0))</f>
        <v>2</v>
      </c>
      <c r="M630" s="144">
        <f>IF( AND( INDEX(TransTypes[],Transactions[[#This Row],[TTR]],TT_COL_GLFlag)=1, INDEX(TransTypes[],Transactions[[#This Row],[TTR]],TT_COL_LONGORSHORT)="S" ),
      Transactions[[#This Row],[PL]],
      IF(INDEX(TransTypes[],Transactions[[#This Row],[TTR]],TT_COL_LONGORSHORT)="S",0,Transactions[[#This Row],[CalCashImpact]])
)</f>
        <v>-10592.1</v>
      </c>
      <c r="N630" s="145">
        <f>IF(VLOOKUP(Transactions[[#This Row],[Symbol]],Symbols[],COLUMN(Symbols[Currency])-COLUMN(Symbols[])+1,FALSE)=
       VLOOKUP(Transactions[[#This Row],[Account]],Accounts[],COLUMN(Accounts[Currency])-COLUMN(Accounts[])+1,FALSE),
     Transactions[[#This Row],[OrigCashImpact]],
     0
)</f>
        <v>-10592.1</v>
      </c>
      <c r="O63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-1.0000000236686901E-2</v>
      </c>
      <c r="P63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10592.1</v>
      </c>
      <c r="Q63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113200.60999999999</v>
      </c>
      <c r="R630" s="41">
        <f>ROW()</f>
        <v>630</v>
      </c>
      <c r="S6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10592.1</v>
      </c>
      <c r="T6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112483.81999999998</v>
      </c>
      <c r="U63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113200.60999999999</v>
      </c>
      <c r="V630" s="150">
        <f>IF(INDEX(TransTypes[],Transactions[[#This Row],[TTR]],TT_COL_GLFlag)=1,Transactions[[#This Row],[CalCashImpact]]+Transactions[[#This Row],[CostImpact]],0)</f>
        <v>0</v>
      </c>
      <c r="W630" s="151">
        <f>Transactions[[#This Row],[Amount]]*INDEX(TransTypes[],Transactions[[#This Row],[TTR]],TT_COL_AmntSign)</f>
        <v>-10592.1</v>
      </c>
      <c r="X630" s="151">
        <f>IF(INDEX(TransTypes[],Transactions[[#This Row],[TTR]],TT_COL_LONGORSHORT)="S",
      IF( OR(INDEX(TransTypes[],Transactions[[#This Row],[TTR]],TT_COL_GLFlag)=1, INDEX(TransTypes[], Transactions[[#This Row],[TTR]], TT_COL_ShareTransferFlag)=1),
            Transactions[[#This Row],[CostImpact]]*-1,
            Transactions[[#This Row],[CalCashImpact]]
      ),
     0
)</f>
        <v>0</v>
      </c>
      <c r="Y630" s="152" t="str">
        <f>VLOOKUP(Transactions[[#This Row],[Symbol]],Symbols[], COLUMN(Symbols[Currency])-COLUMN(Symbols[])+1,FALSE)</f>
        <v>CNY</v>
      </c>
    </row>
    <row r="631" spans="1:25">
      <c r="A631" s="138" t="s">
        <v>600</v>
      </c>
      <c r="B631" s="139">
        <v>42536</v>
      </c>
      <c r="C631" s="138" t="s">
        <v>118</v>
      </c>
      <c r="D631" s="138"/>
      <c r="E631" s="138" t="s">
        <v>623</v>
      </c>
      <c r="F631" s="141"/>
      <c r="G631" s="142"/>
      <c r="H631" s="141"/>
      <c r="I631" s="141"/>
      <c r="J631" s="143">
        <v>18.829999999999998</v>
      </c>
      <c r="K631" s="6"/>
      <c r="L631" s="20">
        <f>IF(ISNA(MATCH(Transactions[[#This Row],[TransType]],TransTypes[TransType],0)),1,MATCH(Transactions[[#This Row],[TransType]],TransTypes[TransType],0))</f>
        <v>4</v>
      </c>
      <c r="M631" s="144">
        <f>IF( AND( INDEX(TransTypes[],Transactions[[#This Row],[TTR]],TT_COL_GLFlag)=1, INDEX(TransTypes[],Transactions[[#This Row],[TTR]],TT_COL_LONGORSHORT)="S" ),
      Transactions[[#This Row],[PL]],
      IF(INDEX(TransTypes[],Transactions[[#This Row],[TTR]],TT_COL_LONGORSHORT)="S",0,Transactions[[#This Row],[CalCashImpact]])
)</f>
        <v>18.829999999999998</v>
      </c>
      <c r="N631" s="145">
        <f>IF(VLOOKUP(Transactions[[#This Row],[Symbol]],Symbols[],COLUMN(Symbols[Currency])-COLUMN(Symbols[])+1,FALSE)=
       VLOOKUP(Transactions[[#This Row],[Account]],Accounts[],COLUMN(Accounts[Currency])-COLUMN(Accounts[])+1,FALSE),
     Transactions[[#This Row],[OrigCashImpact]],
     0
)</f>
        <v>18.829999999999998</v>
      </c>
      <c r="O63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18.819999999763311</v>
      </c>
      <c r="P63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3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113200.60999999999</v>
      </c>
      <c r="R631" s="41">
        <f>ROW()</f>
        <v>631</v>
      </c>
      <c r="S6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112483.81999999998</v>
      </c>
      <c r="U63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113200.60999999999</v>
      </c>
      <c r="V631" s="150">
        <f>IF(INDEX(TransTypes[],Transactions[[#This Row],[TTR]],TT_COL_GLFlag)=1,Transactions[[#This Row],[CalCashImpact]]+Transactions[[#This Row],[CostImpact]],0)</f>
        <v>0</v>
      </c>
      <c r="W631" s="151">
        <f>Transactions[[#This Row],[Amount]]*INDEX(TransTypes[],Transactions[[#This Row],[TTR]],TT_COL_AmntSign)</f>
        <v>18.829999999999998</v>
      </c>
      <c r="X631" s="151">
        <f>IF(INDEX(TransTypes[],Transactions[[#This Row],[TTR]],TT_COL_LONGORSHORT)="S",
      IF( OR(INDEX(TransTypes[],Transactions[[#This Row],[TTR]],TT_COL_GLFlag)=1, INDEX(TransTypes[], Transactions[[#This Row],[TTR]], TT_COL_ShareTransferFlag)=1),
            Transactions[[#This Row],[CostImpact]]*-1,
            Transactions[[#This Row],[CalCashImpact]]
      ),
     0
)</f>
        <v>0</v>
      </c>
      <c r="Y631" s="152" t="str">
        <f>VLOOKUP(Transactions[[#This Row],[Symbol]],Symbols[], COLUMN(Symbols[Currency])-COLUMN(Symbols[])+1,FALSE)</f>
        <v>CNY</v>
      </c>
    </row>
    <row r="632" spans="1:25">
      <c r="A632" s="138" t="s">
        <v>600</v>
      </c>
      <c r="B632" s="139">
        <v>42536</v>
      </c>
      <c r="C632" s="138" t="s">
        <v>113</v>
      </c>
      <c r="D632" s="138" t="s">
        <v>531</v>
      </c>
      <c r="E632" s="138" t="s">
        <v>623</v>
      </c>
      <c r="F632" s="141">
        <v>18.829999999999998</v>
      </c>
      <c r="G632" s="142">
        <v>1</v>
      </c>
      <c r="H632" s="141"/>
      <c r="I632" s="141"/>
      <c r="J632" s="143">
        <v>18.829999999999998</v>
      </c>
      <c r="K632" s="6"/>
      <c r="L632" s="20">
        <f>IF(ISNA(MATCH(Transactions[[#This Row],[TransType]],TransTypes[TransType],0)),1,MATCH(Transactions[[#This Row],[TransType]],TransTypes[TransType],0))</f>
        <v>2</v>
      </c>
      <c r="M632" s="144">
        <f>IF( AND( INDEX(TransTypes[],Transactions[[#This Row],[TTR]],TT_COL_GLFlag)=1, INDEX(TransTypes[],Transactions[[#This Row],[TTR]],TT_COL_LONGORSHORT)="S" ),
      Transactions[[#This Row],[PL]],
      IF(INDEX(TransTypes[],Transactions[[#This Row],[TTR]],TT_COL_LONGORSHORT)="S",0,Transactions[[#This Row],[CalCashImpact]])
)</f>
        <v>-18.829999999999998</v>
      </c>
      <c r="N632" s="145">
        <f>IF(VLOOKUP(Transactions[[#This Row],[Symbol]],Symbols[],COLUMN(Symbols[Currency])-COLUMN(Symbols[])+1,FALSE)=
       VLOOKUP(Transactions[[#This Row],[Account]],Accounts[],COLUMN(Accounts[Currency])-COLUMN(Accounts[])+1,FALSE),
     Transactions[[#This Row],[OrigCashImpact]],
     0
)</f>
        <v>-18.829999999999998</v>
      </c>
      <c r="O63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-1.0000000236686901E-2</v>
      </c>
      <c r="P63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18.829999999999998</v>
      </c>
      <c r="Q63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113219.43999999999</v>
      </c>
      <c r="R632" s="41">
        <f>ROW()</f>
        <v>632</v>
      </c>
      <c r="S6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18.829999999999998</v>
      </c>
      <c r="T6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112502.64999999998</v>
      </c>
      <c r="U63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113219.43999999999</v>
      </c>
      <c r="V632" s="150">
        <f>IF(INDEX(TransTypes[],Transactions[[#This Row],[TTR]],TT_COL_GLFlag)=1,Transactions[[#This Row],[CalCashImpact]]+Transactions[[#This Row],[CostImpact]],0)</f>
        <v>0</v>
      </c>
      <c r="W632" s="151">
        <f>Transactions[[#This Row],[Amount]]*INDEX(TransTypes[],Transactions[[#This Row],[TTR]],TT_COL_AmntSign)</f>
        <v>-18.829999999999998</v>
      </c>
      <c r="X632" s="151">
        <f>IF(INDEX(TransTypes[],Transactions[[#This Row],[TTR]],TT_COL_LONGORSHORT)="S",
      IF( OR(INDEX(TransTypes[],Transactions[[#This Row],[TTR]],TT_COL_GLFlag)=1, INDEX(TransTypes[], Transactions[[#This Row],[TTR]], TT_COL_ShareTransferFlag)=1),
            Transactions[[#This Row],[CostImpact]]*-1,
            Transactions[[#This Row],[CalCashImpact]]
      ),
     0
)</f>
        <v>0</v>
      </c>
      <c r="Y632" s="152" t="str">
        <f>VLOOKUP(Transactions[[#This Row],[Symbol]],Symbols[], COLUMN(Symbols[Currency])-COLUMN(Symbols[])+1,FALSE)</f>
        <v>CNY</v>
      </c>
    </row>
    <row r="633" spans="1:25">
      <c r="A633" s="138" t="s">
        <v>600</v>
      </c>
      <c r="B633" s="139">
        <v>42537</v>
      </c>
      <c r="C633" s="138" t="s">
        <v>118</v>
      </c>
      <c r="D633" s="138"/>
      <c r="E633" s="140" t="s">
        <v>623</v>
      </c>
      <c r="F633" s="141"/>
      <c r="G633" s="142"/>
      <c r="H633" s="141"/>
      <c r="I633" s="141"/>
      <c r="J633" s="143">
        <v>0</v>
      </c>
      <c r="K633" s="6"/>
      <c r="L633" s="20">
        <f>IF(ISNA(MATCH(Transactions[[#This Row],[TransType]],TransTypes[TransType],0)),1,MATCH(Transactions[[#This Row],[TransType]],TransTypes[TransType],0))</f>
        <v>4</v>
      </c>
      <c r="M633" s="144">
        <f>IF( AND( INDEX(TransTypes[],Transactions[[#This Row],[TTR]],TT_COL_GLFlag)=1, INDEX(TransTypes[],Transactions[[#This Row],[TTR]],TT_COL_LONGORSHORT)="S" ),
      Transactions[[#This Row],[PL]],
      IF(INDEX(TransTypes[],Transactions[[#This Row],[TTR]],TT_COL_LONGORSHORT)="S",0,Transactions[[#This Row],[CalCashImpact]])
)</f>
        <v>0</v>
      </c>
      <c r="N633" s="145">
        <f>IF(VLOOKUP(Transactions[[#This Row],[Symbol]],Symbols[],COLUMN(Symbols[Currency])-COLUMN(Symbols[])+1,FALSE)=
       VLOOKUP(Transactions[[#This Row],[Account]],Accounts[],COLUMN(Accounts[Currency])-COLUMN(Accounts[])+1,FALSE),
     Transactions[[#This Row],[OrigCashImpact]],
     0
)</f>
        <v>0</v>
      </c>
      <c r="O63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-1.0000000236686901E-2</v>
      </c>
      <c r="P63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3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113219.43999999999</v>
      </c>
      <c r="R633" s="41">
        <f>ROW()</f>
        <v>633</v>
      </c>
      <c r="S6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112502.64999999998</v>
      </c>
      <c r="U63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113219.43999999999</v>
      </c>
      <c r="V633" s="150">
        <f>IF(INDEX(TransTypes[],Transactions[[#This Row],[TTR]],TT_COL_GLFlag)=1,Transactions[[#This Row],[CalCashImpact]]+Transactions[[#This Row],[CostImpact]],0)</f>
        <v>0</v>
      </c>
      <c r="W633" s="151">
        <f>Transactions[[#This Row],[Amount]]*INDEX(TransTypes[],Transactions[[#This Row],[TTR]],TT_COL_AmntSign)</f>
        <v>0</v>
      </c>
      <c r="X633" s="151">
        <f>IF(INDEX(TransTypes[],Transactions[[#This Row],[TTR]],TT_COL_LONGORSHORT)="S",
      IF( OR(INDEX(TransTypes[],Transactions[[#This Row],[TTR]],TT_COL_GLFlag)=1, INDEX(TransTypes[], Transactions[[#This Row],[TTR]], TT_COL_ShareTransferFlag)=1),
            Transactions[[#This Row],[CostImpact]]*-1,
            Transactions[[#This Row],[CalCashImpact]]
      ),
     0
)</f>
        <v>0</v>
      </c>
      <c r="Y633" s="152" t="str">
        <f>VLOOKUP(Transactions[[#This Row],[Symbol]],Symbols[], COLUMN(Symbols[Currency])-COLUMN(Symbols[])+1,FALSE)</f>
        <v>CNY</v>
      </c>
    </row>
    <row r="634" spans="1:25">
      <c r="A634" s="138" t="s">
        <v>600</v>
      </c>
      <c r="B634" s="139">
        <v>42537</v>
      </c>
      <c r="C634" s="138" t="s">
        <v>113</v>
      </c>
      <c r="D634" s="138" t="s">
        <v>531</v>
      </c>
      <c r="E634" s="140" t="s">
        <v>623</v>
      </c>
      <c r="F634" s="141">
        <v>203.28</v>
      </c>
      <c r="G634" s="142">
        <v>0</v>
      </c>
      <c r="H634" s="141"/>
      <c r="I634" s="141"/>
      <c r="J634" s="143">
        <v>0</v>
      </c>
      <c r="K634" s="6"/>
      <c r="L634" s="20">
        <f>IF(ISNA(MATCH(Transactions[[#This Row],[TransType]],TransTypes[TransType],0)),1,MATCH(Transactions[[#This Row],[TransType]],TransTypes[TransType],0))</f>
        <v>2</v>
      </c>
      <c r="M634" s="144">
        <f>IF( AND( INDEX(TransTypes[],Transactions[[#This Row],[TTR]],TT_COL_GLFlag)=1, INDEX(TransTypes[],Transactions[[#This Row],[TTR]],TT_COL_LONGORSHORT)="S" ),
      Transactions[[#This Row],[PL]],
      IF(INDEX(TransTypes[],Transactions[[#This Row],[TTR]],TT_COL_LONGORSHORT)="S",0,Transactions[[#This Row],[CalCashImpact]])
)</f>
        <v>0</v>
      </c>
      <c r="N634" s="145">
        <f>IF(VLOOKUP(Transactions[[#This Row],[Symbol]],Symbols[],COLUMN(Symbols[Currency])-COLUMN(Symbols[])+1,FALSE)=
       VLOOKUP(Transactions[[#This Row],[Account]],Accounts[],COLUMN(Accounts[Currency])-COLUMN(Accounts[])+1,FALSE),
     Transactions[[#This Row],[OrigCashImpact]],
     0
)</f>
        <v>0</v>
      </c>
      <c r="O63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-1.0000000236686901E-2</v>
      </c>
      <c r="P63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203.28</v>
      </c>
      <c r="Q63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113422.71999999999</v>
      </c>
      <c r="R634" s="41">
        <f>ROW()</f>
        <v>634</v>
      </c>
      <c r="S6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112502.64999999998</v>
      </c>
      <c r="U63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113422.71999999999</v>
      </c>
      <c r="V634" s="150">
        <f>IF(INDEX(TransTypes[],Transactions[[#This Row],[TTR]],TT_COL_GLFlag)=1,Transactions[[#This Row],[CalCashImpact]]+Transactions[[#This Row],[CostImpact]],0)</f>
        <v>0</v>
      </c>
      <c r="W634" s="151">
        <f>Transactions[[#This Row],[Amount]]*INDEX(TransTypes[],Transactions[[#This Row],[TTR]],TT_COL_AmntSign)</f>
        <v>0</v>
      </c>
      <c r="X634" s="151">
        <f>IF(INDEX(TransTypes[],Transactions[[#This Row],[TTR]],TT_COL_LONGORSHORT)="S",
      IF( OR(INDEX(TransTypes[],Transactions[[#This Row],[TTR]],TT_COL_GLFlag)=1, INDEX(TransTypes[], Transactions[[#This Row],[TTR]], TT_COL_ShareTransferFlag)=1),
            Transactions[[#This Row],[CostImpact]]*-1,
            Transactions[[#This Row],[CalCashImpact]]
      ),
     0
)</f>
        <v>0</v>
      </c>
      <c r="Y634" s="152" t="str">
        <f>VLOOKUP(Transactions[[#This Row],[Symbol]],Symbols[], COLUMN(Symbols[Currency])-COLUMN(Symbols[])+1,FALSE)</f>
        <v>CNY</v>
      </c>
    </row>
    <row r="635" spans="1:25">
      <c r="A635" s="138" t="s">
        <v>600</v>
      </c>
      <c r="B635" s="139">
        <v>42569</v>
      </c>
      <c r="C635" s="138" t="s">
        <v>118</v>
      </c>
      <c r="D635" s="138"/>
      <c r="E635" s="138" t="s">
        <v>623</v>
      </c>
      <c r="F635" s="141"/>
      <c r="G635" s="142"/>
      <c r="H635" s="141"/>
      <c r="I635" s="141"/>
      <c r="J635" s="143">
        <v>22.47</v>
      </c>
      <c r="K635" s="6"/>
      <c r="L635" s="20">
        <f>IF(ISNA(MATCH(Transactions[[#This Row],[TransType]],TransTypes[TransType],0)),1,MATCH(Transactions[[#This Row],[TransType]],TransTypes[TransType],0))</f>
        <v>4</v>
      </c>
      <c r="M635" s="144">
        <f>IF( AND( INDEX(TransTypes[],Transactions[[#This Row],[TTR]],TT_COL_GLFlag)=1, INDEX(TransTypes[],Transactions[[#This Row],[TTR]],TT_COL_LONGORSHORT)="S" ),
      Transactions[[#This Row],[PL]],
      IF(INDEX(TransTypes[],Transactions[[#This Row],[TTR]],TT_COL_LONGORSHORT)="S",0,Transactions[[#This Row],[CalCashImpact]])
)</f>
        <v>22.47</v>
      </c>
      <c r="N635" s="145">
        <f>IF(VLOOKUP(Transactions[[#This Row],[Symbol]],Symbols[],COLUMN(Symbols[Currency])-COLUMN(Symbols[])+1,FALSE)=
       VLOOKUP(Transactions[[#This Row],[Account]],Accounts[],COLUMN(Accounts[Currency])-COLUMN(Accounts[])+1,FALSE),
     Transactions[[#This Row],[OrigCashImpact]],
     0
)</f>
        <v>22.47</v>
      </c>
      <c r="O63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22.459999999763312</v>
      </c>
      <c r="P63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3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113422.71999999999</v>
      </c>
      <c r="R635" s="41">
        <f>ROW()</f>
        <v>635</v>
      </c>
      <c r="S6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112502.64999999998</v>
      </c>
      <c r="U63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113422.71999999999</v>
      </c>
      <c r="V635" s="150">
        <f>IF(INDEX(TransTypes[],Transactions[[#This Row],[TTR]],TT_COL_GLFlag)=1,Transactions[[#This Row],[CalCashImpact]]+Transactions[[#This Row],[CostImpact]],0)</f>
        <v>0</v>
      </c>
      <c r="W635" s="151">
        <f>Transactions[[#This Row],[Amount]]*INDEX(TransTypes[],Transactions[[#This Row],[TTR]],TT_COL_AmntSign)</f>
        <v>22.47</v>
      </c>
      <c r="X635" s="151">
        <f>IF(INDEX(TransTypes[],Transactions[[#This Row],[TTR]],TT_COL_LONGORSHORT)="S",
      IF( OR(INDEX(TransTypes[],Transactions[[#This Row],[TTR]],TT_COL_GLFlag)=1, INDEX(TransTypes[], Transactions[[#This Row],[TTR]], TT_COL_ShareTransferFlag)=1),
            Transactions[[#This Row],[CostImpact]]*-1,
            Transactions[[#This Row],[CalCashImpact]]
      ),
     0
)</f>
        <v>0</v>
      </c>
      <c r="Y635" s="152" t="str">
        <f>VLOOKUP(Transactions[[#This Row],[Symbol]],Symbols[], COLUMN(Symbols[Currency])-COLUMN(Symbols[])+1,FALSE)</f>
        <v>CNY</v>
      </c>
    </row>
    <row r="636" spans="1:25">
      <c r="A636" s="138" t="s">
        <v>600</v>
      </c>
      <c r="B636" s="139">
        <v>42569</v>
      </c>
      <c r="C636" s="138" t="s">
        <v>113</v>
      </c>
      <c r="D636" s="138" t="s">
        <v>531</v>
      </c>
      <c r="E636" s="138" t="s">
        <v>623</v>
      </c>
      <c r="F636" s="141">
        <v>22.47</v>
      </c>
      <c r="G636" s="142">
        <v>1</v>
      </c>
      <c r="H636" s="141"/>
      <c r="I636" s="141"/>
      <c r="J636" s="143">
        <v>22.47</v>
      </c>
      <c r="K636" s="6"/>
      <c r="L636" s="20">
        <f>IF(ISNA(MATCH(Transactions[[#This Row],[TransType]],TransTypes[TransType],0)),1,MATCH(Transactions[[#This Row],[TransType]],TransTypes[TransType],0))</f>
        <v>2</v>
      </c>
      <c r="M636" s="144">
        <f>IF( AND( INDEX(TransTypes[],Transactions[[#This Row],[TTR]],TT_COL_GLFlag)=1, INDEX(TransTypes[],Transactions[[#This Row],[TTR]],TT_COL_LONGORSHORT)="S" ),
      Transactions[[#This Row],[PL]],
      IF(INDEX(TransTypes[],Transactions[[#This Row],[TTR]],TT_COL_LONGORSHORT)="S",0,Transactions[[#This Row],[CalCashImpact]])
)</f>
        <v>-22.47</v>
      </c>
      <c r="N636" s="145">
        <f>IF(VLOOKUP(Transactions[[#This Row],[Symbol]],Symbols[],COLUMN(Symbols[Currency])-COLUMN(Symbols[])+1,FALSE)=
       VLOOKUP(Transactions[[#This Row],[Account]],Accounts[],COLUMN(Accounts[Currency])-COLUMN(Accounts[])+1,FALSE),
     Transactions[[#This Row],[OrigCashImpact]],
     0
)</f>
        <v>-22.47</v>
      </c>
      <c r="O63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-1.0000000236686901E-2</v>
      </c>
      <c r="P63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22.47</v>
      </c>
      <c r="Q63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113445.18999999999</v>
      </c>
      <c r="R636" s="41">
        <f>ROW()</f>
        <v>636</v>
      </c>
      <c r="S6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22.47</v>
      </c>
      <c r="T6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112525.11999999998</v>
      </c>
      <c r="U63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113445.18999999999</v>
      </c>
      <c r="V636" s="150">
        <f>IF(INDEX(TransTypes[],Transactions[[#This Row],[TTR]],TT_COL_GLFlag)=1,Transactions[[#This Row],[CalCashImpact]]+Transactions[[#This Row],[CostImpact]],0)</f>
        <v>0</v>
      </c>
      <c r="W636" s="151">
        <f>Transactions[[#This Row],[Amount]]*INDEX(TransTypes[],Transactions[[#This Row],[TTR]],TT_COL_AmntSign)</f>
        <v>-22.47</v>
      </c>
      <c r="X636" s="151">
        <f>IF(INDEX(TransTypes[],Transactions[[#This Row],[TTR]],TT_COL_LONGORSHORT)="S",
      IF( OR(INDEX(TransTypes[],Transactions[[#This Row],[TTR]],TT_COL_GLFlag)=1, INDEX(TransTypes[], Transactions[[#This Row],[TTR]], TT_COL_ShareTransferFlag)=1),
            Transactions[[#This Row],[CostImpact]]*-1,
            Transactions[[#This Row],[CalCashImpact]]
      ),
     0
)</f>
        <v>0</v>
      </c>
      <c r="Y636" s="152" t="str">
        <f>VLOOKUP(Transactions[[#This Row],[Symbol]],Symbols[], COLUMN(Symbols[Currency])-COLUMN(Symbols[])+1,FALSE)</f>
        <v>CNY</v>
      </c>
    </row>
    <row r="637" spans="1:25">
      <c r="A637" s="138" t="s">
        <v>600</v>
      </c>
      <c r="B637" s="139">
        <v>42569</v>
      </c>
      <c r="C637" s="138" t="s">
        <v>118</v>
      </c>
      <c r="D637" s="138"/>
      <c r="E637" s="140" t="s">
        <v>623</v>
      </c>
      <c r="F637" s="141"/>
      <c r="G637" s="142"/>
      <c r="H637" s="141"/>
      <c r="I637" s="141"/>
      <c r="J637" s="143">
        <v>0</v>
      </c>
      <c r="K637" s="6"/>
      <c r="L637" s="20">
        <f>IF(ISNA(MATCH(Transactions[[#This Row],[TransType]],TransTypes[TransType],0)),1,MATCH(Transactions[[#This Row],[TransType]],TransTypes[TransType],0))</f>
        <v>4</v>
      </c>
      <c r="M637" s="144">
        <f>IF( AND( INDEX(TransTypes[],Transactions[[#This Row],[TTR]],TT_COL_GLFlag)=1, INDEX(TransTypes[],Transactions[[#This Row],[TTR]],TT_COL_LONGORSHORT)="S" ),
      Transactions[[#This Row],[PL]],
      IF(INDEX(TransTypes[],Transactions[[#This Row],[TTR]],TT_COL_LONGORSHORT)="S",0,Transactions[[#This Row],[CalCashImpact]])
)</f>
        <v>0</v>
      </c>
      <c r="N637" s="145">
        <f>IF(VLOOKUP(Transactions[[#This Row],[Symbol]],Symbols[],COLUMN(Symbols[Currency])-COLUMN(Symbols[])+1,FALSE)=
       VLOOKUP(Transactions[[#This Row],[Account]],Accounts[],COLUMN(Accounts[Currency])-COLUMN(Accounts[])+1,FALSE),
     Transactions[[#This Row],[OrigCashImpact]],
     0
)</f>
        <v>0</v>
      </c>
      <c r="O63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-1.0000000236686901E-2</v>
      </c>
      <c r="P63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3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113445.18999999999</v>
      </c>
      <c r="R637" s="41">
        <f>ROW()</f>
        <v>637</v>
      </c>
      <c r="S6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112525.11999999998</v>
      </c>
      <c r="U63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113445.18999999999</v>
      </c>
      <c r="V637" s="150">
        <f>IF(INDEX(TransTypes[],Transactions[[#This Row],[TTR]],TT_COL_GLFlag)=1,Transactions[[#This Row],[CalCashImpact]]+Transactions[[#This Row],[CostImpact]],0)</f>
        <v>0</v>
      </c>
      <c r="W637" s="151">
        <f>Transactions[[#This Row],[Amount]]*INDEX(TransTypes[],Transactions[[#This Row],[TTR]],TT_COL_AmntSign)</f>
        <v>0</v>
      </c>
      <c r="X637" s="151">
        <f>IF(INDEX(TransTypes[],Transactions[[#This Row],[TTR]],TT_COL_LONGORSHORT)="S",
      IF( OR(INDEX(TransTypes[],Transactions[[#This Row],[TTR]],TT_COL_GLFlag)=1, INDEX(TransTypes[], Transactions[[#This Row],[TTR]], TT_COL_ShareTransferFlag)=1),
            Transactions[[#This Row],[CostImpact]]*-1,
            Transactions[[#This Row],[CalCashImpact]]
      ),
     0
)</f>
        <v>0</v>
      </c>
      <c r="Y637" s="152" t="str">
        <f>VLOOKUP(Transactions[[#This Row],[Symbol]],Symbols[], COLUMN(Symbols[Currency])-COLUMN(Symbols[])+1,FALSE)</f>
        <v>CNY</v>
      </c>
    </row>
    <row r="638" spans="1:25">
      <c r="A638" s="138" t="s">
        <v>600</v>
      </c>
      <c r="B638" s="139">
        <v>42569</v>
      </c>
      <c r="C638" s="138" t="s">
        <v>113</v>
      </c>
      <c r="D638" s="138" t="s">
        <v>531</v>
      </c>
      <c r="E638" s="140" t="s">
        <v>623</v>
      </c>
      <c r="F638" s="141">
        <v>224.09</v>
      </c>
      <c r="G638" s="142">
        <v>0</v>
      </c>
      <c r="H638" s="141"/>
      <c r="I638" s="141"/>
      <c r="J638" s="143">
        <v>0</v>
      </c>
      <c r="K638" s="6"/>
      <c r="L638" s="20">
        <f>IF(ISNA(MATCH(Transactions[[#This Row],[TransType]],TransTypes[TransType],0)),1,MATCH(Transactions[[#This Row],[TransType]],TransTypes[TransType],0))</f>
        <v>2</v>
      </c>
      <c r="M638" s="144">
        <f>IF( AND( INDEX(TransTypes[],Transactions[[#This Row],[TTR]],TT_COL_GLFlag)=1, INDEX(TransTypes[],Transactions[[#This Row],[TTR]],TT_COL_LONGORSHORT)="S" ),
      Transactions[[#This Row],[PL]],
      IF(INDEX(TransTypes[],Transactions[[#This Row],[TTR]],TT_COL_LONGORSHORT)="S",0,Transactions[[#This Row],[CalCashImpact]])
)</f>
        <v>0</v>
      </c>
      <c r="N638" s="145">
        <f>IF(VLOOKUP(Transactions[[#This Row],[Symbol]],Symbols[],COLUMN(Symbols[Currency])-COLUMN(Symbols[])+1,FALSE)=
       VLOOKUP(Transactions[[#This Row],[Account]],Accounts[],COLUMN(Accounts[Currency])-COLUMN(Accounts[])+1,FALSE),
     Transactions[[#This Row],[OrigCashImpact]],
     0
)</f>
        <v>0</v>
      </c>
      <c r="O63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-1.0000000236686901E-2</v>
      </c>
      <c r="P63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224.09</v>
      </c>
      <c r="Q63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113669.27999999998</v>
      </c>
      <c r="R638" s="41">
        <f>ROW()</f>
        <v>638</v>
      </c>
      <c r="S6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112525.11999999998</v>
      </c>
      <c r="U63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113669.27999999998</v>
      </c>
      <c r="V638" s="150">
        <f>IF(INDEX(TransTypes[],Transactions[[#This Row],[TTR]],TT_COL_GLFlag)=1,Transactions[[#This Row],[CalCashImpact]]+Transactions[[#This Row],[CostImpact]],0)</f>
        <v>0</v>
      </c>
      <c r="W638" s="151">
        <f>Transactions[[#This Row],[Amount]]*INDEX(TransTypes[],Transactions[[#This Row],[TTR]],TT_COL_AmntSign)</f>
        <v>0</v>
      </c>
      <c r="X638" s="151">
        <f>IF(INDEX(TransTypes[],Transactions[[#This Row],[TTR]],TT_COL_LONGORSHORT)="S",
      IF( OR(INDEX(TransTypes[],Transactions[[#This Row],[TTR]],TT_COL_GLFlag)=1, INDEX(TransTypes[], Transactions[[#This Row],[TTR]], TT_COL_ShareTransferFlag)=1),
            Transactions[[#This Row],[CostImpact]]*-1,
            Transactions[[#This Row],[CalCashImpact]]
      ),
     0
)</f>
        <v>0</v>
      </c>
      <c r="Y638" s="152" t="str">
        <f>VLOOKUP(Transactions[[#This Row],[Symbol]],Symbols[], COLUMN(Symbols[Currency])-COLUMN(Symbols[])+1,FALSE)</f>
        <v>CNY</v>
      </c>
    </row>
    <row r="639" spans="1:25">
      <c r="A639" s="138" t="s">
        <v>600</v>
      </c>
      <c r="B639" s="139">
        <v>42570</v>
      </c>
      <c r="C639" s="138" t="s">
        <v>118</v>
      </c>
      <c r="D639" s="138"/>
      <c r="E639" s="140" t="s">
        <v>626</v>
      </c>
      <c r="F639" s="141"/>
      <c r="G639" s="142"/>
      <c r="H639" s="141"/>
      <c r="I639" s="141"/>
      <c r="J639" s="143">
        <v>9402.42</v>
      </c>
      <c r="K639" s="6"/>
      <c r="L639" s="20">
        <f>IF(ISNA(MATCH(Transactions[[#This Row],[TransType]],TransTypes[TransType],0)),1,MATCH(Transactions[[#This Row],[TransType]],TransTypes[TransType],0))</f>
        <v>4</v>
      </c>
      <c r="M639" s="144">
        <f>IF( AND( INDEX(TransTypes[],Transactions[[#This Row],[TTR]],TT_COL_GLFlag)=1, INDEX(TransTypes[],Transactions[[#This Row],[TTR]],TT_COL_LONGORSHORT)="S" ),
      Transactions[[#This Row],[PL]],
      IF(INDEX(TransTypes[],Transactions[[#This Row],[TTR]],TT_COL_LONGORSHORT)="S",0,Transactions[[#This Row],[CalCashImpact]])
)</f>
        <v>9402.42</v>
      </c>
      <c r="N639" s="145">
        <f>IF(VLOOKUP(Transactions[[#This Row],[Symbol]],Symbols[],COLUMN(Symbols[Currency])-COLUMN(Symbols[])+1,FALSE)=
       VLOOKUP(Transactions[[#This Row],[Account]],Accounts[],COLUMN(Accounts[Currency])-COLUMN(Accounts[])+1,FALSE),
     Transactions[[#This Row],[OrigCashImpact]],
     0
)</f>
        <v>9402.42</v>
      </c>
      <c r="O63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9402.4099999997634</v>
      </c>
      <c r="P63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3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750313.25999999989</v>
      </c>
      <c r="R639" s="41">
        <f>ROW()</f>
        <v>639</v>
      </c>
      <c r="S6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899128.92586174468</v>
      </c>
      <c r="U63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750313.25999999989</v>
      </c>
      <c r="V639" s="150">
        <f>IF(INDEX(TransTypes[],Transactions[[#This Row],[TTR]],TT_COL_GLFlag)=1,Transactions[[#This Row],[CalCashImpact]]+Transactions[[#This Row],[CostImpact]],0)</f>
        <v>0</v>
      </c>
      <c r="W639" s="151">
        <f>Transactions[[#This Row],[Amount]]*INDEX(TransTypes[],Transactions[[#This Row],[TTR]],TT_COL_AmntSign)</f>
        <v>9402.42</v>
      </c>
      <c r="X639" s="151">
        <f>IF(INDEX(TransTypes[],Transactions[[#This Row],[TTR]],TT_COL_LONGORSHORT)="S",
      IF( OR(INDEX(TransTypes[],Transactions[[#This Row],[TTR]],TT_COL_GLFlag)=1, INDEX(TransTypes[], Transactions[[#This Row],[TTR]], TT_COL_ShareTransferFlag)=1),
            Transactions[[#This Row],[CostImpact]]*-1,
            Transactions[[#This Row],[CalCashImpact]]
      ),
     0
)</f>
        <v>0</v>
      </c>
      <c r="Y639" s="152" t="str">
        <f>VLOOKUP(Transactions[[#This Row],[Symbol]],Symbols[], COLUMN(Symbols[Currency])-COLUMN(Symbols[])+1,FALSE)</f>
        <v>CNY</v>
      </c>
    </row>
    <row r="640" spans="1:25">
      <c r="A640" s="138" t="s">
        <v>600</v>
      </c>
      <c r="B640" s="139">
        <v>42570</v>
      </c>
      <c r="C640" s="138" t="s">
        <v>113</v>
      </c>
      <c r="D640" s="138" t="s">
        <v>531</v>
      </c>
      <c r="E640" s="140" t="s">
        <v>626</v>
      </c>
      <c r="F640" s="141">
        <v>9402.42</v>
      </c>
      <c r="G640" s="142">
        <v>1</v>
      </c>
      <c r="H640" s="141"/>
      <c r="I640" s="141"/>
      <c r="J640" s="143">
        <v>9402.42</v>
      </c>
      <c r="K640" s="6"/>
      <c r="L640" s="20">
        <f>IF(ISNA(MATCH(Transactions[[#This Row],[TransType]],TransTypes[TransType],0)),1,MATCH(Transactions[[#This Row],[TransType]],TransTypes[TransType],0))</f>
        <v>2</v>
      </c>
      <c r="M640" s="144">
        <f>IF( AND( INDEX(TransTypes[],Transactions[[#This Row],[TTR]],TT_COL_GLFlag)=1, INDEX(TransTypes[],Transactions[[#This Row],[TTR]],TT_COL_LONGORSHORT)="S" ),
      Transactions[[#This Row],[PL]],
      IF(INDEX(TransTypes[],Transactions[[#This Row],[TTR]],TT_COL_LONGORSHORT)="S",0,Transactions[[#This Row],[CalCashImpact]])
)</f>
        <v>-9402.42</v>
      </c>
      <c r="N640" s="145">
        <f>IF(VLOOKUP(Transactions[[#This Row],[Symbol]],Symbols[],COLUMN(Symbols[Currency])-COLUMN(Symbols[])+1,FALSE)=
       VLOOKUP(Transactions[[#This Row],[Account]],Accounts[],COLUMN(Accounts[Currency])-COLUMN(Accounts[])+1,FALSE),
     Transactions[[#This Row],[OrigCashImpact]],
     0
)</f>
        <v>-9402.42</v>
      </c>
      <c r="O64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-1.0000000236686901E-2</v>
      </c>
      <c r="P64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9402.42</v>
      </c>
      <c r="Q64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759715.67999999993</v>
      </c>
      <c r="R640" s="41">
        <f>ROW()</f>
        <v>640</v>
      </c>
      <c r="S6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9402.42</v>
      </c>
      <c r="T6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908531.34586174472</v>
      </c>
      <c r="U64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759715.67999999993</v>
      </c>
      <c r="V640" s="150">
        <f>IF(INDEX(TransTypes[],Transactions[[#This Row],[TTR]],TT_COL_GLFlag)=1,Transactions[[#This Row],[CalCashImpact]]+Transactions[[#This Row],[CostImpact]],0)</f>
        <v>0</v>
      </c>
      <c r="W640" s="151">
        <f>Transactions[[#This Row],[Amount]]*INDEX(TransTypes[],Transactions[[#This Row],[TTR]],TT_COL_AmntSign)</f>
        <v>-9402.42</v>
      </c>
      <c r="X640" s="151">
        <f>IF(INDEX(TransTypes[],Transactions[[#This Row],[TTR]],TT_COL_LONGORSHORT)="S",
      IF( OR(INDEX(TransTypes[],Transactions[[#This Row],[TTR]],TT_COL_GLFlag)=1, INDEX(TransTypes[], Transactions[[#This Row],[TTR]], TT_COL_ShareTransferFlag)=1),
            Transactions[[#This Row],[CostImpact]]*-1,
            Transactions[[#This Row],[CalCashImpact]]
      ),
     0
)</f>
        <v>0</v>
      </c>
      <c r="Y640" s="152" t="str">
        <f>VLOOKUP(Transactions[[#This Row],[Symbol]],Symbols[], COLUMN(Symbols[Currency])-COLUMN(Symbols[])+1,FALSE)</f>
        <v>CNY</v>
      </c>
    </row>
    <row r="641" spans="1:25">
      <c r="A641" s="138" t="s">
        <v>600</v>
      </c>
      <c r="B641" s="139">
        <v>42592</v>
      </c>
      <c r="C641" s="138" t="s">
        <v>113</v>
      </c>
      <c r="D641" s="138"/>
      <c r="E641" s="140" t="s">
        <v>620</v>
      </c>
      <c r="F641" s="141">
        <v>149304.97</v>
      </c>
      <c r="G641" s="142">
        <v>2.1779999687887099</v>
      </c>
      <c r="H641" s="141">
        <v>487.78</v>
      </c>
      <c r="I641" s="141"/>
      <c r="J641" s="143">
        <v>325674</v>
      </c>
      <c r="K641" s="6"/>
      <c r="L641" s="20">
        <f>IF(ISNA(MATCH(Transactions[[#This Row],[TransType]],TransTypes[TransType],0)),1,MATCH(Transactions[[#This Row],[TransType]],TransTypes[TransType],0))</f>
        <v>2</v>
      </c>
      <c r="M641" s="144">
        <f>IF( AND( INDEX(TransTypes[],Transactions[[#This Row],[TTR]],TT_COL_GLFlag)=1, INDEX(TransTypes[],Transactions[[#This Row],[TTR]],TT_COL_LONGORSHORT)="S" ),
      Transactions[[#This Row],[PL]],
      IF(INDEX(TransTypes[],Transactions[[#This Row],[TTR]],TT_COL_LONGORSHORT)="S",0,Transactions[[#This Row],[CalCashImpact]])
)</f>
        <v>-325674</v>
      </c>
      <c r="N641" s="145">
        <f>IF(VLOOKUP(Transactions[[#This Row],[Symbol]],Symbols[],COLUMN(Symbols[Currency])-COLUMN(Symbols[])+1,FALSE)=
       VLOOKUP(Transactions[[#This Row],[Account]],Accounts[],COLUMN(Accounts[Currency])-COLUMN(Accounts[])+1,FALSE),
     Transactions[[#This Row],[OrigCashImpact]],
     0
)</f>
        <v>-325674</v>
      </c>
      <c r="O64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-325674.01000000024</v>
      </c>
      <c r="P64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149304.97</v>
      </c>
      <c r="Q64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149304.97</v>
      </c>
      <c r="R641" s="41">
        <f>ROW()</f>
        <v>641</v>
      </c>
      <c r="S6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325674</v>
      </c>
      <c r="T6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325674</v>
      </c>
      <c r="U64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149304.97</v>
      </c>
      <c r="V641" s="150">
        <f>IF(INDEX(TransTypes[],Transactions[[#This Row],[TTR]],TT_COL_GLFlag)=1,Transactions[[#This Row],[CalCashImpact]]+Transactions[[#This Row],[CostImpact]],0)</f>
        <v>0</v>
      </c>
      <c r="W641" s="151">
        <f>Transactions[[#This Row],[Amount]]*INDEX(TransTypes[],Transactions[[#This Row],[TTR]],TT_COL_AmntSign)</f>
        <v>-325674</v>
      </c>
      <c r="X641" s="151">
        <f>IF(INDEX(TransTypes[],Transactions[[#This Row],[TTR]],TT_COL_LONGORSHORT)="S",
      IF( OR(INDEX(TransTypes[],Transactions[[#This Row],[TTR]],TT_COL_GLFlag)=1, INDEX(TransTypes[], Transactions[[#This Row],[TTR]], TT_COL_ShareTransferFlag)=1),
            Transactions[[#This Row],[CostImpact]]*-1,
            Transactions[[#This Row],[CalCashImpact]]
      ),
     0
)</f>
        <v>0</v>
      </c>
      <c r="Y641" s="152" t="str">
        <f>VLOOKUP(Transactions[[#This Row],[Symbol]],Symbols[], COLUMN(Symbols[Currency])-COLUMN(Symbols[])+1,FALSE)</f>
        <v>CNY</v>
      </c>
    </row>
    <row r="642" spans="1:25">
      <c r="A642" s="138" t="s">
        <v>600</v>
      </c>
      <c r="B642" s="139">
        <v>42592</v>
      </c>
      <c r="C642" s="138" t="s">
        <v>115</v>
      </c>
      <c r="D642" s="138"/>
      <c r="E642" s="140" t="s">
        <v>626</v>
      </c>
      <c r="F642" s="141">
        <v>300000</v>
      </c>
      <c r="G642" s="142">
        <v>1.206</v>
      </c>
      <c r="H642" s="141">
        <v>0</v>
      </c>
      <c r="I642" s="141"/>
      <c r="J642" s="143">
        <v>361800</v>
      </c>
      <c r="K642" s="6"/>
      <c r="L642" s="20">
        <f>IF(ISNA(MATCH(Transactions[[#This Row],[TransType]],TransTypes[TransType],0)),1,MATCH(Transactions[[#This Row],[TransType]],TransTypes[TransType],0))</f>
        <v>3</v>
      </c>
      <c r="M642" s="144">
        <f>IF( AND( INDEX(TransTypes[],Transactions[[#This Row],[TTR]],TT_COL_GLFlag)=1, INDEX(TransTypes[],Transactions[[#This Row],[TTR]],TT_COL_LONGORSHORT)="S" ),
      Transactions[[#This Row],[PL]],
      IF(INDEX(TransTypes[],Transactions[[#This Row],[TTR]],TT_COL_LONGORSHORT)="S",0,Transactions[[#This Row],[CalCashImpact]])
)</f>
        <v>361800</v>
      </c>
      <c r="N642" s="145">
        <f>IF(VLOOKUP(Transactions[[#This Row],[Symbol]],Symbols[],COLUMN(Symbols[Currency])-COLUMN(Symbols[])+1,FALSE)=
       VLOOKUP(Transactions[[#This Row],[Account]],Accounts[],COLUMN(Accounts[Currency])-COLUMN(Accounts[])+1,FALSE),
     Transactions[[#This Row],[OrigCashImpact]],
     0
)</f>
        <v>361800</v>
      </c>
      <c r="O64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36125.989999999765</v>
      </c>
      <c r="P64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-300000</v>
      </c>
      <c r="Q64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459715.67999999993</v>
      </c>
      <c r="R642" s="41">
        <f>ROW()</f>
        <v>642</v>
      </c>
      <c r="S6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-358765.01029769907</v>
      </c>
      <c r="T6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549766.3355640457</v>
      </c>
      <c r="U64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759715.67999999993</v>
      </c>
      <c r="V642" s="150">
        <f>IF(INDEX(TransTypes[],Transactions[[#This Row],[TTR]],TT_COL_GLFlag)=1,Transactions[[#This Row],[CalCashImpact]]+Transactions[[#This Row],[CostImpact]],0)</f>
        <v>3034.9897023009253</v>
      </c>
      <c r="W642" s="151">
        <f>Transactions[[#This Row],[Amount]]*INDEX(TransTypes[],Transactions[[#This Row],[TTR]],TT_COL_AmntSign)</f>
        <v>361800</v>
      </c>
      <c r="X642" s="151">
        <f>IF(INDEX(TransTypes[],Transactions[[#This Row],[TTR]],TT_COL_LONGORSHORT)="S",
      IF( OR(INDEX(TransTypes[],Transactions[[#This Row],[TTR]],TT_COL_GLFlag)=1, INDEX(TransTypes[], Transactions[[#This Row],[TTR]], TT_COL_ShareTransferFlag)=1),
            Transactions[[#This Row],[CostImpact]]*-1,
            Transactions[[#This Row],[CalCashImpact]]
      ),
     0
)</f>
        <v>0</v>
      </c>
      <c r="Y642" s="152" t="str">
        <f>VLOOKUP(Transactions[[#This Row],[Symbol]],Symbols[], COLUMN(Symbols[Currency])-COLUMN(Symbols[])+1,FALSE)</f>
        <v>CNY</v>
      </c>
    </row>
    <row r="643" spans="1:25">
      <c r="A643" s="138" t="s">
        <v>600</v>
      </c>
      <c r="B643" s="139">
        <v>42594</v>
      </c>
      <c r="C643" s="138" t="s">
        <v>112</v>
      </c>
      <c r="D643" s="138"/>
      <c r="E643" s="140" t="s">
        <v>211</v>
      </c>
      <c r="F643" s="141"/>
      <c r="G643" s="142"/>
      <c r="H643" s="141"/>
      <c r="I643" s="141"/>
      <c r="J643" s="143">
        <v>2.44</v>
      </c>
      <c r="K643" s="6"/>
      <c r="L643" s="20">
        <f>IF(ISNA(MATCH(Transactions[[#This Row],[TransType]],TransTypes[TransType],0)),1,MATCH(Transactions[[#This Row],[TransType]],TransTypes[TransType],0))</f>
        <v>1</v>
      </c>
      <c r="M643" s="144">
        <f>IF( AND( INDEX(TransTypes[],Transactions[[#This Row],[TTR]],TT_COL_GLFlag)=1, INDEX(TransTypes[],Transactions[[#This Row],[TTR]],TT_COL_LONGORSHORT)="S" ),
      Transactions[[#This Row],[PL]],
      IF(INDEX(TransTypes[],Transactions[[#This Row],[TTR]],TT_COL_LONGORSHORT)="S",0,Transactions[[#This Row],[CalCashImpact]])
)</f>
        <v>2.44</v>
      </c>
      <c r="N643" s="145">
        <f>IF(VLOOKUP(Transactions[[#This Row],[Symbol]],Symbols[],COLUMN(Symbols[Currency])-COLUMN(Symbols[])+1,FALSE)=
       VLOOKUP(Transactions[[#This Row],[Account]],Accounts[],COLUMN(Accounts[Currency])-COLUMN(Accounts[])+1,FALSE),
     Transactions[[#This Row],[OrigCashImpact]],
     0
)</f>
        <v>2.44</v>
      </c>
      <c r="O64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36128.42999999976</v>
      </c>
      <c r="P64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4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43" s="41">
        <f>ROW()</f>
        <v>643</v>
      </c>
      <c r="S6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4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643" s="150">
        <f>IF(INDEX(TransTypes[],Transactions[[#This Row],[TTR]],TT_COL_GLFlag)=1,Transactions[[#This Row],[CalCashImpact]]+Transactions[[#This Row],[CostImpact]],0)</f>
        <v>0</v>
      </c>
      <c r="W643" s="151">
        <f>Transactions[[#This Row],[Amount]]*INDEX(TransTypes[],Transactions[[#This Row],[TTR]],TT_COL_AmntSign)</f>
        <v>2.44</v>
      </c>
      <c r="X643" s="151">
        <f>IF(INDEX(TransTypes[],Transactions[[#This Row],[TTR]],TT_COL_LONGORSHORT)="S",
      IF( OR(INDEX(TransTypes[],Transactions[[#This Row],[TTR]],TT_COL_GLFlag)=1, INDEX(TransTypes[], Transactions[[#This Row],[TTR]], TT_COL_ShareTransferFlag)=1),
            Transactions[[#This Row],[CostImpact]]*-1,
            Transactions[[#This Row],[CalCashImpact]]
      ),
     0
)</f>
        <v>0</v>
      </c>
      <c r="Y643" s="152" t="str">
        <f>VLOOKUP(Transactions[[#This Row],[Symbol]],Symbols[], COLUMN(Symbols[Currency])-COLUMN(Symbols[])+1,FALSE)</f>
        <v>CNY</v>
      </c>
    </row>
    <row r="644" spans="1:25">
      <c r="A644" s="138" t="s">
        <v>600</v>
      </c>
      <c r="B644" s="139">
        <v>42597</v>
      </c>
      <c r="C644" s="138" t="s">
        <v>115</v>
      </c>
      <c r="D644" s="138"/>
      <c r="E644" s="138" t="s">
        <v>623</v>
      </c>
      <c r="F644" s="141">
        <v>10633.4</v>
      </c>
      <c r="G644" s="142">
        <v>1</v>
      </c>
      <c r="H644" s="141">
        <v>0</v>
      </c>
      <c r="I644" s="141"/>
      <c r="J644" s="143">
        <v>10633.4</v>
      </c>
      <c r="K644" s="6"/>
      <c r="L644" s="20">
        <f>IF(ISNA(MATCH(Transactions[[#This Row],[TransType]],TransTypes[TransType],0)),1,MATCH(Transactions[[#This Row],[TransType]],TransTypes[TransType],0))</f>
        <v>3</v>
      </c>
      <c r="M644" s="144">
        <f>IF( AND( INDEX(TransTypes[],Transactions[[#This Row],[TTR]],TT_COL_GLFlag)=1, INDEX(TransTypes[],Transactions[[#This Row],[TTR]],TT_COL_LONGORSHORT)="S" ),
      Transactions[[#This Row],[PL]],
      IF(INDEX(TransTypes[],Transactions[[#This Row],[TTR]],TT_COL_LONGORSHORT)="S",0,Transactions[[#This Row],[CalCashImpact]])
)</f>
        <v>10633.4</v>
      </c>
      <c r="N644" s="145">
        <f>IF(VLOOKUP(Transactions[[#This Row],[Symbol]],Symbols[],COLUMN(Symbols[Currency])-COLUMN(Symbols[])+1,FALSE)=
       VLOOKUP(Transactions[[#This Row],[Account]],Accounts[],COLUMN(Accounts[Currency])-COLUMN(Accounts[])+1,FALSE),
     Transactions[[#This Row],[OrigCashImpact]],
     0
)</f>
        <v>10633.4</v>
      </c>
      <c r="O64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46761.829999999762</v>
      </c>
      <c r="P64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-10633.4</v>
      </c>
      <c r="Q64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103035.87999999999</v>
      </c>
      <c r="R644" s="41">
        <f>ROW()</f>
        <v>644</v>
      </c>
      <c r="S6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-10526.367467164389</v>
      </c>
      <c r="T6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101998.75253283558</v>
      </c>
      <c r="U64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113669.27999999998</v>
      </c>
      <c r="V644" s="150">
        <f>IF(INDEX(TransTypes[],Transactions[[#This Row],[TTR]],TT_COL_GLFlag)=1,Transactions[[#This Row],[CalCashImpact]]+Transactions[[#This Row],[CostImpact]],0)</f>
        <v>107.03253283561025</v>
      </c>
      <c r="W644" s="151">
        <f>Transactions[[#This Row],[Amount]]*INDEX(TransTypes[],Transactions[[#This Row],[TTR]],TT_COL_AmntSign)</f>
        <v>10633.4</v>
      </c>
      <c r="X644" s="151">
        <f>IF(INDEX(TransTypes[],Transactions[[#This Row],[TTR]],TT_COL_LONGORSHORT)="S",
      IF( OR(INDEX(TransTypes[],Transactions[[#This Row],[TTR]],TT_COL_GLFlag)=1, INDEX(TransTypes[], Transactions[[#This Row],[TTR]], TT_COL_ShareTransferFlag)=1),
            Transactions[[#This Row],[CostImpact]]*-1,
            Transactions[[#This Row],[CalCashImpact]]
      ),
     0
)</f>
        <v>0</v>
      </c>
      <c r="Y644" s="152" t="str">
        <f>VLOOKUP(Transactions[[#This Row],[Symbol]],Symbols[], COLUMN(Symbols[Currency])-COLUMN(Symbols[])+1,FALSE)</f>
        <v>CNY</v>
      </c>
    </row>
    <row r="645" spans="1:25">
      <c r="A645" s="138" t="s">
        <v>600</v>
      </c>
      <c r="B645" s="139">
        <v>42598</v>
      </c>
      <c r="C645" s="138" t="s">
        <v>118</v>
      </c>
      <c r="D645" s="138"/>
      <c r="E645" s="140" t="s">
        <v>623</v>
      </c>
      <c r="F645" s="141"/>
      <c r="G645" s="142"/>
      <c r="H645" s="141"/>
      <c r="I645" s="141"/>
      <c r="J645" s="143">
        <v>0</v>
      </c>
      <c r="K645" s="6"/>
      <c r="L645" s="20">
        <f>IF(ISNA(MATCH(Transactions[[#This Row],[TransType]],TransTypes[TransType],0)),1,MATCH(Transactions[[#This Row],[TransType]],TransTypes[TransType],0))</f>
        <v>4</v>
      </c>
      <c r="M645" s="144">
        <f>IF( AND( INDEX(TransTypes[],Transactions[[#This Row],[TTR]],TT_COL_GLFlag)=1, INDEX(TransTypes[],Transactions[[#This Row],[TTR]],TT_COL_LONGORSHORT)="S" ),
      Transactions[[#This Row],[PL]],
      IF(INDEX(TransTypes[],Transactions[[#This Row],[TTR]],TT_COL_LONGORSHORT)="S",0,Transactions[[#This Row],[CalCashImpact]])
)</f>
        <v>0</v>
      </c>
      <c r="N645" s="145">
        <f>IF(VLOOKUP(Transactions[[#This Row],[Symbol]],Symbols[],COLUMN(Symbols[Currency])-COLUMN(Symbols[])+1,FALSE)=
       VLOOKUP(Transactions[[#This Row],[Account]],Accounts[],COLUMN(Accounts[Currency])-COLUMN(Accounts[])+1,FALSE),
     Transactions[[#This Row],[OrigCashImpact]],
     0
)</f>
        <v>0</v>
      </c>
      <c r="O64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46761.829999999762</v>
      </c>
      <c r="P64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4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103035.87999999999</v>
      </c>
      <c r="R645" s="41">
        <f>ROW()</f>
        <v>645</v>
      </c>
      <c r="S6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101998.75253283558</v>
      </c>
      <c r="U64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103035.87999999999</v>
      </c>
      <c r="V645" s="150">
        <f>IF(INDEX(TransTypes[],Transactions[[#This Row],[TTR]],TT_COL_GLFlag)=1,Transactions[[#This Row],[CalCashImpact]]+Transactions[[#This Row],[CostImpact]],0)</f>
        <v>0</v>
      </c>
      <c r="W645" s="151">
        <f>Transactions[[#This Row],[Amount]]*INDEX(TransTypes[],Transactions[[#This Row],[TTR]],TT_COL_AmntSign)</f>
        <v>0</v>
      </c>
      <c r="X645" s="151">
        <f>IF(INDEX(TransTypes[],Transactions[[#This Row],[TTR]],TT_COL_LONGORSHORT)="S",
      IF( OR(INDEX(TransTypes[],Transactions[[#This Row],[TTR]],TT_COL_GLFlag)=1, INDEX(TransTypes[], Transactions[[#This Row],[TTR]], TT_COL_ShareTransferFlag)=1),
            Transactions[[#This Row],[CostImpact]]*-1,
            Transactions[[#This Row],[CalCashImpact]]
      ),
     0
)</f>
        <v>0</v>
      </c>
      <c r="Y645" s="152" t="str">
        <f>VLOOKUP(Transactions[[#This Row],[Symbol]],Symbols[], COLUMN(Symbols[Currency])-COLUMN(Symbols[])+1,FALSE)</f>
        <v>CNY</v>
      </c>
    </row>
    <row r="646" spans="1:25">
      <c r="A646" s="138" t="s">
        <v>600</v>
      </c>
      <c r="B646" s="139">
        <v>42598</v>
      </c>
      <c r="C646" s="138" t="s">
        <v>113</v>
      </c>
      <c r="D646" s="138" t="s">
        <v>531</v>
      </c>
      <c r="E646" s="140" t="s">
        <v>623</v>
      </c>
      <c r="F646" s="141">
        <v>206.82</v>
      </c>
      <c r="G646" s="142">
        <v>0</v>
      </c>
      <c r="H646" s="141"/>
      <c r="I646" s="141"/>
      <c r="J646" s="143">
        <v>0</v>
      </c>
      <c r="K646" s="6"/>
      <c r="L646" s="20">
        <f>IF(ISNA(MATCH(Transactions[[#This Row],[TransType]],TransTypes[TransType],0)),1,MATCH(Transactions[[#This Row],[TransType]],TransTypes[TransType],0))</f>
        <v>2</v>
      </c>
      <c r="M646" s="144">
        <f>IF( AND( INDEX(TransTypes[],Transactions[[#This Row],[TTR]],TT_COL_GLFlag)=1, INDEX(TransTypes[],Transactions[[#This Row],[TTR]],TT_COL_LONGORSHORT)="S" ),
      Transactions[[#This Row],[PL]],
      IF(INDEX(TransTypes[],Transactions[[#This Row],[TTR]],TT_COL_LONGORSHORT)="S",0,Transactions[[#This Row],[CalCashImpact]])
)</f>
        <v>0</v>
      </c>
      <c r="N646" s="145">
        <f>IF(VLOOKUP(Transactions[[#This Row],[Symbol]],Symbols[],COLUMN(Symbols[Currency])-COLUMN(Symbols[])+1,FALSE)=
       VLOOKUP(Transactions[[#This Row],[Account]],Accounts[],COLUMN(Accounts[Currency])-COLUMN(Accounts[])+1,FALSE),
     Transactions[[#This Row],[OrigCashImpact]],
     0
)</f>
        <v>0</v>
      </c>
      <c r="O64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46761.829999999762</v>
      </c>
      <c r="P64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206.82</v>
      </c>
      <c r="Q64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103242.7</v>
      </c>
      <c r="R646" s="41">
        <f>ROW()</f>
        <v>646</v>
      </c>
      <c r="S6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101998.75253283558</v>
      </c>
      <c r="U64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103242.7</v>
      </c>
      <c r="V646" s="150">
        <f>IF(INDEX(TransTypes[],Transactions[[#This Row],[TTR]],TT_COL_GLFlag)=1,Transactions[[#This Row],[CalCashImpact]]+Transactions[[#This Row],[CostImpact]],0)</f>
        <v>0</v>
      </c>
      <c r="W646" s="151">
        <f>Transactions[[#This Row],[Amount]]*INDEX(TransTypes[],Transactions[[#This Row],[TTR]],TT_COL_AmntSign)</f>
        <v>0</v>
      </c>
      <c r="X646" s="151">
        <f>IF(INDEX(TransTypes[],Transactions[[#This Row],[TTR]],TT_COL_LONGORSHORT)="S",
      IF( OR(INDEX(TransTypes[],Transactions[[#This Row],[TTR]],TT_COL_GLFlag)=1, INDEX(TransTypes[], Transactions[[#This Row],[TTR]], TT_COL_ShareTransferFlag)=1),
            Transactions[[#This Row],[CostImpact]]*-1,
            Transactions[[#This Row],[CalCashImpact]]
      ),
     0
)</f>
        <v>0</v>
      </c>
      <c r="Y646" s="152" t="str">
        <f>VLOOKUP(Transactions[[#This Row],[Symbol]],Symbols[], COLUMN(Symbols[Currency])-COLUMN(Symbols[])+1,FALSE)</f>
        <v>CNY</v>
      </c>
    </row>
    <row r="647" spans="1:25">
      <c r="A647" s="138" t="s">
        <v>600</v>
      </c>
      <c r="B647" s="139">
        <v>42598</v>
      </c>
      <c r="C647" s="138" t="s">
        <v>112</v>
      </c>
      <c r="D647" s="138"/>
      <c r="E647" s="140" t="s">
        <v>211</v>
      </c>
      <c r="F647" s="141"/>
      <c r="G647" s="142"/>
      <c r="H647" s="141"/>
      <c r="I647" s="141"/>
      <c r="J647" s="143">
        <v>7.28</v>
      </c>
      <c r="K647" s="6"/>
      <c r="L647" s="20">
        <f>IF(ISNA(MATCH(Transactions[[#This Row],[TransType]],TransTypes[TransType],0)),1,MATCH(Transactions[[#This Row],[TransType]],TransTypes[TransType],0))</f>
        <v>1</v>
      </c>
      <c r="M647" s="144">
        <f>IF( AND( INDEX(TransTypes[],Transactions[[#This Row],[TTR]],TT_COL_GLFlag)=1, INDEX(TransTypes[],Transactions[[#This Row],[TTR]],TT_COL_LONGORSHORT)="S" ),
      Transactions[[#This Row],[PL]],
      IF(INDEX(TransTypes[],Transactions[[#This Row],[TTR]],TT_COL_LONGORSHORT)="S",0,Transactions[[#This Row],[CalCashImpact]])
)</f>
        <v>7.28</v>
      </c>
      <c r="N647" s="145">
        <f>IF(VLOOKUP(Transactions[[#This Row],[Symbol]],Symbols[],COLUMN(Symbols[Currency])-COLUMN(Symbols[])+1,FALSE)=
       VLOOKUP(Transactions[[#This Row],[Account]],Accounts[],COLUMN(Accounts[Currency])-COLUMN(Accounts[])+1,FALSE),
     Transactions[[#This Row],[OrigCashImpact]],
     0
)</f>
        <v>7.28</v>
      </c>
      <c r="O64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46769.10999999976</v>
      </c>
      <c r="P64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4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47" s="41">
        <f>ROW()</f>
        <v>647</v>
      </c>
      <c r="S6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4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647" s="150">
        <f>IF(INDEX(TransTypes[],Transactions[[#This Row],[TTR]],TT_COL_GLFlag)=1,Transactions[[#This Row],[CalCashImpact]]+Transactions[[#This Row],[CostImpact]],0)</f>
        <v>0</v>
      </c>
      <c r="W647" s="151">
        <f>Transactions[[#This Row],[Amount]]*INDEX(TransTypes[],Transactions[[#This Row],[TTR]],TT_COL_AmntSign)</f>
        <v>7.28</v>
      </c>
      <c r="X647" s="151">
        <f>IF(INDEX(TransTypes[],Transactions[[#This Row],[TTR]],TT_COL_LONGORSHORT)="S",
      IF( OR(INDEX(TransTypes[],Transactions[[#This Row],[TTR]],TT_COL_GLFlag)=1, INDEX(TransTypes[], Transactions[[#This Row],[TTR]], TT_COL_ShareTransferFlag)=1),
            Transactions[[#This Row],[CostImpact]]*-1,
            Transactions[[#This Row],[CalCashImpact]]
      ),
     0
)</f>
        <v>0</v>
      </c>
      <c r="Y647" s="152" t="str">
        <f>VLOOKUP(Transactions[[#This Row],[Symbol]],Symbols[], COLUMN(Symbols[Currency])-COLUMN(Symbols[])+1,FALSE)</f>
        <v>CNY</v>
      </c>
    </row>
    <row r="648" spans="1:25">
      <c r="A648" s="138" t="s">
        <v>600</v>
      </c>
      <c r="B648" s="139">
        <v>42600</v>
      </c>
      <c r="C648" s="138" t="s">
        <v>113</v>
      </c>
      <c r="D648" s="138"/>
      <c r="E648" s="140" t="s">
        <v>623</v>
      </c>
      <c r="F648" s="141">
        <v>46792.06</v>
      </c>
      <c r="G648" s="142">
        <v>1</v>
      </c>
      <c r="H648" s="141">
        <v>0</v>
      </c>
      <c r="I648" s="141"/>
      <c r="J648" s="143">
        <v>46792.06</v>
      </c>
      <c r="K648" s="6"/>
      <c r="L648" s="20">
        <f>IF(ISNA(MATCH(Transactions[[#This Row],[TransType]],TransTypes[TransType],0)),1,MATCH(Transactions[[#This Row],[TransType]],TransTypes[TransType],0))</f>
        <v>2</v>
      </c>
      <c r="M648" s="144">
        <f>IF( AND( INDEX(TransTypes[],Transactions[[#This Row],[TTR]],TT_COL_GLFlag)=1, INDEX(TransTypes[],Transactions[[#This Row],[TTR]],TT_COL_LONGORSHORT)="S" ),
      Transactions[[#This Row],[PL]],
      IF(INDEX(TransTypes[],Transactions[[#This Row],[TTR]],TT_COL_LONGORSHORT)="S",0,Transactions[[#This Row],[CalCashImpact]])
)</f>
        <v>-46792.06</v>
      </c>
      <c r="N648" s="145">
        <f>IF(VLOOKUP(Transactions[[#This Row],[Symbol]],Symbols[],COLUMN(Symbols[Currency])-COLUMN(Symbols[])+1,FALSE)=
       VLOOKUP(Transactions[[#This Row],[Account]],Accounts[],COLUMN(Accounts[Currency])-COLUMN(Accounts[])+1,FALSE),
     Transactions[[#This Row],[OrigCashImpact]],
     0
)</f>
        <v>-46792.06</v>
      </c>
      <c r="O64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-22.950000000237196</v>
      </c>
      <c r="P64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46792.06</v>
      </c>
      <c r="Q64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150034.76</v>
      </c>
      <c r="R648" s="41">
        <f>ROW()</f>
        <v>648</v>
      </c>
      <c r="S6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46792.06</v>
      </c>
      <c r="T6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148790.81253283558</v>
      </c>
      <c r="U64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150034.76</v>
      </c>
      <c r="V648" s="150">
        <f>IF(INDEX(TransTypes[],Transactions[[#This Row],[TTR]],TT_COL_GLFlag)=1,Transactions[[#This Row],[CalCashImpact]]+Transactions[[#This Row],[CostImpact]],0)</f>
        <v>0</v>
      </c>
      <c r="W648" s="151">
        <f>Transactions[[#This Row],[Amount]]*INDEX(TransTypes[],Transactions[[#This Row],[TTR]],TT_COL_AmntSign)</f>
        <v>-46792.06</v>
      </c>
      <c r="X648" s="151">
        <f>IF(INDEX(TransTypes[],Transactions[[#This Row],[TTR]],TT_COL_LONGORSHORT)="S",
      IF( OR(INDEX(TransTypes[],Transactions[[#This Row],[TTR]],TT_COL_GLFlag)=1, INDEX(TransTypes[], Transactions[[#This Row],[TTR]], TT_COL_ShareTransferFlag)=1),
            Transactions[[#This Row],[CostImpact]]*-1,
            Transactions[[#This Row],[CalCashImpact]]
      ),
     0
)</f>
        <v>0</v>
      </c>
      <c r="Y648" s="152" t="str">
        <f>VLOOKUP(Transactions[[#This Row],[Symbol]],Symbols[], COLUMN(Symbols[Currency])-COLUMN(Symbols[])+1,FALSE)</f>
        <v>CNY</v>
      </c>
    </row>
    <row r="649" spans="1:25">
      <c r="A649" s="138" t="s">
        <v>600</v>
      </c>
      <c r="B649" s="139">
        <v>42632</v>
      </c>
      <c r="C649" s="138" t="s">
        <v>118</v>
      </c>
      <c r="D649" s="138"/>
      <c r="E649" s="140" t="s">
        <v>623</v>
      </c>
      <c r="F649" s="141"/>
      <c r="G649" s="142"/>
      <c r="H649" s="141"/>
      <c r="I649" s="141"/>
      <c r="J649" s="143">
        <v>0</v>
      </c>
      <c r="K649" s="6"/>
      <c r="L649" s="20">
        <f>IF(ISNA(MATCH(Transactions[[#This Row],[TransType]],TransTypes[TransType],0)),1,MATCH(Transactions[[#This Row],[TransType]],TransTypes[TransType],0))</f>
        <v>4</v>
      </c>
      <c r="M649" s="144">
        <f>IF( AND( INDEX(TransTypes[],Transactions[[#This Row],[TTR]],TT_COL_GLFlag)=1, INDEX(TransTypes[],Transactions[[#This Row],[TTR]],TT_COL_LONGORSHORT)="S" ),
      Transactions[[#This Row],[PL]],
      IF(INDEX(TransTypes[],Transactions[[#This Row],[TTR]],TT_COL_LONGORSHORT)="S",0,Transactions[[#This Row],[CalCashImpact]])
)</f>
        <v>0</v>
      </c>
      <c r="N649" s="145">
        <f>IF(VLOOKUP(Transactions[[#This Row],[Symbol]],Symbols[],COLUMN(Symbols[Currency])-COLUMN(Symbols[])+1,FALSE)=
       VLOOKUP(Transactions[[#This Row],[Account]],Accounts[],COLUMN(Accounts[Currency])-COLUMN(Accounts[])+1,FALSE),
     Transactions[[#This Row],[OrigCashImpact]],
     0
)</f>
        <v>0</v>
      </c>
      <c r="O64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-22.950000000237196</v>
      </c>
      <c r="P64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4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150034.76</v>
      </c>
      <c r="R649" s="41">
        <f>ROW()</f>
        <v>649</v>
      </c>
      <c r="S6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148790.81253283558</v>
      </c>
      <c r="U64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150034.76</v>
      </c>
      <c r="V649" s="150">
        <f>IF(INDEX(TransTypes[],Transactions[[#This Row],[TTR]],TT_COL_GLFlag)=1,Transactions[[#This Row],[CalCashImpact]]+Transactions[[#This Row],[CostImpact]],0)</f>
        <v>0</v>
      </c>
      <c r="W649" s="151">
        <f>Transactions[[#This Row],[Amount]]*INDEX(TransTypes[],Transactions[[#This Row],[TTR]],TT_COL_AmntSign)</f>
        <v>0</v>
      </c>
      <c r="X649" s="151">
        <f>IF(INDEX(TransTypes[],Transactions[[#This Row],[TTR]],TT_COL_LONGORSHORT)="S",
      IF( OR(INDEX(TransTypes[],Transactions[[#This Row],[TTR]],TT_COL_GLFlag)=1, INDEX(TransTypes[], Transactions[[#This Row],[TTR]], TT_COL_ShareTransferFlag)=1),
            Transactions[[#This Row],[CostImpact]]*-1,
            Transactions[[#This Row],[CalCashImpact]]
      ),
     0
)</f>
        <v>0</v>
      </c>
      <c r="Y649" s="152" t="str">
        <f>VLOOKUP(Transactions[[#This Row],[Symbol]],Symbols[], COLUMN(Symbols[Currency])-COLUMN(Symbols[])+1,FALSE)</f>
        <v>CNY</v>
      </c>
    </row>
    <row r="650" spans="1:25">
      <c r="A650" s="138" t="s">
        <v>600</v>
      </c>
      <c r="B650" s="139">
        <v>42632</v>
      </c>
      <c r="C650" s="138" t="s">
        <v>113</v>
      </c>
      <c r="D650" s="138" t="s">
        <v>531</v>
      </c>
      <c r="E650" s="140" t="s">
        <v>623</v>
      </c>
      <c r="F650" s="141">
        <v>342.72</v>
      </c>
      <c r="G650" s="142">
        <v>0</v>
      </c>
      <c r="H650" s="141"/>
      <c r="I650" s="141"/>
      <c r="J650" s="143">
        <v>0</v>
      </c>
      <c r="K650" s="6"/>
      <c r="L650" s="20">
        <f>IF(ISNA(MATCH(Transactions[[#This Row],[TransType]],TransTypes[TransType],0)),1,MATCH(Transactions[[#This Row],[TransType]],TransTypes[TransType],0))</f>
        <v>2</v>
      </c>
      <c r="M650" s="144">
        <f>IF( AND( INDEX(TransTypes[],Transactions[[#This Row],[TTR]],TT_COL_GLFlag)=1, INDEX(TransTypes[],Transactions[[#This Row],[TTR]],TT_COL_LONGORSHORT)="S" ),
      Transactions[[#This Row],[PL]],
      IF(INDEX(TransTypes[],Transactions[[#This Row],[TTR]],TT_COL_LONGORSHORT)="S",0,Transactions[[#This Row],[CalCashImpact]])
)</f>
        <v>0</v>
      </c>
      <c r="N650" s="145">
        <f>IF(VLOOKUP(Transactions[[#This Row],[Symbol]],Symbols[],COLUMN(Symbols[Currency])-COLUMN(Symbols[])+1,FALSE)=
       VLOOKUP(Transactions[[#This Row],[Account]],Accounts[],COLUMN(Accounts[Currency])-COLUMN(Accounts[])+1,FALSE),
     Transactions[[#This Row],[OrigCashImpact]],
     0
)</f>
        <v>0</v>
      </c>
      <c r="O65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-22.950000000237196</v>
      </c>
      <c r="P65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342.72</v>
      </c>
      <c r="Q65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150377.48000000001</v>
      </c>
      <c r="R650" s="41">
        <f>ROW()</f>
        <v>650</v>
      </c>
      <c r="S6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148790.81253283558</v>
      </c>
      <c r="U65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150377.48000000001</v>
      </c>
      <c r="V650" s="150">
        <f>IF(INDEX(TransTypes[],Transactions[[#This Row],[TTR]],TT_COL_GLFlag)=1,Transactions[[#This Row],[CalCashImpact]]+Transactions[[#This Row],[CostImpact]],0)</f>
        <v>0</v>
      </c>
      <c r="W650" s="151">
        <f>Transactions[[#This Row],[Amount]]*INDEX(TransTypes[],Transactions[[#This Row],[TTR]],TT_COL_AmntSign)</f>
        <v>0</v>
      </c>
      <c r="X650" s="151">
        <f>IF(INDEX(TransTypes[],Transactions[[#This Row],[TTR]],TT_COL_LONGORSHORT)="S",
      IF( OR(INDEX(TransTypes[],Transactions[[#This Row],[TTR]],TT_COL_GLFlag)=1, INDEX(TransTypes[], Transactions[[#This Row],[TTR]], TT_COL_ShareTransferFlag)=1),
            Transactions[[#This Row],[CostImpact]]*-1,
            Transactions[[#This Row],[CalCashImpact]]
      ),
     0
)</f>
        <v>0</v>
      </c>
      <c r="Y650" s="152" t="str">
        <f>VLOOKUP(Transactions[[#This Row],[Symbol]],Symbols[], COLUMN(Symbols[Currency])-COLUMN(Symbols[])+1,FALSE)</f>
        <v>CNY</v>
      </c>
    </row>
    <row r="651" spans="1:25">
      <c r="A651" s="138" t="s">
        <v>600</v>
      </c>
      <c r="B651" s="139">
        <v>42653</v>
      </c>
      <c r="C651" s="138" t="s">
        <v>118</v>
      </c>
      <c r="D651" s="138"/>
      <c r="E651" s="140" t="s">
        <v>626</v>
      </c>
      <c r="F651" s="141"/>
      <c r="G651" s="142"/>
      <c r="H651" s="141"/>
      <c r="I651" s="141"/>
      <c r="J651" s="143">
        <v>3830.97</v>
      </c>
      <c r="K651" s="6"/>
      <c r="L651" s="20">
        <f>IF(ISNA(MATCH(Transactions[[#This Row],[TransType]],TransTypes[TransType],0)),1,MATCH(Transactions[[#This Row],[TransType]],TransTypes[TransType],0))</f>
        <v>4</v>
      </c>
      <c r="M651" s="144">
        <f>IF( AND( INDEX(TransTypes[],Transactions[[#This Row],[TTR]],TT_COL_GLFlag)=1, INDEX(TransTypes[],Transactions[[#This Row],[TTR]],TT_COL_LONGORSHORT)="S" ),
      Transactions[[#This Row],[PL]],
      IF(INDEX(TransTypes[],Transactions[[#This Row],[TTR]],TT_COL_LONGORSHORT)="S",0,Transactions[[#This Row],[CalCashImpact]])
)</f>
        <v>3830.97</v>
      </c>
      <c r="N651" s="145">
        <f>IF(VLOOKUP(Transactions[[#This Row],[Symbol]],Symbols[],COLUMN(Symbols[Currency])-COLUMN(Symbols[])+1,FALSE)=
       VLOOKUP(Transactions[[#This Row],[Account]],Accounts[],COLUMN(Accounts[Currency])-COLUMN(Accounts[])+1,FALSE),
     Transactions[[#This Row],[OrigCashImpact]],
     0
)</f>
        <v>3830.97</v>
      </c>
      <c r="O65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3808.0199999997626</v>
      </c>
      <c r="P65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5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459715.67999999993</v>
      </c>
      <c r="R651" s="41">
        <f>ROW()</f>
        <v>651</v>
      </c>
      <c r="S6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549766.3355640457</v>
      </c>
      <c r="U65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459715.67999999993</v>
      </c>
      <c r="V651" s="150">
        <f>IF(INDEX(TransTypes[],Transactions[[#This Row],[TTR]],TT_COL_GLFlag)=1,Transactions[[#This Row],[CalCashImpact]]+Transactions[[#This Row],[CostImpact]],0)</f>
        <v>0</v>
      </c>
      <c r="W651" s="151">
        <f>Transactions[[#This Row],[Amount]]*INDEX(TransTypes[],Transactions[[#This Row],[TTR]],TT_COL_AmntSign)</f>
        <v>3830.97</v>
      </c>
      <c r="X651" s="151">
        <f>IF(INDEX(TransTypes[],Transactions[[#This Row],[TTR]],TT_COL_LONGORSHORT)="S",
      IF( OR(INDEX(TransTypes[],Transactions[[#This Row],[TTR]],TT_COL_GLFlag)=1, INDEX(TransTypes[], Transactions[[#This Row],[TTR]], TT_COL_ShareTransferFlag)=1),
            Transactions[[#This Row],[CostImpact]]*-1,
            Transactions[[#This Row],[CalCashImpact]]
      ),
     0
)</f>
        <v>0</v>
      </c>
      <c r="Y651" s="152" t="str">
        <f>VLOOKUP(Transactions[[#This Row],[Symbol]],Symbols[], COLUMN(Symbols[Currency])-COLUMN(Symbols[])+1,FALSE)</f>
        <v>CNY</v>
      </c>
    </row>
    <row r="652" spans="1:25">
      <c r="A652" s="138" t="s">
        <v>600</v>
      </c>
      <c r="B652" s="139">
        <v>42653</v>
      </c>
      <c r="C652" s="138" t="s">
        <v>113</v>
      </c>
      <c r="D652" s="138" t="s">
        <v>531</v>
      </c>
      <c r="E652" s="140" t="s">
        <v>626</v>
      </c>
      <c r="F652" s="141">
        <v>3830.97</v>
      </c>
      <c r="G652" s="142">
        <v>1</v>
      </c>
      <c r="H652" s="141"/>
      <c r="I652" s="141"/>
      <c r="J652" s="143">
        <v>3830.97</v>
      </c>
      <c r="K652" s="6"/>
      <c r="L652" s="20">
        <f>IF(ISNA(MATCH(Transactions[[#This Row],[TransType]],TransTypes[TransType],0)),1,MATCH(Transactions[[#This Row],[TransType]],TransTypes[TransType],0))</f>
        <v>2</v>
      </c>
      <c r="M652" s="144">
        <f>IF( AND( INDEX(TransTypes[],Transactions[[#This Row],[TTR]],TT_COL_GLFlag)=1, INDEX(TransTypes[],Transactions[[#This Row],[TTR]],TT_COL_LONGORSHORT)="S" ),
      Transactions[[#This Row],[PL]],
      IF(INDEX(TransTypes[],Transactions[[#This Row],[TTR]],TT_COL_LONGORSHORT)="S",0,Transactions[[#This Row],[CalCashImpact]])
)</f>
        <v>-3830.97</v>
      </c>
      <c r="N652" s="145">
        <f>IF(VLOOKUP(Transactions[[#This Row],[Symbol]],Symbols[],COLUMN(Symbols[Currency])-COLUMN(Symbols[])+1,FALSE)=
       VLOOKUP(Transactions[[#This Row],[Account]],Accounts[],COLUMN(Accounts[Currency])-COLUMN(Accounts[])+1,FALSE),
     Transactions[[#This Row],[OrigCashImpact]],
     0
)</f>
        <v>-3830.97</v>
      </c>
      <c r="O65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-22.950000000237196</v>
      </c>
      <c r="P65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3830.97</v>
      </c>
      <c r="Q65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463546.64999999991</v>
      </c>
      <c r="R652" s="41">
        <f>ROW()</f>
        <v>652</v>
      </c>
      <c r="S6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3830.97</v>
      </c>
      <c r="T6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553597.30556404567</v>
      </c>
      <c r="U65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463546.64999999991</v>
      </c>
      <c r="V652" s="150">
        <f>IF(INDEX(TransTypes[],Transactions[[#This Row],[TTR]],TT_COL_GLFlag)=1,Transactions[[#This Row],[CalCashImpact]]+Transactions[[#This Row],[CostImpact]],0)</f>
        <v>0</v>
      </c>
      <c r="W652" s="151">
        <f>Transactions[[#This Row],[Amount]]*INDEX(TransTypes[],Transactions[[#This Row],[TTR]],TT_COL_AmntSign)</f>
        <v>-3830.97</v>
      </c>
      <c r="X652" s="151">
        <f>IF(INDEX(TransTypes[],Transactions[[#This Row],[TTR]],TT_COL_LONGORSHORT)="S",
      IF( OR(INDEX(TransTypes[],Transactions[[#This Row],[TTR]],TT_COL_GLFlag)=1, INDEX(TransTypes[], Transactions[[#This Row],[TTR]], TT_COL_ShareTransferFlag)=1),
            Transactions[[#This Row],[CostImpact]]*-1,
            Transactions[[#This Row],[CalCashImpact]]
      ),
     0
)</f>
        <v>0</v>
      </c>
      <c r="Y652" s="152" t="str">
        <f>VLOOKUP(Transactions[[#This Row],[Symbol]],Symbols[], COLUMN(Symbols[Currency])-COLUMN(Symbols[])+1,FALSE)</f>
        <v>CNY</v>
      </c>
    </row>
    <row r="653" spans="1:25">
      <c r="A653" s="138" t="s">
        <v>600</v>
      </c>
      <c r="B653" s="139">
        <v>42657</v>
      </c>
      <c r="C653" s="138" t="s">
        <v>115</v>
      </c>
      <c r="D653" s="138"/>
      <c r="E653" s="140" t="s">
        <v>623</v>
      </c>
      <c r="F653" s="141">
        <v>100000</v>
      </c>
      <c r="G653" s="142">
        <v>1</v>
      </c>
      <c r="H653" s="141">
        <v>0</v>
      </c>
      <c r="I653" s="141"/>
      <c r="J653" s="143">
        <v>100000</v>
      </c>
      <c r="K653" s="6"/>
      <c r="L653" s="20">
        <f>IF(ISNA(MATCH(Transactions[[#This Row],[TransType]],TransTypes[TransType],0)),1,MATCH(Transactions[[#This Row],[TransType]],TransTypes[TransType],0))</f>
        <v>3</v>
      </c>
      <c r="M653" s="144">
        <f>IF( AND( INDEX(TransTypes[],Transactions[[#This Row],[TTR]],TT_COL_GLFlag)=1, INDEX(TransTypes[],Transactions[[#This Row],[TTR]],TT_COL_LONGORSHORT)="S" ),
      Transactions[[#This Row],[PL]],
      IF(INDEX(TransTypes[],Transactions[[#This Row],[TTR]],TT_COL_LONGORSHORT)="S",0,Transactions[[#This Row],[CalCashImpact]])
)</f>
        <v>100000</v>
      </c>
      <c r="N653" s="145">
        <f>IF(VLOOKUP(Transactions[[#This Row],[Symbol]],Symbols[],COLUMN(Symbols[Currency])-COLUMN(Symbols[])+1,FALSE)=
       VLOOKUP(Transactions[[#This Row],[Account]],Accounts[],COLUMN(Accounts[Currency])-COLUMN(Accounts[])+1,FALSE),
     Transactions[[#This Row],[OrigCashImpact]],
     0
)</f>
        <v>100000</v>
      </c>
      <c r="O65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99977.049999999756</v>
      </c>
      <c r="P65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65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50377.48000000001</v>
      </c>
      <c r="R653" s="41">
        <f>ROW()</f>
        <v>653</v>
      </c>
      <c r="S6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-98944.876940906019</v>
      </c>
      <c r="T6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49845.935591929563</v>
      </c>
      <c r="U65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150377.48000000001</v>
      </c>
      <c r="V653" s="150">
        <f>IF(INDEX(TransTypes[],Transactions[[#This Row],[TTR]],TT_COL_GLFlag)=1,Transactions[[#This Row],[CalCashImpact]]+Transactions[[#This Row],[CostImpact]],0)</f>
        <v>1055.1230590939813</v>
      </c>
      <c r="W653" s="151">
        <f>Transactions[[#This Row],[Amount]]*INDEX(TransTypes[],Transactions[[#This Row],[TTR]],TT_COL_AmntSign)</f>
        <v>100000</v>
      </c>
      <c r="X653" s="151">
        <f>IF(INDEX(TransTypes[],Transactions[[#This Row],[TTR]],TT_COL_LONGORSHORT)="S",
      IF( OR(INDEX(TransTypes[],Transactions[[#This Row],[TTR]],TT_COL_GLFlag)=1, INDEX(TransTypes[], Transactions[[#This Row],[TTR]], TT_COL_ShareTransferFlag)=1),
            Transactions[[#This Row],[CostImpact]]*-1,
            Transactions[[#This Row],[CalCashImpact]]
      ),
     0
)</f>
        <v>0</v>
      </c>
      <c r="Y653" s="152" t="str">
        <f>VLOOKUP(Transactions[[#This Row],[Symbol]],Symbols[], COLUMN(Symbols[Currency])-COLUMN(Symbols[])+1,FALSE)</f>
        <v>CNY</v>
      </c>
    </row>
    <row r="654" spans="1:25">
      <c r="A654" s="138" t="s">
        <v>600</v>
      </c>
      <c r="B654" s="139">
        <v>42660</v>
      </c>
      <c r="C654" s="138" t="s">
        <v>113</v>
      </c>
      <c r="D654" s="138"/>
      <c r="E654" s="140" t="s">
        <v>632</v>
      </c>
      <c r="F654" s="141">
        <v>43450.92</v>
      </c>
      <c r="G654" s="142">
        <v>2.2979999042597901</v>
      </c>
      <c r="H654" s="141">
        <v>149.79</v>
      </c>
      <c r="I654" s="141"/>
      <c r="J654" s="143">
        <v>100000</v>
      </c>
      <c r="K654" s="6"/>
      <c r="L654" s="20">
        <f>IF(ISNA(MATCH(Transactions[[#This Row],[TransType]],TransTypes[TransType],0)),1,MATCH(Transactions[[#This Row],[TransType]],TransTypes[TransType],0))</f>
        <v>2</v>
      </c>
      <c r="M654" s="144">
        <f>IF( AND( INDEX(TransTypes[],Transactions[[#This Row],[TTR]],TT_COL_GLFlag)=1, INDEX(TransTypes[],Transactions[[#This Row],[TTR]],TT_COL_LONGORSHORT)="S" ),
      Transactions[[#This Row],[PL]],
      IF(INDEX(TransTypes[],Transactions[[#This Row],[TTR]],TT_COL_LONGORSHORT)="S",0,Transactions[[#This Row],[CalCashImpact]])
)</f>
        <v>-100000</v>
      </c>
      <c r="N654" s="145">
        <f>IF(VLOOKUP(Transactions[[#This Row],[Symbol]],Symbols[],COLUMN(Symbols[Currency])-COLUMN(Symbols[])+1,FALSE)=
       VLOOKUP(Transactions[[#This Row],[Account]],Accounts[],COLUMN(Accounts[Currency])-COLUMN(Accounts[])+1,FALSE),
     Transactions[[#This Row],[OrigCashImpact]],
     0
)</f>
        <v>-100000</v>
      </c>
      <c r="O65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5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43450.92</v>
      </c>
      <c r="Q65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43450.92</v>
      </c>
      <c r="R654" s="41">
        <f>ROW()</f>
        <v>654</v>
      </c>
      <c r="S6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100000</v>
      </c>
      <c r="T6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100000</v>
      </c>
      <c r="U65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43450.92</v>
      </c>
      <c r="V654" s="150">
        <f>IF(INDEX(TransTypes[],Transactions[[#This Row],[TTR]],TT_COL_GLFlag)=1,Transactions[[#This Row],[CalCashImpact]]+Transactions[[#This Row],[CostImpact]],0)</f>
        <v>0</v>
      </c>
      <c r="W654" s="151">
        <f>Transactions[[#This Row],[Amount]]*INDEX(TransTypes[],Transactions[[#This Row],[TTR]],TT_COL_AmntSign)</f>
        <v>-100000</v>
      </c>
      <c r="X654" s="151">
        <f>IF(INDEX(TransTypes[],Transactions[[#This Row],[TTR]],TT_COL_LONGORSHORT)="S",
      IF( OR(INDEX(TransTypes[],Transactions[[#This Row],[TTR]],TT_COL_GLFlag)=1, INDEX(TransTypes[], Transactions[[#This Row],[TTR]], TT_COL_ShareTransferFlag)=1),
            Transactions[[#This Row],[CostImpact]]*-1,
            Transactions[[#This Row],[CalCashImpact]]
      ),
     0
)</f>
        <v>0</v>
      </c>
      <c r="Y654" s="152" t="str">
        <f>VLOOKUP(Transactions[[#This Row],[Symbol]],Symbols[], COLUMN(Symbols[Currency])-COLUMN(Symbols[])+1,FALSE)</f>
        <v>CNY</v>
      </c>
    </row>
    <row r="655" spans="1:25">
      <c r="A655" s="138" t="s">
        <v>600</v>
      </c>
      <c r="B655" s="139">
        <v>42660</v>
      </c>
      <c r="C655" s="138" t="s">
        <v>118</v>
      </c>
      <c r="D655" s="138"/>
      <c r="E655" s="140" t="s">
        <v>623</v>
      </c>
      <c r="F655" s="141"/>
      <c r="G655" s="142"/>
      <c r="H655" s="141"/>
      <c r="I655" s="141"/>
      <c r="J655" s="143">
        <v>0</v>
      </c>
      <c r="K655" s="6"/>
      <c r="L655" s="20">
        <f>IF(ISNA(MATCH(Transactions[[#This Row],[TransType]],TransTypes[TransType],0)),1,MATCH(Transactions[[#This Row],[TransType]],TransTypes[TransType],0))</f>
        <v>4</v>
      </c>
      <c r="M655" s="144">
        <f>IF( AND( INDEX(TransTypes[],Transactions[[#This Row],[TTR]],TT_COL_GLFlag)=1, INDEX(TransTypes[],Transactions[[#This Row],[TTR]],TT_COL_LONGORSHORT)="S" ),
      Transactions[[#This Row],[PL]],
      IF(INDEX(TransTypes[],Transactions[[#This Row],[TTR]],TT_COL_LONGORSHORT)="S",0,Transactions[[#This Row],[CalCashImpact]])
)</f>
        <v>0</v>
      </c>
      <c r="N655" s="145">
        <f>IF(VLOOKUP(Transactions[[#This Row],[Symbol]],Symbols[],COLUMN(Symbols[Currency])-COLUMN(Symbols[])+1,FALSE)=
       VLOOKUP(Transactions[[#This Row],[Account]],Accounts[],COLUMN(Accounts[Currency])-COLUMN(Accounts[])+1,FALSE),
     Transactions[[#This Row],[OrigCashImpact]],
     0
)</f>
        <v>0</v>
      </c>
      <c r="O65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5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5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50377.48000000001</v>
      </c>
      <c r="R655" s="41">
        <f>ROW()</f>
        <v>655</v>
      </c>
      <c r="S6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49845.935591929563</v>
      </c>
      <c r="U65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50377.48000000001</v>
      </c>
      <c r="V655" s="150">
        <f>IF(INDEX(TransTypes[],Transactions[[#This Row],[TTR]],TT_COL_GLFlag)=1,Transactions[[#This Row],[CalCashImpact]]+Transactions[[#This Row],[CostImpact]],0)</f>
        <v>0</v>
      </c>
      <c r="W655" s="151">
        <f>Transactions[[#This Row],[Amount]]*INDEX(TransTypes[],Transactions[[#This Row],[TTR]],TT_COL_AmntSign)</f>
        <v>0</v>
      </c>
      <c r="X655" s="151">
        <f>IF(INDEX(TransTypes[],Transactions[[#This Row],[TTR]],TT_COL_LONGORSHORT)="S",
      IF( OR(INDEX(TransTypes[],Transactions[[#This Row],[TTR]],TT_COL_GLFlag)=1, INDEX(TransTypes[], Transactions[[#This Row],[TTR]], TT_COL_ShareTransferFlag)=1),
            Transactions[[#This Row],[CostImpact]]*-1,
            Transactions[[#This Row],[CalCashImpact]]
      ),
     0
)</f>
        <v>0</v>
      </c>
      <c r="Y655" s="152" t="str">
        <f>VLOOKUP(Transactions[[#This Row],[Symbol]],Symbols[], COLUMN(Symbols[Currency])-COLUMN(Symbols[])+1,FALSE)</f>
        <v>CNY</v>
      </c>
    </row>
    <row r="656" spans="1:25">
      <c r="A656" s="138" t="s">
        <v>600</v>
      </c>
      <c r="B656" s="139">
        <v>42660</v>
      </c>
      <c r="C656" s="138" t="s">
        <v>113</v>
      </c>
      <c r="D656" s="138" t="s">
        <v>531</v>
      </c>
      <c r="E656" s="140" t="s">
        <v>623</v>
      </c>
      <c r="F656" s="141">
        <v>278.12</v>
      </c>
      <c r="G656" s="142">
        <v>0</v>
      </c>
      <c r="H656" s="141"/>
      <c r="I656" s="141"/>
      <c r="J656" s="143">
        <v>0</v>
      </c>
      <c r="K656" s="6"/>
      <c r="L656" s="20">
        <f>IF(ISNA(MATCH(Transactions[[#This Row],[TransType]],TransTypes[TransType],0)),1,MATCH(Transactions[[#This Row],[TransType]],TransTypes[TransType],0))</f>
        <v>2</v>
      </c>
      <c r="M656" s="144">
        <f>IF( AND( INDEX(TransTypes[],Transactions[[#This Row],[TTR]],TT_COL_GLFlag)=1, INDEX(TransTypes[],Transactions[[#This Row],[TTR]],TT_COL_LONGORSHORT)="S" ),
      Transactions[[#This Row],[PL]],
      IF(INDEX(TransTypes[],Transactions[[#This Row],[TTR]],TT_COL_LONGORSHORT)="S",0,Transactions[[#This Row],[CalCashImpact]])
)</f>
        <v>0</v>
      </c>
      <c r="N656" s="145">
        <f>IF(VLOOKUP(Transactions[[#This Row],[Symbol]],Symbols[],COLUMN(Symbols[Currency])-COLUMN(Symbols[])+1,FALSE)=
       VLOOKUP(Transactions[[#This Row],[Account]],Accounts[],COLUMN(Accounts[Currency])-COLUMN(Accounts[])+1,FALSE),
     Transactions[[#This Row],[OrigCashImpact]],
     0
)</f>
        <v>0</v>
      </c>
      <c r="O65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5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278.12</v>
      </c>
      <c r="Q65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50655.600000000013</v>
      </c>
      <c r="R656" s="41">
        <f>ROW()</f>
        <v>656</v>
      </c>
      <c r="S6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49845.935591929563</v>
      </c>
      <c r="U65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50655.600000000013</v>
      </c>
      <c r="V656" s="150">
        <f>IF(INDEX(TransTypes[],Transactions[[#This Row],[TTR]],TT_COL_GLFlag)=1,Transactions[[#This Row],[CalCashImpact]]+Transactions[[#This Row],[CostImpact]],0)</f>
        <v>0</v>
      </c>
      <c r="W656" s="151">
        <f>Transactions[[#This Row],[Amount]]*INDEX(TransTypes[],Transactions[[#This Row],[TTR]],TT_COL_AmntSign)</f>
        <v>0</v>
      </c>
      <c r="X656" s="151">
        <f>IF(INDEX(TransTypes[],Transactions[[#This Row],[TTR]],TT_COL_LONGORSHORT)="S",
      IF( OR(INDEX(TransTypes[],Transactions[[#This Row],[TTR]],TT_COL_GLFlag)=1, INDEX(TransTypes[], Transactions[[#This Row],[TTR]], TT_COL_ShareTransferFlag)=1),
            Transactions[[#This Row],[CostImpact]]*-1,
            Transactions[[#This Row],[CalCashImpact]]
      ),
     0
)</f>
        <v>0</v>
      </c>
      <c r="Y656" s="152" t="str">
        <f>VLOOKUP(Transactions[[#This Row],[Symbol]],Symbols[], COLUMN(Symbols[Currency])-COLUMN(Symbols[])+1,FALSE)</f>
        <v>CNY</v>
      </c>
    </row>
    <row r="657" spans="1:25">
      <c r="A657" s="138" t="s">
        <v>600</v>
      </c>
      <c r="B657" s="139">
        <v>42667</v>
      </c>
      <c r="C657" s="138" t="s">
        <v>115</v>
      </c>
      <c r="D657" s="138"/>
      <c r="E657" s="140" t="s">
        <v>635</v>
      </c>
      <c r="F657" s="141">
        <v>62681.21</v>
      </c>
      <c r="G657" s="142">
        <v>5.2659999703260301</v>
      </c>
      <c r="H657" s="141">
        <v>1650.39</v>
      </c>
      <c r="I657" s="141"/>
      <c r="J657" s="143">
        <v>328428.86</v>
      </c>
      <c r="K657" s="6"/>
      <c r="L657" s="20">
        <f>IF(ISNA(MATCH(Transactions[[#This Row],[TransType]],TransTypes[TransType],0)),1,MATCH(Transactions[[#This Row],[TransType]],TransTypes[TransType],0))</f>
        <v>3</v>
      </c>
      <c r="M657" s="144">
        <f>IF( AND( INDEX(TransTypes[],Transactions[[#This Row],[TTR]],TT_COL_GLFlag)=1, INDEX(TransTypes[],Transactions[[#This Row],[TTR]],TT_COL_LONGORSHORT)="S" ),
      Transactions[[#This Row],[PL]],
      IF(INDEX(TransTypes[],Transactions[[#This Row],[TTR]],TT_COL_LONGORSHORT)="S",0,Transactions[[#This Row],[CalCashImpact]])
)</f>
        <v>328428.86</v>
      </c>
      <c r="N657" s="145">
        <f>IF(VLOOKUP(Transactions[[#This Row],[Symbol]],Symbols[],COLUMN(Symbols[Currency])-COLUMN(Symbols[])+1,FALSE)=
       VLOOKUP(Transactions[[#This Row],[Account]],Accounts[],COLUMN(Accounts[Currency])-COLUMN(Accounts[])+1,FALSE),
     Transactions[[#This Row],[OrigCashImpact]],
     0
)</f>
        <v>328428.86</v>
      </c>
      <c r="O65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328405.90999999974</v>
      </c>
      <c r="P65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-62681.21</v>
      </c>
      <c r="Q65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39999.999999999993</v>
      </c>
      <c r="R657" s="41">
        <f>ROW()</f>
        <v>657</v>
      </c>
      <c r="S6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-305222.39658064023</v>
      </c>
      <c r="T6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194777.60341935977</v>
      </c>
      <c r="U65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102681.20999999999</v>
      </c>
      <c r="V657" s="150">
        <f>IF(INDEX(TransTypes[],Transactions[[#This Row],[TTR]],TT_COL_GLFlag)=1,Transactions[[#This Row],[CalCashImpact]]+Transactions[[#This Row],[CostImpact]],0)</f>
        <v>23206.463419359759</v>
      </c>
      <c r="W657" s="151">
        <f>Transactions[[#This Row],[Amount]]*INDEX(TransTypes[],Transactions[[#This Row],[TTR]],TT_COL_AmntSign)</f>
        <v>328428.86</v>
      </c>
      <c r="X657" s="151">
        <f>IF(INDEX(TransTypes[],Transactions[[#This Row],[TTR]],TT_COL_LONGORSHORT)="S",
      IF( OR(INDEX(TransTypes[],Transactions[[#This Row],[TTR]],TT_COL_GLFlag)=1, INDEX(TransTypes[], Transactions[[#This Row],[TTR]], TT_COL_ShareTransferFlag)=1),
            Transactions[[#This Row],[CostImpact]]*-1,
            Transactions[[#This Row],[CalCashImpact]]
      ),
     0
)</f>
        <v>0</v>
      </c>
      <c r="Y657" s="152" t="str">
        <f>VLOOKUP(Transactions[[#This Row],[Symbol]],Symbols[], COLUMN(Symbols[Currency])-COLUMN(Symbols[])+1,FALSE)</f>
        <v>CNY</v>
      </c>
    </row>
    <row r="658" spans="1:25">
      <c r="A658" s="138" t="s">
        <v>600</v>
      </c>
      <c r="B658" s="139">
        <v>42669</v>
      </c>
      <c r="C658" s="138" t="s">
        <v>113</v>
      </c>
      <c r="D658" s="138"/>
      <c r="E658" s="140" t="s">
        <v>623</v>
      </c>
      <c r="F658" s="141">
        <v>8428.86</v>
      </c>
      <c r="G658" s="142">
        <v>1</v>
      </c>
      <c r="H658" s="141">
        <v>0</v>
      </c>
      <c r="I658" s="141"/>
      <c r="J658" s="143">
        <v>8428.86</v>
      </c>
      <c r="K658" s="6"/>
      <c r="L658" s="20">
        <f>IF(ISNA(MATCH(Transactions[[#This Row],[TransType]],TransTypes[TransType],0)),1,MATCH(Transactions[[#This Row],[TransType]],TransTypes[TransType],0))</f>
        <v>2</v>
      </c>
      <c r="M658" s="144">
        <f>IF( AND( INDEX(TransTypes[],Transactions[[#This Row],[TTR]],TT_COL_GLFlag)=1, INDEX(TransTypes[],Transactions[[#This Row],[TTR]],TT_COL_LONGORSHORT)="S" ),
      Transactions[[#This Row],[PL]],
      IF(INDEX(TransTypes[],Transactions[[#This Row],[TTR]],TT_COL_LONGORSHORT)="S",0,Transactions[[#This Row],[CalCashImpact]])
)</f>
        <v>-8428.86</v>
      </c>
      <c r="N658" s="145">
        <f>IF(VLOOKUP(Transactions[[#This Row],[Symbol]],Symbols[],COLUMN(Symbols[Currency])-COLUMN(Symbols[])+1,FALSE)=
       VLOOKUP(Transactions[[#This Row],[Account]],Accounts[],COLUMN(Accounts[Currency])-COLUMN(Accounts[])+1,FALSE),
     Transactions[[#This Row],[OrigCashImpact]],
     0
)</f>
        <v>-8428.86</v>
      </c>
      <c r="O65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319977.04999999976</v>
      </c>
      <c r="P65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8428.86</v>
      </c>
      <c r="Q65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59084.460000000014</v>
      </c>
      <c r="R658" s="41">
        <f>ROW()</f>
        <v>658</v>
      </c>
      <c r="S6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8428.86</v>
      </c>
      <c r="T6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58274.795591929564</v>
      </c>
      <c r="U65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59084.460000000014</v>
      </c>
      <c r="V658" s="150">
        <f>IF(INDEX(TransTypes[],Transactions[[#This Row],[TTR]],TT_COL_GLFlag)=1,Transactions[[#This Row],[CalCashImpact]]+Transactions[[#This Row],[CostImpact]],0)</f>
        <v>0</v>
      </c>
      <c r="W658" s="151">
        <f>Transactions[[#This Row],[Amount]]*INDEX(TransTypes[],Transactions[[#This Row],[TTR]],TT_COL_AmntSign)</f>
        <v>-8428.86</v>
      </c>
      <c r="X658" s="151">
        <f>IF(INDEX(TransTypes[],Transactions[[#This Row],[TTR]],TT_COL_LONGORSHORT)="S",
      IF( OR(INDEX(TransTypes[],Transactions[[#This Row],[TTR]],TT_COL_GLFlag)=1, INDEX(TransTypes[], Transactions[[#This Row],[TTR]], TT_COL_ShareTransferFlag)=1),
            Transactions[[#This Row],[CostImpact]]*-1,
            Transactions[[#This Row],[CalCashImpact]]
      ),
     0
)</f>
        <v>0</v>
      </c>
      <c r="Y658" s="152" t="str">
        <f>VLOOKUP(Transactions[[#This Row],[Symbol]],Symbols[], COLUMN(Symbols[Currency])-COLUMN(Symbols[])+1,FALSE)</f>
        <v>CNY</v>
      </c>
    </row>
    <row r="659" spans="1:25">
      <c r="A659" s="138" t="s">
        <v>600</v>
      </c>
      <c r="B659" s="139">
        <v>42669</v>
      </c>
      <c r="C659" s="138" t="s">
        <v>113</v>
      </c>
      <c r="D659" s="138"/>
      <c r="E659" s="140" t="s">
        <v>632</v>
      </c>
      <c r="F659" s="141">
        <v>50353.11</v>
      </c>
      <c r="G659" s="142">
        <v>1.98300005699747</v>
      </c>
      <c r="H659" s="141">
        <v>149.78</v>
      </c>
      <c r="I659" s="141"/>
      <c r="J659" s="143">
        <v>100000</v>
      </c>
      <c r="K659" s="6"/>
      <c r="L659" s="20">
        <f>IF(ISNA(MATCH(Transactions[[#This Row],[TransType]],TransTypes[TransType],0)),1,MATCH(Transactions[[#This Row],[TransType]],TransTypes[TransType],0))</f>
        <v>2</v>
      </c>
      <c r="M659" s="144">
        <f>IF( AND( INDEX(TransTypes[],Transactions[[#This Row],[TTR]],TT_COL_GLFlag)=1, INDEX(TransTypes[],Transactions[[#This Row],[TTR]],TT_COL_LONGORSHORT)="S" ),
      Transactions[[#This Row],[PL]],
      IF(INDEX(TransTypes[],Transactions[[#This Row],[TTR]],TT_COL_LONGORSHORT)="S",0,Transactions[[#This Row],[CalCashImpact]])
)</f>
        <v>-100000</v>
      </c>
      <c r="N659" s="145">
        <f>IF(VLOOKUP(Transactions[[#This Row],[Symbol]],Symbols[],COLUMN(Symbols[Currency])-COLUMN(Symbols[])+1,FALSE)=
       VLOOKUP(Transactions[[#This Row],[Account]],Accounts[],COLUMN(Accounts[Currency])-COLUMN(Accounts[])+1,FALSE),
     Transactions[[#This Row],[OrigCashImpact]],
     0
)</f>
        <v>-100000</v>
      </c>
      <c r="O65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219977.04999999976</v>
      </c>
      <c r="P65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50353.11</v>
      </c>
      <c r="Q65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93804.03</v>
      </c>
      <c r="R659" s="41">
        <f>ROW()</f>
        <v>659</v>
      </c>
      <c r="S6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100000</v>
      </c>
      <c r="T6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200000</v>
      </c>
      <c r="U65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93804.03</v>
      </c>
      <c r="V659" s="150">
        <f>IF(INDEX(TransTypes[],Transactions[[#This Row],[TTR]],TT_COL_GLFlag)=1,Transactions[[#This Row],[CalCashImpact]]+Transactions[[#This Row],[CostImpact]],0)</f>
        <v>0</v>
      </c>
      <c r="W659" s="151">
        <f>Transactions[[#This Row],[Amount]]*INDEX(TransTypes[],Transactions[[#This Row],[TTR]],TT_COL_AmntSign)</f>
        <v>-100000</v>
      </c>
      <c r="X659" s="151">
        <f>IF(INDEX(TransTypes[],Transactions[[#This Row],[TTR]],TT_COL_LONGORSHORT)="S",
      IF( OR(INDEX(TransTypes[],Transactions[[#This Row],[TTR]],TT_COL_GLFlag)=1, INDEX(TransTypes[], Transactions[[#This Row],[TTR]], TT_COL_ShareTransferFlag)=1),
            Transactions[[#This Row],[CostImpact]]*-1,
            Transactions[[#This Row],[CalCashImpact]]
      ),
     0
)</f>
        <v>0</v>
      </c>
      <c r="Y659" s="152" t="str">
        <f>VLOOKUP(Transactions[[#This Row],[Symbol]],Symbols[], COLUMN(Symbols[Currency])-COLUMN(Symbols[])+1,FALSE)</f>
        <v>CNY</v>
      </c>
    </row>
    <row r="660" spans="1:25">
      <c r="A660" s="138" t="s">
        <v>600</v>
      </c>
      <c r="B660" s="139">
        <v>42670</v>
      </c>
      <c r="C660" s="138" t="s">
        <v>118</v>
      </c>
      <c r="D660" s="138"/>
      <c r="E660" s="140" t="s">
        <v>632</v>
      </c>
      <c r="F660" s="141"/>
      <c r="G660" s="142"/>
      <c r="H660" s="141"/>
      <c r="I660" s="141"/>
      <c r="J660" s="143">
        <v>15207.82</v>
      </c>
      <c r="K660" s="6"/>
      <c r="L660" s="20">
        <f>IF(ISNA(MATCH(Transactions[[#This Row],[TransType]],TransTypes[TransType],0)),1,MATCH(Transactions[[#This Row],[TransType]],TransTypes[TransType],0))</f>
        <v>4</v>
      </c>
      <c r="M660" s="144">
        <f>IF( AND( INDEX(TransTypes[],Transactions[[#This Row],[TTR]],TT_COL_GLFlag)=1, INDEX(TransTypes[],Transactions[[#This Row],[TTR]],TT_COL_LONGORSHORT)="S" ),
      Transactions[[#This Row],[PL]],
      IF(INDEX(TransTypes[],Transactions[[#This Row],[TTR]],TT_COL_LONGORSHORT)="S",0,Transactions[[#This Row],[CalCashImpact]])
)</f>
        <v>15207.82</v>
      </c>
      <c r="N660" s="145">
        <f>IF(VLOOKUP(Transactions[[#This Row],[Symbol]],Symbols[],COLUMN(Symbols[Currency])-COLUMN(Symbols[])+1,FALSE)=
       VLOOKUP(Transactions[[#This Row],[Account]],Accounts[],COLUMN(Accounts[Currency])-COLUMN(Accounts[])+1,FALSE),
     Transactions[[#This Row],[OrigCashImpact]],
     0
)</f>
        <v>15207.82</v>
      </c>
      <c r="O66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235184.86999999976</v>
      </c>
      <c r="P66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6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93804.03</v>
      </c>
      <c r="R660" s="41">
        <f>ROW()</f>
        <v>660</v>
      </c>
      <c r="S6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200000</v>
      </c>
      <c r="U66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93804.03</v>
      </c>
      <c r="V660" s="150">
        <f>IF(INDEX(TransTypes[],Transactions[[#This Row],[TTR]],TT_COL_GLFlag)=1,Transactions[[#This Row],[CalCashImpact]]+Transactions[[#This Row],[CostImpact]],0)</f>
        <v>0</v>
      </c>
      <c r="W660" s="151">
        <f>Transactions[[#This Row],[Amount]]*INDEX(TransTypes[],Transactions[[#This Row],[TTR]],TT_COL_AmntSign)</f>
        <v>15207.82</v>
      </c>
      <c r="X660" s="151">
        <f>IF(INDEX(TransTypes[],Transactions[[#This Row],[TTR]],TT_COL_LONGORSHORT)="S",
      IF( OR(INDEX(TransTypes[],Transactions[[#This Row],[TTR]],TT_COL_GLFlag)=1, INDEX(TransTypes[], Transactions[[#This Row],[TTR]], TT_COL_ShareTransferFlag)=1),
            Transactions[[#This Row],[CostImpact]]*-1,
            Transactions[[#This Row],[CalCashImpact]]
      ),
     0
)</f>
        <v>0</v>
      </c>
      <c r="Y660" s="152" t="str">
        <f>VLOOKUP(Transactions[[#This Row],[Symbol]],Symbols[], COLUMN(Symbols[Currency])-COLUMN(Symbols[])+1,FALSE)</f>
        <v>CNY</v>
      </c>
    </row>
    <row r="661" spans="1:25">
      <c r="A661" s="138" t="s">
        <v>600</v>
      </c>
      <c r="B661" s="139">
        <v>42670</v>
      </c>
      <c r="C661" s="138" t="s">
        <v>119</v>
      </c>
      <c r="D661" s="138"/>
      <c r="E661" s="140" t="s">
        <v>211</v>
      </c>
      <c r="F661" s="141"/>
      <c r="G661" s="142"/>
      <c r="H661" s="141"/>
      <c r="I661" s="141"/>
      <c r="J661" s="143">
        <v>15207.82</v>
      </c>
      <c r="K661" s="6" t="s">
        <v>638</v>
      </c>
      <c r="L661" s="20">
        <f>IF(ISNA(MATCH(Transactions[[#This Row],[TransType]],TransTypes[TransType],0)),1,MATCH(Transactions[[#This Row],[TransType]],TransTypes[TransType],0))</f>
        <v>5</v>
      </c>
      <c r="M661" s="144">
        <f>IF( AND( INDEX(TransTypes[],Transactions[[#This Row],[TTR]],TT_COL_GLFlag)=1, INDEX(TransTypes[],Transactions[[#This Row],[TTR]],TT_COL_LONGORSHORT)="S" ),
      Transactions[[#This Row],[PL]],
      IF(INDEX(TransTypes[],Transactions[[#This Row],[TTR]],TT_COL_LONGORSHORT)="S",0,Transactions[[#This Row],[CalCashImpact]])
)</f>
        <v>-15207.82</v>
      </c>
      <c r="N661" s="145">
        <f>IF(VLOOKUP(Transactions[[#This Row],[Symbol]],Symbols[],COLUMN(Symbols[Currency])-COLUMN(Symbols[])+1,FALSE)=
       VLOOKUP(Transactions[[#This Row],[Account]],Accounts[],COLUMN(Accounts[Currency])-COLUMN(Accounts[])+1,FALSE),
     Transactions[[#This Row],[OrigCashImpact]],
     0
)</f>
        <v>-15207.82</v>
      </c>
      <c r="O66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219977.04999999976</v>
      </c>
      <c r="P66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6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61" s="41">
        <f>ROW()</f>
        <v>661</v>
      </c>
      <c r="S6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6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661" s="150">
        <f>IF(INDEX(TransTypes[],Transactions[[#This Row],[TTR]],TT_COL_GLFlag)=1,Transactions[[#This Row],[CalCashImpact]]+Transactions[[#This Row],[CostImpact]],0)</f>
        <v>0</v>
      </c>
      <c r="W661" s="151">
        <f>Transactions[[#This Row],[Amount]]*INDEX(TransTypes[],Transactions[[#This Row],[TTR]],TT_COL_AmntSign)</f>
        <v>-15207.82</v>
      </c>
      <c r="X661" s="151">
        <f>IF(INDEX(TransTypes[],Transactions[[#This Row],[TTR]],TT_COL_LONGORSHORT)="S",
      IF( OR(INDEX(TransTypes[],Transactions[[#This Row],[TTR]],TT_COL_GLFlag)=1, INDEX(TransTypes[], Transactions[[#This Row],[TTR]], TT_COL_ShareTransferFlag)=1),
            Transactions[[#This Row],[CostImpact]]*-1,
            Transactions[[#This Row],[CalCashImpact]]
      ),
     0
)</f>
        <v>0</v>
      </c>
      <c r="Y661" s="152" t="str">
        <f>VLOOKUP(Transactions[[#This Row],[Symbol]],Symbols[], COLUMN(Symbols[Currency])-COLUMN(Symbols[])+1,FALSE)</f>
        <v>CNY</v>
      </c>
    </row>
    <row r="662" spans="1:25">
      <c r="A662" s="138" t="s">
        <v>600</v>
      </c>
      <c r="B662" s="139">
        <v>42670</v>
      </c>
      <c r="C662" s="138" t="s">
        <v>113</v>
      </c>
      <c r="D662" s="138"/>
      <c r="E662" s="140" t="s">
        <v>611</v>
      </c>
      <c r="F662" s="141">
        <v>203210.44</v>
      </c>
      <c r="G662" s="142">
        <v>1.0810000214555899</v>
      </c>
      <c r="H662" s="141">
        <v>329.51</v>
      </c>
      <c r="I662" s="141"/>
      <c r="J662" s="143">
        <v>220000</v>
      </c>
      <c r="K662" s="6"/>
      <c r="L662" s="20">
        <f>IF(ISNA(MATCH(Transactions[[#This Row],[TransType]],TransTypes[TransType],0)),1,MATCH(Transactions[[#This Row],[TransType]],TransTypes[TransType],0))</f>
        <v>2</v>
      </c>
      <c r="M662" s="144">
        <f>IF( AND( INDEX(TransTypes[],Transactions[[#This Row],[TTR]],TT_COL_GLFlag)=1, INDEX(TransTypes[],Transactions[[#This Row],[TTR]],TT_COL_LONGORSHORT)="S" ),
      Transactions[[#This Row],[PL]],
      IF(INDEX(TransTypes[],Transactions[[#This Row],[TTR]],TT_COL_LONGORSHORT)="S",0,Transactions[[#This Row],[CalCashImpact]])
)</f>
        <v>-220000</v>
      </c>
      <c r="N662" s="145">
        <f>IF(VLOOKUP(Transactions[[#This Row],[Symbol]],Symbols[],COLUMN(Symbols[Currency])-COLUMN(Symbols[])+1,FALSE)=
       VLOOKUP(Transactions[[#This Row],[Account]],Accounts[],COLUMN(Accounts[Currency])-COLUMN(Accounts[])+1,FALSE),
     Transactions[[#This Row],[OrigCashImpact]],
     0
)</f>
        <v>-220000</v>
      </c>
      <c r="O66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6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203210.44</v>
      </c>
      <c r="Q66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203210.44</v>
      </c>
      <c r="R662" s="41">
        <f>ROW()</f>
        <v>662</v>
      </c>
      <c r="S6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220000</v>
      </c>
      <c r="T6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220000</v>
      </c>
      <c r="U66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203210.44</v>
      </c>
      <c r="V662" s="150">
        <f>IF(INDEX(TransTypes[],Transactions[[#This Row],[TTR]],TT_COL_GLFlag)=1,Transactions[[#This Row],[CalCashImpact]]+Transactions[[#This Row],[CostImpact]],0)</f>
        <v>0</v>
      </c>
      <c r="W662" s="151">
        <f>Transactions[[#This Row],[Amount]]*INDEX(TransTypes[],Transactions[[#This Row],[TTR]],TT_COL_AmntSign)</f>
        <v>-220000</v>
      </c>
      <c r="X662" s="151">
        <f>IF(INDEX(TransTypes[],Transactions[[#This Row],[TTR]],TT_COL_LONGORSHORT)="S",
      IF( OR(INDEX(TransTypes[],Transactions[[#This Row],[TTR]],TT_COL_GLFlag)=1, INDEX(TransTypes[], Transactions[[#This Row],[TTR]], TT_COL_ShareTransferFlag)=1),
            Transactions[[#This Row],[CostImpact]]*-1,
            Transactions[[#This Row],[CalCashImpact]]
      ),
     0
)</f>
        <v>0</v>
      </c>
      <c r="Y662" s="152" t="str">
        <f>VLOOKUP(Transactions[[#This Row],[Symbol]],Symbols[], COLUMN(Symbols[Currency])-COLUMN(Symbols[])+1,FALSE)</f>
        <v>CNY</v>
      </c>
    </row>
    <row r="663" spans="1:25">
      <c r="A663" s="138" t="s">
        <v>600</v>
      </c>
      <c r="B663" s="139">
        <v>42681</v>
      </c>
      <c r="C663" s="138" t="s">
        <v>113</v>
      </c>
      <c r="D663" s="138"/>
      <c r="E663" s="140" t="s">
        <v>623</v>
      </c>
      <c r="F663" s="141">
        <v>314957.34999999998</v>
      </c>
      <c r="G663" s="142">
        <v>1</v>
      </c>
      <c r="H663" s="141">
        <v>0</v>
      </c>
      <c r="I663" s="141"/>
      <c r="J663" s="143">
        <v>314957.34999999998</v>
      </c>
      <c r="K663" s="6"/>
      <c r="L663" s="20">
        <f>IF(ISNA(MATCH(Transactions[[#This Row],[TransType]],TransTypes[TransType],0)),1,MATCH(Transactions[[#This Row],[TransType]],TransTypes[TransType],0))</f>
        <v>2</v>
      </c>
      <c r="M663" s="144">
        <f>IF( AND( INDEX(TransTypes[],Transactions[[#This Row],[TTR]],TT_COL_GLFlag)=1, INDEX(TransTypes[],Transactions[[#This Row],[TTR]],TT_COL_LONGORSHORT)="S" ),
      Transactions[[#This Row],[PL]],
      IF(INDEX(TransTypes[],Transactions[[#This Row],[TTR]],TT_COL_LONGORSHORT)="S",0,Transactions[[#This Row],[CalCashImpact]])
)</f>
        <v>-314957.34999999998</v>
      </c>
      <c r="N663" s="145">
        <f>IF(VLOOKUP(Transactions[[#This Row],[Symbol]],Symbols[],COLUMN(Symbols[Currency])-COLUMN(Symbols[])+1,FALSE)=
       VLOOKUP(Transactions[[#This Row],[Account]],Accounts[],COLUMN(Accounts[Currency])-COLUMN(Accounts[])+1,FALSE),
     Transactions[[#This Row],[OrigCashImpact]],
     0
)</f>
        <v>-314957.34999999998</v>
      </c>
      <c r="O66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-314980.30000000022</v>
      </c>
      <c r="P66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314957.34999999998</v>
      </c>
      <c r="Q66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374041.81</v>
      </c>
      <c r="R663" s="41">
        <f>ROW()</f>
        <v>663</v>
      </c>
      <c r="S6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314957.34999999998</v>
      </c>
      <c r="T6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373232.14559192955</v>
      </c>
      <c r="U66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374041.81</v>
      </c>
      <c r="V663" s="150">
        <f>IF(INDEX(TransTypes[],Transactions[[#This Row],[TTR]],TT_COL_GLFlag)=1,Transactions[[#This Row],[CalCashImpact]]+Transactions[[#This Row],[CostImpact]],0)</f>
        <v>0</v>
      </c>
      <c r="W663" s="151">
        <f>Transactions[[#This Row],[Amount]]*INDEX(TransTypes[],Transactions[[#This Row],[TTR]],TT_COL_AmntSign)</f>
        <v>-314957.34999999998</v>
      </c>
      <c r="X663" s="151">
        <f>IF(INDEX(TransTypes[],Transactions[[#This Row],[TTR]],TT_COL_LONGORSHORT)="S",
      IF( OR(INDEX(TransTypes[],Transactions[[#This Row],[TTR]],TT_COL_GLFlag)=1, INDEX(TransTypes[], Transactions[[#This Row],[TTR]], TT_COL_ShareTransferFlag)=1),
            Transactions[[#This Row],[CostImpact]]*-1,
            Transactions[[#This Row],[CalCashImpact]]
      ),
     0
)</f>
        <v>0</v>
      </c>
      <c r="Y663" s="152" t="str">
        <f>VLOOKUP(Transactions[[#This Row],[Symbol]],Symbols[], COLUMN(Symbols[Currency])-COLUMN(Symbols[])+1,FALSE)</f>
        <v>CNY</v>
      </c>
    </row>
    <row r="664" spans="1:25">
      <c r="A664" s="138" t="s">
        <v>600</v>
      </c>
      <c r="B664" s="139">
        <v>42681</v>
      </c>
      <c r="C664" s="138" t="s">
        <v>115</v>
      </c>
      <c r="D664" s="138"/>
      <c r="E664" s="140" t="s">
        <v>605</v>
      </c>
      <c r="F664" s="141">
        <v>319028.46999999997</v>
      </c>
      <c r="G664" s="142">
        <v>0.992200006475911</v>
      </c>
      <c r="H664" s="141">
        <v>1582.7</v>
      </c>
      <c r="I664" s="141"/>
      <c r="J664" s="143">
        <v>314957.34999999998</v>
      </c>
      <c r="K664" s="6"/>
      <c r="L664" s="20">
        <f>IF(ISNA(MATCH(Transactions[[#This Row],[TransType]],TransTypes[TransType],0)),1,MATCH(Transactions[[#This Row],[TransType]],TransTypes[TransType],0))</f>
        <v>3</v>
      </c>
      <c r="M664" s="144">
        <f>IF( AND( INDEX(TransTypes[],Transactions[[#This Row],[TTR]],TT_COL_GLFlag)=1, INDEX(TransTypes[],Transactions[[#This Row],[TTR]],TT_COL_LONGORSHORT)="S" ),
      Transactions[[#This Row],[PL]],
      IF(INDEX(TransTypes[],Transactions[[#This Row],[TTR]],TT_COL_LONGORSHORT)="S",0,Transactions[[#This Row],[CalCashImpact]])
)</f>
        <v>314957.34999999998</v>
      </c>
      <c r="N664" s="145">
        <f>IF(VLOOKUP(Transactions[[#This Row],[Symbol]],Symbols[],COLUMN(Symbols[Currency])-COLUMN(Symbols[])+1,FALSE)=
       VLOOKUP(Transactions[[#This Row],[Account]],Accounts[],COLUMN(Accounts[Currency])-COLUMN(Accounts[])+1,FALSE),
     Transactions[[#This Row],[OrigCashImpact]],
     0
)</f>
        <v>314957.34999999998</v>
      </c>
      <c r="O66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6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-319028.46999999997</v>
      </c>
      <c r="Q66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64" s="41">
        <f>ROW()</f>
        <v>664</v>
      </c>
      <c r="S6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-296867.90000000002</v>
      </c>
      <c r="T6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6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319028.46999999997</v>
      </c>
      <c r="V664" s="150">
        <f>IF(INDEX(TransTypes[],Transactions[[#This Row],[TTR]],TT_COL_GLFlag)=1,Transactions[[#This Row],[CalCashImpact]]+Transactions[[#This Row],[CostImpact]],0)</f>
        <v>18089.449999999953</v>
      </c>
      <c r="W664" s="151">
        <f>Transactions[[#This Row],[Amount]]*INDEX(TransTypes[],Transactions[[#This Row],[TTR]],TT_COL_AmntSign)</f>
        <v>314957.34999999998</v>
      </c>
      <c r="X664" s="151">
        <f>IF(INDEX(TransTypes[],Transactions[[#This Row],[TTR]],TT_COL_LONGORSHORT)="S",
      IF( OR(INDEX(TransTypes[],Transactions[[#This Row],[TTR]],TT_COL_GLFlag)=1, INDEX(TransTypes[], Transactions[[#This Row],[TTR]], TT_COL_ShareTransferFlag)=1),
            Transactions[[#This Row],[CostImpact]]*-1,
            Transactions[[#This Row],[CalCashImpact]]
      ),
     0
)</f>
        <v>0</v>
      </c>
      <c r="Y664" s="152" t="str">
        <f>VLOOKUP(Transactions[[#This Row],[Symbol]],Symbols[], COLUMN(Symbols[Currency])-COLUMN(Symbols[])+1,FALSE)</f>
        <v>CNY</v>
      </c>
    </row>
    <row r="665" spans="1:25">
      <c r="A665" s="138" t="s">
        <v>600</v>
      </c>
      <c r="B665" s="139">
        <v>42690</v>
      </c>
      <c r="C665" s="138" t="s">
        <v>118</v>
      </c>
      <c r="D665" s="138"/>
      <c r="E665" s="140" t="s">
        <v>623</v>
      </c>
      <c r="F665" s="141"/>
      <c r="G665" s="142"/>
      <c r="H665" s="141"/>
      <c r="I665" s="141"/>
      <c r="J665" s="143">
        <v>0</v>
      </c>
      <c r="K665" s="6"/>
      <c r="L665" s="20">
        <f>IF(ISNA(MATCH(Transactions[[#This Row],[TransType]],TransTypes[TransType],0)),1,MATCH(Transactions[[#This Row],[TransType]],TransTypes[TransType],0))</f>
        <v>4</v>
      </c>
      <c r="M665" s="144">
        <f>IF( AND( INDEX(TransTypes[],Transactions[[#This Row],[TTR]],TT_COL_GLFlag)=1, INDEX(TransTypes[],Transactions[[#This Row],[TTR]],TT_COL_LONGORSHORT)="S" ),
      Transactions[[#This Row],[PL]],
      IF(INDEX(TransTypes[],Transactions[[#This Row],[TTR]],TT_COL_LONGORSHORT)="S",0,Transactions[[#This Row],[CalCashImpact]])
)</f>
        <v>0</v>
      </c>
      <c r="N665" s="145">
        <f>IF(VLOOKUP(Transactions[[#This Row],[Symbol]],Symbols[],COLUMN(Symbols[Currency])-COLUMN(Symbols[])+1,FALSE)=
       VLOOKUP(Transactions[[#This Row],[Account]],Accounts[],COLUMN(Accounts[Currency])-COLUMN(Accounts[])+1,FALSE),
     Transactions[[#This Row],[OrigCashImpact]],
     0
)</f>
        <v>0</v>
      </c>
      <c r="O66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6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6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374041.81</v>
      </c>
      <c r="R665" s="41">
        <f>ROW()</f>
        <v>665</v>
      </c>
      <c r="S6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373232.14559192955</v>
      </c>
      <c r="U66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374041.81</v>
      </c>
      <c r="V665" s="150">
        <f>IF(INDEX(TransTypes[],Transactions[[#This Row],[TTR]],TT_COL_GLFlag)=1,Transactions[[#This Row],[CalCashImpact]]+Transactions[[#This Row],[CostImpact]],0)</f>
        <v>0</v>
      </c>
      <c r="W665" s="151">
        <f>Transactions[[#This Row],[Amount]]*INDEX(TransTypes[],Transactions[[#This Row],[TTR]],TT_COL_AmntSign)</f>
        <v>0</v>
      </c>
      <c r="X665" s="151">
        <f>IF(INDEX(TransTypes[],Transactions[[#This Row],[TTR]],TT_COL_LONGORSHORT)="S",
      IF( OR(INDEX(TransTypes[],Transactions[[#This Row],[TTR]],TT_COL_GLFlag)=1, INDEX(TransTypes[], Transactions[[#This Row],[TTR]], TT_COL_ShareTransferFlag)=1),
            Transactions[[#This Row],[CostImpact]]*-1,
            Transactions[[#This Row],[CalCashImpact]]
      ),
     0
)</f>
        <v>0</v>
      </c>
      <c r="Y665" s="152" t="str">
        <f>VLOOKUP(Transactions[[#This Row],[Symbol]],Symbols[], COLUMN(Symbols[Currency])-COLUMN(Symbols[])+1,FALSE)</f>
        <v>CNY</v>
      </c>
    </row>
    <row r="666" spans="1:25">
      <c r="A666" s="138" t="s">
        <v>600</v>
      </c>
      <c r="B666" s="139">
        <v>42690</v>
      </c>
      <c r="C666" s="138" t="s">
        <v>113</v>
      </c>
      <c r="D666" s="138" t="s">
        <v>531</v>
      </c>
      <c r="E666" s="140" t="s">
        <v>623</v>
      </c>
      <c r="F666" s="141">
        <v>336.39</v>
      </c>
      <c r="G666" s="142">
        <v>0</v>
      </c>
      <c r="H666" s="141"/>
      <c r="I666" s="141"/>
      <c r="J666" s="143">
        <v>0</v>
      </c>
      <c r="K666" s="6"/>
      <c r="L666" s="20">
        <f>IF(ISNA(MATCH(Transactions[[#This Row],[TransType]],TransTypes[TransType],0)),1,MATCH(Transactions[[#This Row],[TransType]],TransTypes[TransType],0))</f>
        <v>2</v>
      </c>
      <c r="M666" s="144">
        <f>IF( AND( INDEX(TransTypes[],Transactions[[#This Row],[TTR]],TT_COL_GLFlag)=1, INDEX(TransTypes[],Transactions[[#This Row],[TTR]],TT_COL_LONGORSHORT)="S" ),
      Transactions[[#This Row],[PL]],
      IF(INDEX(TransTypes[],Transactions[[#This Row],[TTR]],TT_COL_LONGORSHORT)="S",0,Transactions[[#This Row],[CalCashImpact]])
)</f>
        <v>0</v>
      </c>
      <c r="N666" s="145">
        <f>IF(VLOOKUP(Transactions[[#This Row],[Symbol]],Symbols[],COLUMN(Symbols[Currency])-COLUMN(Symbols[])+1,FALSE)=
       VLOOKUP(Transactions[[#This Row],[Account]],Accounts[],COLUMN(Accounts[Currency])-COLUMN(Accounts[])+1,FALSE),
     Transactions[[#This Row],[OrigCashImpact]],
     0
)</f>
        <v>0</v>
      </c>
      <c r="O66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6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336.39</v>
      </c>
      <c r="Q66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374378.2</v>
      </c>
      <c r="R666" s="41">
        <f>ROW()</f>
        <v>666</v>
      </c>
      <c r="S6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373232.14559192955</v>
      </c>
      <c r="U66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374378.2</v>
      </c>
      <c r="V666" s="150">
        <f>IF(INDEX(TransTypes[],Transactions[[#This Row],[TTR]],TT_COL_GLFlag)=1,Transactions[[#This Row],[CalCashImpact]]+Transactions[[#This Row],[CostImpact]],0)</f>
        <v>0</v>
      </c>
      <c r="W666" s="151">
        <f>Transactions[[#This Row],[Amount]]*INDEX(TransTypes[],Transactions[[#This Row],[TTR]],TT_COL_AmntSign)</f>
        <v>0</v>
      </c>
      <c r="X666" s="151">
        <f>IF(INDEX(TransTypes[],Transactions[[#This Row],[TTR]],TT_COL_LONGORSHORT)="S",
      IF( OR(INDEX(TransTypes[],Transactions[[#This Row],[TTR]],TT_COL_GLFlag)=1, INDEX(TransTypes[], Transactions[[#This Row],[TTR]], TT_COL_ShareTransferFlag)=1),
            Transactions[[#This Row],[CostImpact]]*-1,
            Transactions[[#This Row],[CalCashImpact]]
      ),
     0
)</f>
        <v>0</v>
      </c>
      <c r="Y666" s="152" t="str">
        <f>VLOOKUP(Transactions[[#This Row],[Symbol]],Symbols[], COLUMN(Symbols[Currency])-COLUMN(Symbols[])+1,FALSE)</f>
        <v>CNY</v>
      </c>
    </row>
    <row r="667" spans="1:25">
      <c r="A667" s="138" t="s">
        <v>600</v>
      </c>
      <c r="B667" s="139">
        <v>42710</v>
      </c>
      <c r="C667" s="138" t="s">
        <v>113</v>
      </c>
      <c r="D667" s="138"/>
      <c r="E667" s="140" t="s">
        <v>623</v>
      </c>
      <c r="F667" s="141">
        <v>177900</v>
      </c>
      <c r="G667" s="142">
        <v>1</v>
      </c>
      <c r="H667" s="141">
        <v>0</v>
      </c>
      <c r="I667" s="141"/>
      <c r="J667" s="143">
        <v>177900</v>
      </c>
      <c r="K667" s="6"/>
      <c r="L667" s="20">
        <f>IF(ISNA(MATCH(Transactions[[#This Row],[TransType]],TransTypes[TransType],0)),1,MATCH(Transactions[[#This Row],[TransType]],TransTypes[TransType],0))</f>
        <v>2</v>
      </c>
      <c r="M667" s="144">
        <f>IF( AND( INDEX(TransTypes[],Transactions[[#This Row],[TTR]],TT_COL_GLFlag)=1, INDEX(TransTypes[],Transactions[[#This Row],[TTR]],TT_COL_LONGORSHORT)="S" ),
      Transactions[[#This Row],[PL]],
      IF(INDEX(TransTypes[],Transactions[[#This Row],[TTR]],TT_COL_LONGORSHORT)="S",0,Transactions[[#This Row],[CalCashImpact]])
)</f>
        <v>-177900</v>
      </c>
      <c r="N667" s="145">
        <f>IF(VLOOKUP(Transactions[[#This Row],[Symbol]],Symbols[],COLUMN(Symbols[Currency])-COLUMN(Symbols[])+1,FALSE)=
       VLOOKUP(Transactions[[#This Row],[Account]],Accounts[],COLUMN(Accounts[Currency])-COLUMN(Accounts[])+1,FALSE),
     Transactions[[#This Row],[OrigCashImpact]],
     0
)</f>
        <v>-177900</v>
      </c>
      <c r="O66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-177922.95000000024</v>
      </c>
      <c r="P66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177900</v>
      </c>
      <c r="Q66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552278.19999999995</v>
      </c>
      <c r="R667" s="41">
        <f>ROW()</f>
        <v>667</v>
      </c>
      <c r="S6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177900</v>
      </c>
      <c r="T6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551132.14559192955</v>
      </c>
      <c r="U66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552278.19999999995</v>
      </c>
      <c r="V667" s="150">
        <f>IF(INDEX(TransTypes[],Transactions[[#This Row],[TTR]],TT_COL_GLFlag)=1,Transactions[[#This Row],[CalCashImpact]]+Transactions[[#This Row],[CostImpact]],0)</f>
        <v>0</v>
      </c>
      <c r="W667" s="151">
        <f>Transactions[[#This Row],[Amount]]*INDEX(TransTypes[],Transactions[[#This Row],[TTR]],TT_COL_AmntSign)</f>
        <v>-177900</v>
      </c>
      <c r="X667" s="151">
        <f>IF(INDEX(TransTypes[],Transactions[[#This Row],[TTR]],TT_COL_LONGORSHORT)="S",
      IF( OR(INDEX(TransTypes[],Transactions[[#This Row],[TTR]],TT_COL_GLFlag)=1, INDEX(TransTypes[], Transactions[[#This Row],[TTR]], TT_COL_ShareTransferFlag)=1),
            Transactions[[#This Row],[CostImpact]]*-1,
            Transactions[[#This Row],[CalCashImpact]]
      ),
     0
)</f>
        <v>0</v>
      </c>
      <c r="Y667" s="152" t="str">
        <f>VLOOKUP(Transactions[[#This Row],[Symbol]],Symbols[], COLUMN(Symbols[Currency])-COLUMN(Symbols[])+1,FALSE)</f>
        <v>CNY</v>
      </c>
    </row>
    <row r="668" spans="1:25">
      <c r="A668" s="138" t="s">
        <v>600</v>
      </c>
      <c r="B668" s="139">
        <v>42710</v>
      </c>
      <c r="C668" s="138" t="s">
        <v>115</v>
      </c>
      <c r="D668" s="138"/>
      <c r="E668" s="140" t="s">
        <v>626</v>
      </c>
      <c r="F668" s="141">
        <v>150000</v>
      </c>
      <c r="G668" s="142">
        <v>1.1859999999999999</v>
      </c>
      <c r="H668" s="141">
        <v>0</v>
      </c>
      <c r="I668" s="141"/>
      <c r="J668" s="143">
        <v>177900</v>
      </c>
      <c r="K668" s="6"/>
      <c r="L668" s="20">
        <f>IF(ISNA(MATCH(Transactions[[#This Row],[TransType]],TransTypes[TransType],0)),1,MATCH(Transactions[[#This Row],[TransType]],TransTypes[TransType],0))</f>
        <v>3</v>
      </c>
      <c r="M668" s="144">
        <f>IF( AND( INDEX(TransTypes[],Transactions[[#This Row],[TTR]],TT_COL_GLFlag)=1, INDEX(TransTypes[],Transactions[[#This Row],[TTR]],TT_COL_LONGORSHORT)="S" ),
      Transactions[[#This Row],[PL]],
      IF(INDEX(TransTypes[],Transactions[[#This Row],[TTR]],TT_COL_LONGORSHORT)="S",0,Transactions[[#This Row],[CalCashImpact]])
)</f>
        <v>177900</v>
      </c>
      <c r="N668" s="145">
        <f>IF(VLOOKUP(Transactions[[#This Row],[Symbol]],Symbols[],COLUMN(Symbols[Currency])-COLUMN(Symbols[])+1,FALSE)=
       VLOOKUP(Transactions[[#This Row],[Account]],Accounts[],COLUMN(Accounts[Currency])-COLUMN(Accounts[])+1,FALSE),
     Transactions[[#This Row],[OrigCashImpact]],
     0
)</f>
        <v>177900</v>
      </c>
      <c r="O66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6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-150000</v>
      </c>
      <c r="Q66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313546.64999999991</v>
      </c>
      <c r="R668" s="41">
        <f>ROW()</f>
        <v>668</v>
      </c>
      <c r="S6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-179139.67415061002</v>
      </c>
      <c r="T6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374457.63141343568</v>
      </c>
      <c r="U66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463546.64999999991</v>
      </c>
      <c r="V668" s="150">
        <f>IF(INDEX(TransTypes[],Transactions[[#This Row],[TTR]],TT_COL_GLFlag)=1,Transactions[[#This Row],[CalCashImpact]]+Transactions[[#This Row],[CostImpact]],0)</f>
        <v>-1239.6741506100225</v>
      </c>
      <c r="W668" s="151">
        <f>Transactions[[#This Row],[Amount]]*INDEX(TransTypes[],Transactions[[#This Row],[TTR]],TT_COL_AmntSign)</f>
        <v>177900</v>
      </c>
      <c r="X668" s="151">
        <f>IF(INDEX(TransTypes[],Transactions[[#This Row],[TTR]],TT_COL_LONGORSHORT)="S",
      IF( OR(INDEX(TransTypes[],Transactions[[#This Row],[TTR]],TT_COL_GLFlag)=1, INDEX(TransTypes[], Transactions[[#This Row],[TTR]], TT_COL_ShareTransferFlag)=1),
            Transactions[[#This Row],[CostImpact]]*-1,
            Transactions[[#This Row],[CalCashImpact]]
      ),
     0
)</f>
        <v>0</v>
      </c>
      <c r="Y668" s="152" t="str">
        <f>VLOOKUP(Transactions[[#This Row],[Symbol]],Symbols[], COLUMN(Symbols[Currency])-COLUMN(Symbols[])+1,FALSE)</f>
        <v>CNY</v>
      </c>
    </row>
    <row r="669" spans="1:25">
      <c r="A669" s="138" t="s">
        <v>600</v>
      </c>
      <c r="B669" s="139">
        <v>42711</v>
      </c>
      <c r="C669" s="138" t="s">
        <v>113</v>
      </c>
      <c r="D669" s="138"/>
      <c r="E669" s="140" t="s">
        <v>632</v>
      </c>
      <c r="F669" s="141">
        <v>5017.6000000000004</v>
      </c>
      <c r="G669" s="142">
        <v>1.98999920280612</v>
      </c>
      <c r="H669" s="141">
        <v>14.98</v>
      </c>
      <c r="I669" s="141"/>
      <c r="J669" s="143">
        <v>10000</v>
      </c>
      <c r="K669" s="6"/>
      <c r="L669" s="20">
        <f>IF(ISNA(MATCH(Transactions[[#This Row],[TransType]],TransTypes[TransType],0)),1,MATCH(Transactions[[#This Row],[TransType]],TransTypes[TransType],0))</f>
        <v>2</v>
      </c>
      <c r="M669" s="144">
        <f>IF( AND( INDEX(TransTypes[],Transactions[[#This Row],[TTR]],TT_COL_GLFlag)=1, INDEX(TransTypes[],Transactions[[#This Row],[TTR]],TT_COL_LONGORSHORT)="S" ),
      Transactions[[#This Row],[PL]],
      IF(INDEX(TransTypes[],Transactions[[#This Row],[TTR]],TT_COL_LONGORSHORT)="S",0,Transactions[[#This Row],[CalCashImpact]])
)</f>
        <v>-10000</v>
      </c>
      <c r="N669" s="145">
        <f>IF(VLOOKUP(Transactions[[#This Row],[Symbol]],Symbols[],COLUMN(Symbols[Currency])-COLUMN(Symbols[])+1,FALSE)=
       VLOOKUP(Transactions[[#This Row],[Account]],Accounts[],COLUMN(Accounts[Currency])-COLUMN(Accounts[])+1,FALSE),
     Transactions[[#This Row],[OrigCashImpact]],
     0
)</f>
        <v>-10000</v>
      </c>
      <c r="O66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-10022.950000000244</v>
      </c>
      <c r="P66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5017.6000000000004</v>
      </c>
      <c r="Q66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98821.63</v>
      </c>
      <c r="R669" s="41">
        <f>ROW()</f>
        <v>669</v>
      </c>
      <c r="S6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v>
      </c>
      <c r="T6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210000</v>
      </c>
      <c r="U66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98821.63</v>
      </c>
      <c r="V669" s="150">
        <f>IF(INDEX(TransTypes[],Transactions[[#This Row],[TTR]],TT_COL_GLFlag)=1,Transactions[[#This Row],[CalCashImpact]]+Transactions[[#This Row],[CostImpact]],0)</f>
        <v>0</v>
      </c>
      <c r="W669" s="151">
        <f>Transactions[[#This Row],[Amount]]*INDEX(TransTypes[],Transactions[[#This Row],[TTR]],TT_COL_AmntSign)</f>
        <v>-10000</v>
      </c>
      <c r="X669" s="151">
        <f>IF(INDEX(TransTypes[],Transactions[[#This Row],[TTR]],TT_COL_LONGORSHORT)="S",
      IF( OR(INDEX(TransTypes[],Transactions[[#This Row],[TTR]],TT_COL_GLFlag)=1, INDEX(TransTypes[], Transactions[[#This Row],[TTR]], TT_COL_ShareTransferFlag)=1),
            Transactions[[#This Row],[CostImpact]]*-1,
            Transactions[[#This Row],[CalCashImpact]]
      ),
     0
)</f>
        <v>0</v>
      </c>
      <c r="Y669" s="152" t="str">
        <f>VLOOKUP(Transactions[[#This Row],[Symbol]],Symbols[], COLUMN(Symbols[Currency])-COLUMN(Symbols[])+1,FALSE)</f>
        <v>CNY</v>
      </c>
    </row>
    <row r="670" spans="1:25">
      <c r="A670" s="138" t="s">
        <v>600</v>
      </c>
      <c r="B670" s="139">
        <v>42711</v>
      </c>
      <c r="C670" s="138" t="s">
        <v>113</v>
      </c>
      <c r="D670" s="138"/>
      <c r="E670" s="140" t="s">
        <v>620</v>
      </c>
      <c r="F670" s="141">
        <v>17587.009999999998</v>
      </c>
      <c r="G670" s="142">
        <v>2.2710000164894399</v>
      </c>
      <c r="H670" s="141">
        <v>59.9</v>
      </c>
      <c r="I670" s="141"/>
      <c r="J670" s="143">
        <v>40000</v>
      </c>
      <c r="K670" s="6"/>
      <c r="L670" s="20">
        <f>IF(ISNA(MATCH(Transactions[[#This Row],[TransType]],TransTypes[TransType],0)),1,MATCH(Transactions[[#This Row],[TransType]],TransTypes[TransType],0))</f>
        <v>2</v>
      </c>
      <c r="M670" s="144">
        <f>IF( AND( INDEX(TransTypes[],Transactions[[#This Row],[TTR]],TT_COL_GLFlag)=1, INDEX(TransTypes[],Transactions[[#This Row],[TTR]],TT_COL_LONGORSHORT)="S" ),
      Transactions[[#This Row],[PL]],
      IF(INDEX(TransTypes[],Transactions[[#This Row],[TTR]],TT_COL_LONGORSHORT)="S",0,Transactions[[#This Row],[CalCashImpact]])
)</f>
        <v>-40000</v>
      </c>
      <c r="N670" s="145">
        <f>IF(VLOOKUP(Transactions[[#This Row],[Symbol]],Symbols[],COLUMN(Symbols[Currency])-COLUMN(Symbols[])+1,FALSE)=
       VLOOKUP(Transactions[[#This Row],[Account]],Accounts[],COLUMN(Accounts[Currency])-COLUMN(Accounts[])+1,FALSE),
     Transactions[[#This Row],[OrigCashImpact]],
     0
)</f>
        <v>-40000</v>
      </c>
      <c r="O67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-50022.950000000244</v>
      </c>
      <c r="P67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17587.009999999998</v>
      </c>
      <c r="Q67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166891.98000000001</v>
      </c>
      <c r="R670" s="41">
        <f>ROW()</f>
        <v>670</v>
      </c>
      <c r="S6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40000</v>
      </c>
      <c r="T6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365674</v>
      </c>
      <c r="U67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166891.98000000001</v>
      </c>
      <c r="V670" s="150">
        <f>IF(INDEX(TransTypes[],Transactions[[#This Row],[TTR]],TT_COL_GLFlag)=1,Transactions[[#This Row],[CalCashImpact]]+Transactions[[#This Row],[CostImpact]],0)</f>
        <v>0</v>
      </c>
      <c r="W670" s="151">
        <f>Transactions[[#This Row],[Amount]]*INDEX(TransTypes[],Transactions[[#This Row],[TTR]],TT_COL_AmntSign)</f>
        <v>-40000</v>
      </c>
      <c r="X670" s="151">
        <f>IF(INDEX(TransTypes[],Transactions[[#This Row],[TTR]],TT_COL_LONGORSHORT)="S",
      IF( OR(INDEX(TransTypes[],Transactions[[#This Row],[TTR]],TT_COL_GLFlag)=1, INDEX(TransTypes[], Transactions[[#This Row],[TTR]], TT_COL_ShareTransferFlag)=1),
            Transactions[[#This Row],[CostImpact]]*-1,
            Transactions[[#This Row],[CalCashImpact]]
      ),
     0
)</f>
        <v>0</v>
      </c>
      <c r="Y670" s="152" t="str">
        <f>VLOOKUP(Transactions[[#This Row],[Symbol]],Symbols[], COLUMN(Symbols[Currency])-COLUMN(Symbols[])+1,FALSE)</f>
        <v>CNY</v>
      </c>
    </row>
    <row r="671" spans="1:25">
      <c r="A671" s="138" t="s">
        <v>600</v>
      </c>
      <c r="B671" s="139">
        <v>42711</v>
      </c>
      <c r="C671" s="138" t="s">
        <v>115</v>
      </c>
      <c r="D671" s="138"/>
      <c r="E671" s="140" t="s">
        <v>623</v>
      </c>
      <c r="F671" s="141">
        <v>50000</v>
      </c>
      <c r="G671" s="142">
        <v>1</v>
      </c>
      <c r="H671" s="141">
        <v>0</v>
      </c>
      <c r="I671" s="141"/>
      <c r="J671" s="143">
        <v>50000</v>
      </c>
      <c r="K671" s="6"/>
      <c r="L671" s="20">
        <f>IF(ISNA(MATCH(Transactions[[#This Row],[TransType]],TransTypes[TransType],0)),1,MATCH(Transactions[[#This Row],[TransType]],TransTypes[TransType],0))</f>
        <v>3</v>
      </c>
      <c r="M671" s="144">
        <f>IF( AND( INDEX(TransTypes[],Transactions[[#This Row],[TTR]],TT_COL_GLFlag)=1, INDEX(TransTypes[],Transactions[[#This Row],[TTR]],TT_COL_LONGORSHORT)="S" ),
      Transactions[[#This Row],[PL]],
      IF(INDEX(TransTypes[],Transactions[[#This Row],[TTR]],TT_COL_LONGORSHORT)="S",0,Transactions[[#This Row],[CalCashImpact]])
)</f>
        <v>50000</v>
      </c>
      <c r="N671" s="145">
        <f>IF(VLOOKUP(Transactions[[#This Row],[Symbol]],Symbols[],COLUMN(Symbols[Currency])-COLUMN(Symbols[])+1,FALSE)=
       VLOOKUP(Transactions[[#This Row],[Account]],Accounts[],COLUMN(Accounts[Currency])-COLUMN(Accounts[])+1,FALSE),
     Transactions[[#This Row],[OrigCashImpact]],
     0
)</f>
        <v>50000</v>
      </c>
      <c r="O67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7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67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502278.19999999995</v>
      </c>
      <c r="R671" s="41">
        <f>ROW()</f>
        <v>671</v>
      </c>
      <c r="S6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-49896.243015922919</v>
      </c>
      <c r="T6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501235.90257600666</v>
      </c>
      <c r="U67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552278.19999999995</v>
      </c>
      <c r="V671" s="150">
        <f>IF(INDEX(TransTypes[],Transactions[[#This Row],[TTR]],TT_COL_GLFlag)=1,Transactions[[#This Row],[CalCashImpact]]+Transactions[[#This Row],[CostImpact]],0)</f>
        <v>103.75698407708114</v>
      </c>
      <c r="W671" s="151">
        <f>Transactions[[#This Row],[Amount]]*INDEX(TransTypes[],Transactions[[#This Row],[TTR]],TT_COL_AmntSign)</f>
        <v>50000</v>
      </c>
      <c r="X671" s="151">
        <f>IF(INDEX(TransTypes[],Transactions[[#This Row],[TTR]],TT_COL_LONGORSHORT)="S",
      IF( OR(INDEX(TransTypes[],Transactions[[#This Row],[TTR]],TT_COL_GLFlag)=1, INDEX(TransTypes[], Transactions[[#This Row],[TTR]], TT_COL_ShareTransferFlag)=1),
            Transactions[[#This Row],[CostImpact]]*-1,
            Transactions[[#This Row],[CalCashImpact]]
      ),
     0
)</f>
        <v>0</v>
      </c>
      <c r="Y671" s="152" t="str">
        <f>VLOOKUP(Transactions[[#This Row],[Symbol]],Symbols[], COLUMN(Symbols[Currency])-COLUMN(Symbols[])+1,FALSE)</f>
        <v>CNY</v>
      </c>
    </row>
    <row r="672" spans="1:25">
      <c r="A672" s="138" t="s">
        <v>600</v>
      </c>
      <c r="B672" s="139">
        <v>42713</v>
      </c>
      <c r="C672" s="138" t="s">
        <v>113</v>
      </c>
      <c r="D672" s="138"/>
      <c r="E672" s="140" t="s">
        <v>623</v>
      </c>
      <c r="F672" s="141">
        <v>194502.6</v>
      </c>
      <c r="G672" s="142">
        <v>1</v>
      </c>
      <c r="H672" s="141">
        <v>0</v>
      </c>
      <c r="I672" s="141"/>
      <c r="J672" s="143">
        <v>194502.6</v>
      </c>
      <c r="K672" s="6"/>
      <c r="L672" s="20">
        <f>IF(ISNA(MATCH(Transactions[[#This Row],[TransType]],TransTypes[TransType],0)),1,MATCH(Transactions[[#This Row],[TransType]],TransTypes[TransType],0))</f>
        <v>2</v>
      </c>
      <c r="M672" s="144">
        <f>IF( AND( INDEX(TransTypes[],Transactions[[#This Row],[TTR]],TT_COL_GLFlag)=1, INDEX(TransTypes[],Transactions[[#This Row],[TTR]],TT_COL_LONGORSHORT)="S" ),
      Transactions[[#This Row],[PL]],
      IF(INDEX(TransTypes[],Transactions[[#This Row],[TTR]],TT_COL_LONGORSHORT)="S",0,Transactions[[#This Row],[CalCashImpact]])
)</f>
        <v>-194502.6</v>
      </c>
      <c r="N672" s="145">
        <f>IF(VLOOKUP(Transactions[[#This Row],[Symbol]],Symbols[],COLUMN(Symbols[Currency])-COLUMN(Symbols[])+1,FALSE)=
       VLOOKUP(Transactions[[#This Row],[Account]],Accounts[],COLUMN(Accounts[Currency])-COLUMN(Accounts[])+1,FALSE),
     Transactions[[#This Row],[OrigCashImpact]],
     0
)</f>
        <v>-194502.6</v>
      </c>
      <c r="O67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-194525.55000000025</v>
      </c>
      <c r="P67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194502.6</v>
      </c>
      <c r="Q67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696780.79999999993</v>
      </c>
      <c r="R672" s="41">
        <f>ROW()</f>
        <v>672</v>
      </c>
      <c r="S6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194502.6</v>
      </c>
      <c r="T6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695738.50257600669</v>
      </c>
      <c r="U67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696780.79999999993</v>
      </c>
      <c r="V672" s="150">
        <f>IF(INDEX(TransTypes[],Transactions[[#This Row],[TTR]],TT_COL_GLFlag)=1,Transactions[[#This Row],[CalCashImpact]]+Transactions[[#This Row],[CostImpact]],0)</f>
        <v>0</v>
      </c>
      <c r="W672" s="151">
        <f>Transactions[[#This Row],[Amount]]*INDEX(TransTypes[],Transactions[[#This Row],[TTR]],TT_COL_AmntSign)</f>
        <v>-194502.6</v>
      </c>
      <c r="X672" s="151">
        <f>IF(INDEX(TransTypes[],Transactions[[#This Row],[TTR]],TT_COL_LONGORSHORT)="S",
      IF( OR(INDEX(TransTypes[],Transactions[[#This Row],[TTR]],TT_COL_GLFlag)=1, INDEX(TransTypes[], Transactions[[#This Row],[TTR]], TT_COL_ShareTransferFlag)=1),
            Transactions[[#This Row],[CostImpact]]*-1,
            Transactions[[#This Row],[CalCashImpact]]
      ),
     0
)</f>
        <v>0</v>
      </c>
      <c r="Y672" s="152" t="str">
        <f>VLOOKUP(Transactions[[#This Row],[Symbol]],Symbols[], COLUMN(Symbols[Currency])-COLUMN(Symbols[])+1,FALSE)</f>
        <v>CNY</v>
      </c>
    </row>
    <row r="673" spans="1:25">
      <c r="A673" s="138" t="s">
        <v>600</v>
      </c>
      <c r="B673" s="139">
        <v>42713</v>
      </c>
      <c r="C673" s="138" t="s">
        <v>115</v>
      </c>
      <c r="D673" s="138"/>
      <c r="E673" s="140" t="s">
        <v>635</v>
      </c>
      <c r="F673" s="141">
        <v>40000</v>
      </c>
      <c r="G673" s="142">
        <v>4.8869999999999996</v>
      </c>
      <c r="H673" s="141">
        <v>977.4</v>
      </c>
      <c r="I673" s="141"/>
      <c r="J673" s="143">
        <v>194502.6</v>
      </c>
      <c r="K673" s="6"/>
      <c r="L673" s="20">
        <f>IF(ISNA(MATCH(Transactions[[#This Row],[TransType]],TransTypes[TransType],0)),1,MATCH(Transactions[[#This Row],[TransType]],TransTypes[TransType],0))</f>
        <v>3</v>
      </c>
      <c r="M673" s="144">
        <f>IF( AND( INDEX(TransTypes[],Transactions[[#This Row],[TTR]],TT_COL_GLFlag)=1, INDEX(TransTypes[],Transactions[[#This Row],[TTR]],TT_COL_LONGORSHORT)="S" ),
      Transactions[[#This Row],[PL]],
      IF(INDEX(TransTypes[],Transactions[[#This Row],[TTR]],TT_COL_LONGORSHORT)="S",0,Transactions[[#This Row],[CalCashImpact]])
)</f>
        <v>194502.6</v>
      </c>
      <c r="N673" s="145">
        <f>IF(VLOOKUP(Transactions[[#This Row],[Symbol]],Symbols[],COLUMN(Symbols[Currency])-COLUMN(Symbols[])+1,FALSE)=
       VLOOKUP(Transactions[[#This Row],[Account]],Accounts[],COLUMN(Accounts[Currency])-COLUMN(Accounts[])+1,FALSE),
     Transactions[[#This Row],[OrigCashImpact]],
     0
)</f>
        <v>194502.6</v>
      </c>
      <c r="O67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7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-40000</v>
      </c>
      <c r="Q67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673" s="41">
        <f>ROW()</f>
        <v>673</v>
      </c>
      <c r="S6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-194777.6034193598</v>
      </c>
      <c r="T6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67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39999.999999999993</v>
      </c>
      <c r="V673" s="150">
        <f>IF(INDEX(TransTypes[],Transactions[[#This Row],[TTR]],TT_COL_GLFlag)=1,Transactions[[#This Row],[CalCashImpact]]+Transactions[[#This Row],[CostImpact]],0)</f>
        <v>-275.00341935979668</v>
      </c>
      <c r="W673" s="151">
        <f>Transactions[[#This Row],[Amount]]*INDEX(TransTypes[],Transactions[[#This Row],[TTR]],TT_COL_AmntSign)</f>
        <v>194502.6</v>
      </c>
      <c r="X673" s="151">
        <f>IF(INDEX(TransTypes[],Transactions[[#This Row],[TTR]],TT_COL_LONGORSHORT)="S",
      IF( OR(INDEX(TransTypes[],Transactions[[#This Row],[TTR]],TT_COL_GLFlag)=1, INDEX(TransTypes[], Transactions[[#This Row],[TTR]], TT_COL_ShareTransferFlag)=1),
            Transactions[[#This Row],[CostImpact]]*-1,
            Transactions[[#This Row],[CalCashImpact]]
      ),
     0
)</f>
        <v>0</v>
      </c>
      <c r="Y673" s="152" t="str">
        <f>VLOOKUP(Transactions[[#This Row],[Symbol]],Symbols[], COLUMN(Symbols[Currency])-COLUMN(Symbols[])+1,FALSE)</f>
        <v>CNY</v>
      </c>
    </row>
    <row r="674" spans="1:25">
      <c r="A674" s="138" t="s">
        <v>600</v>
      </c>
      <c r="B674" s="139">
        <v>42720</v>
      </c>
      <c r="C674" s="138" t="s">
        <v>118</v>
      </c>
      <c r="D674" s="138"/>
      <c r="E674" s="140" t="s">
        <v>623</v>
      </c>
      <c r="F674" s="141"/>
      <c r="G674" s="142"/>
      <c r="H674" s="141"/>
      <c r="I674" s="141"/>
      <c r="J674" s="143">
        <v>0</v>
      </c>
      <c r="K674" s="6"/>
      <c r="L674" s="20">
        <f>IF(ISNA(MATCH(Transactions[[#This Row],[TransType]],TransTypes[TransType],0)),1,MATCH(Transactions[[#This Row],[TransType]],TransTypes[TransType],0))</f>
        <v>4</v>
      </c>
      <c r="M674" s="144">
        <f>IF( AND( INDEX(TransTypes[],Transactions[[#This Row],[TTR]],TT_COL_GLFlag)=1, INDEX(TransTypes[],Transactions[[#This Row],[TTR]],TT_COL_LONGORSHORT)="S" ),
      Transactions[[#This Row],[PL]],
      IF(INDEX(TransTypes[],Transactions[[#This Row],[TTR]],TT_COL_LONGORSHORT)="S",0,Transactions[[#This Row],[CalCashImpact]])
)</f>
        <v>0</v>
      </c>
      <c r="N674" s="145">
        <f>IF(VLOOKUP(Transactions[[#This Row],[Symbol]],Symbols[],COLUMN(Symbols[Currency])-COLUMN(Symbols[])+1,FALSE)=
       VLOOKUP(Transactions[[#This Row],[Account]],Accounts[],COLUMN(Accounts[Currency])-COLUMN(Accounts[])+1,FALSE),
     Transactions[[#This Row],[OrigCashImpact]],
     0
)</f>
        <v>0</v>
      </c>
      <c r="O67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7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7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696780.79999999993</v>
      </c>
      <c r="R674" s="41">
        <f>ROW()</f>
        <v>674</v>
      </c>
      <c r="S6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695738.50257600669</v>
      </c>
      <c r="U67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696780.79999999993</v>
      </c>
      <c r="V674" s="150">
        <f>IF(INDEX(TransTypes[],Transactions[[#This Row],[TTR]],TT_COL_GLFlag)=1,Transactions[[#This Row],[CalCashImpact]]+Transactions[[#This Row],[CostImpact]],0)</f>
        <v>0</v>
      </c>
      <c r="W674" s="151">
        <f>Transactions[[#This Row],[Amount]]*INDEX(TransTypes[],Transactions[[#This Row],[TTR]],TT_COL_AmntSign)</f>
        <v>0</v>
      </c>
      <c r="X674" s="151">
        <f>IF(INDEX(TransTypes[],Transactions[[#This Row],[TTR]],TT_COL_LONGORSHORT)="S",
      IF( OR(INDEX(TransTypes[],Transactions[[#This Row],[TTR]],TT_COL_GLFlag)=1, INDEX(TransTypes[], Transactions[[#This Row],[TTR]], TT_COL_ShareTransferFlag)=1),
            Transactions[[#This Row],[CostImpact]]*-1,
            Transactions[[#This Row],[CalCashImpact]]
      ),
     0
)</f>
        <v>0</v>
      </c>
      <c r="Y674" s="152" t="str">
        <f>VLOOKUP(Transactions[[#This Row],[Symbol]],Symbols[], COLUMN(Symbols[Currency])-COLUMN(Symbols[])+1,FALSE)</f>
        <v>CNY</v>
      </c>
    </row>
    <row r="675" spans="1:25">
      <c r="A675" s="138" t="s">
        <v>600</v>
      </c>
      <c r="B675" s="139">
        <v>42720</v>
      </c>
      <c r="C675" s="138" t="s">
        <v>113</v>
      </c>
      <c r="D675" s="138" t="s">
        <v>531</v>
      </c>
      <c r="E675" s="140" t="s">
        <v>623</v>
      </c>
      <c r="F675" s="141">
        <v>834.97</v>
      </c>
      <c r="G675" s="142">
        <v>0</v>
      </c>
      <c r="H675" s="141"/>
      <c r="I675" s="141"/>
      <c r="J675" s="143">
        <v>0</v>
      </c>
      <c r="K675" s="6"/>
      <c r="L675" s="20">
        <f>IF(ISNA(MATCH(Transactions[[#This Row],[TransType]],TransTypes[TransType],0)),1,MATCH(Transactions[[#This Row],[TransType]],TransTypes[TransType],0))</f>
        <v>2</v>
      </c>
      <c r="M675" s="144">
        <f>IF( AND( INDEX(TransTypes[],Transactions[[#This Row],[TTR]],TT_COL_GLFlag)=1, INDEX(TransTypes[],Transactions[[#This Row],[TTR]],TT_COL_LONGORSHORT)="S" ),
      Transactions[[#This Row],[PL]],
      IF(INDEX(TransTypes[],Transactions[[#This Row],[TTR]],TT_COL_LONGORSHORT)="S",0,Transactions[[#This Row],[CalCashImpact]])
)</f>
        <v>0</v>
      </c>
      <c r="N675" s="145">
        <f>IF(VLOOKUP(Transactions[[#This Row],[Symbol]],Symbols[],COLUMN(Symbols[Currency])-COLUMN(Symbols[])+1,FALSE)=
       VLOOKUP(Transactions[[#This Row],[Account]],Accounts[],COLUMN(Accounts[Currency])-COLUMN(Accounts[])+1,FALSE),
     Transactions[[#This Row],[OrigCashImpact]],
     0
)</f>
        <v>0</v>
      </c>
      <c r="O67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7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834.97</v>
      </c>
      <c r="Q67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697615.7699999999</v>
      </c>
      <c r="R675" s="41">
        <f>ROW()</f>
        <v>675</v>
      </c>
      <c r="S6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695738.50257600669</v>
      </c>
      <c r="U67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697615.7699999999</v>
      </c>
      <c r="V675" s="150">
        <f>IF(INDEX(TransTypes[],Transactions[[#This Row],[TTR]],TT_COL_GLFlag)=1,Transactions[[#This Row],[CalCashImpact]]+Transactions[[#This Row],[CostImpact]],0)</f>
        <v>0</v>
      </c>
      <c r="W675" s="151">
        <f>Transactions[[#This Row],[Amount]]*INDEX(TransTypes[],Transactions[[#This Row],[TTR]],TT_COL_AmntSign)</f>
        <v>0</v>
      </c>
      <c r="X675" s="151">
        <f>IF(INDEX(TransTypes[],Transactions[[#This Row],[TTR]],TT_COL_LONGORSHORT)="S",
      IF( OR(INDEX(TransTypes[],Transactions[[#This Row],[TTR]],TT_COL_GLFlag)=1, INDEX(TransTypes[], Transactions[[#This Row],[TTR]], TT_COL_ShareTransferFlag)=1),
            Transactions[[#This Row],[CostImpact]]*-1,
            Transactions[[#This Row],[CalCashImpact]]
      ),
     0
)</f>
        <v>0</v>
      </c>
      <c r="Y675" s="152" t="str">
        <f>VLOOKUP(Transactions[[#This Row],[Symbol]],Symbols[], COLUMN(Symbols[Currency])-COLUMN(Symbols[])+1,FALSE)</f>
        <v>CNY</v>
      </c>
    </row>
    <row r="676" spans="1:25">
      <c r="A676" s="138" t="s">
        <v>600</v>
      </c>
      <c r="B676" s="139">
        <v>42739</v>
      </c>
      <c r="C676" s="138" t="s">
        <v>113</v>
      </c>
      <c r="D676" s="138"/>
      <c r="E676" s="140" t="s">
        <v>632</v>
      </c>
      <c r="F676" s="141">
        <v>5030.24</v>
      </c>
      <c r="G676" s="142">
        <v>1.9850007156716101</v>
      </c>
      <c r="H676" s="141">
        <v>14.97</v>
      </c>
      <c r="I676" s="141"/>
      <c r="J676" s="143">
        <v>10000</v>
      </c>
      <c r="K676" s="6"/>
      <c r="L676" s="20">
        <f>IF(ISNA(MATCH(Transactions[[#This Row],[TransType]],TransTypes[TransType],0)),1,MATCH(Transactions[[#This Row],[TransType]],TransTypes[TransType],0))</f>
        <v>2</v>
      </c>
      <c r="M676" s="144">
        <f>IF( AND( INDEX(TransTypes[],Transactions[[#This Row],[TTR]],TT_COL_GLFlag)=1, INDEX(TransTypes[],Transactions[[#This Row],[TTR]],TT_COL_LONGORSHORT)="S" ),
      Transactions[[#This Row],[PL]],
      IF(INDEX(TransTypes[],Transactions[[#This Row],[TTR]],TT_COL_LONGORSHORT)="S",0,Transactions[[#This Row],[CalCashImpact]])
)</f>
        <v>-10000</v>
      </c>
      <c r="N676" s="145">
        <f>IF(VLOOKUP(Transactions[[#This Row],[Symbol]],Symbols[],COLUMN(Symbols[Currency])-COLUMN(Symbols[])+1,FALSE)=
       VLOOKUP(Transactions[[#This Row],[Account]],Accounts[],COLUMN(Accounts[Currency])-COLUMN(Accounts[])+1,FALSE),
     Transactions[[#This Row],[OrigCashImpact]],
     0
)</f>
        <v>-10000</v>
      </c>
      <c r="O67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-10022.950000000244</v>
      </c>
      <c r="P67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5030.24</v>
      </c>
      <c r="Q67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103851.87000000001</v>
      </c>
      <c r="R676" s="41">
        <f>ROW()</f>
        <v>676</v>
      </c>
      <c r="S6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v>
      </c>
      <c r="T6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220000</v>
      </c>
      <c r="U67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103851.87000000001</v>
      </c>
      <c r="V676" s="150">
        <f>IF(INDEX(TransTypes[],Transactions[[#This Row],[TTR]],TT_COL_GLFlag)=1,Transactions[[#This Row],[CalCashImpact]]+Transactions[[#This Row],[CostImpact]],0)</f>
        <v>0</v>
      </c>
      <c r="W676" s="151">
        <f>Transactions[[#This Row],[Amount]]*INDEX(TransTypes[],Transactions[[#This Row],[TTR]],TT_COL_AmntSign)</f>
        <v>-10000</v>
      </c>
      <c r="X676" s="151">
        <f>IF(INDEX(TransTypes[],Transactions[[#This Row],[TTR]],TT_COL_LONGORSHORT)="S",
      IF( OR(INDEX(TransTypes[],Transactions[[#This Row],[TTR]],TT_COL_GLFlag)=1, INDEX(TransTypes[], Transactions[[#This Row],[TTR]], TT_COL_ShareTransferFlag)=1),
            Transactions[[#This Row],[CostImpact]]*-1,
            Transactions[[#This Row],[CalCashImpact]]
      ),
     0
)</f>
        <v>0</v>
      </c>
      <c r="Y676" s="152" t="str">
        <f>VLOOKUP(Transactions[[#This Row],[Symbol]],Symbols[], COLUMN(Symbols[Currency])-COLUMN(Symbols[])+1,FALSE)</f>
        <v>CNY</v>
      </c>
    </row>
    <row r="677" spans="1:25">
      <c r="A677" s="138" t="s">
        <v>600</v>
      </c>
      <c r="B677" s="139">
        <v>42739</v>
      </c>
      <c r="C677" s="138" t="s">
        <v>113</v>
      </c>
      <c r="D677" s="138"/>
      <c r="E677" s="140" t="s">
        <v>620</v>
      </c>
      <c r="F677" s="141">
        <v>89032.75</v>
      </c>
      <c r="G677" s="142">
        <v>2.2430000196556801</v>
      </c>
      <c r="H677" s="141">
        <v>299.54000000000002</v>
      </c>
      <c r="I677" s="141"/>
      <c r="J677" s="143">
        <v>200000</v>
      </c>
      <c r="K677" s="6"/>
      <c r="L677" s="20">
        <f>IF(ISNA(MATCH(Transactions[[#This Row],[TransType]],TransTypes[TransType],0)),1,MATCH(Transactions[[#This Row],[TransType]],TransTypes[TransType],0))</f>
        <v>2</v>
      </c>
      <c r="M677" s="144">
        <f>IF( AND( INDEX(TransTypes[],Transactions[[#This Row],[TTR]],TT_COL_GLFlag)=1, INDEX(TransTypes[],Transactions[[#This Row],[TTR]],TT_COL_LONGORSHORT)="S" ),
      Transactions[[#This Row],[PL]],
      IF(INDEX(TransTypes[],Transactions[[#This Row],[TTR]],TT_COL_LONGORSHORT)="S",0,Transactions[[#This Row],[CalCashImpact]])
)</f>
        <v>-200000</v>
      </c>
      <c r="N677" s="145">
        <f>IF(VLOOKUP(Transactions[[#This Row],[Symbol]],Symbols[],COLUMN(Symbols[Currency])-COLUMN(Symbols[])+1,FALSE)=
       VLOOKUP(Transactions[[#This Row],[Account]],Accounts[],COLUMN(Accounts[Currency])-COLUMN(Accounts[])+1,FALSE),
     Transactions[[#This Row],[OrigCashImpact]],
     0
)</f>
        <v>-200000</v>
      </c>
      <c r="O67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-210022.95000000024</v>
      </c>
      <c r="P67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89032.75</v>
      </c>
      <c r="Q67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255924.73</v>
      </c>
      <c r="R677" s="41">
        <f>ROW()</f>
        <v>677</v>
      </c>
      <c r="S6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200000</v>
      </c>
      <c r="T6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565674</v>
      </c>
      <c r="U67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255924.73</v>
      </c>
      <c r="V677" s="150">
        <f>IF(INDEX(TransTypes[],Transactions[[#This Row],[TTR]],TT_COL_GLFlag)=1,Transactions[[#This Row],[CalCashImpact]]+Transactions[[#This Row],[CostImpact]],0)</f>
        <v>0</v>
      </c>
      <c r="W677" s="151">
        <f>Transactions[[#This Row],[Amount]]*INDEX(TransTypes[],Transactions[[#This Row],[TTR]],TT_COL_AmntSign)</f>
        <v>-200000</v>
      </c>
      <c r="X677" s="151">
        <f>IF(INDEX(TransTypes[],Transactions[[#This Row],[TTR]],TT_COL_LONGORSHORT)="S",
      IF( OR(INDEX(TransTypes[],Transactions[[#This Row],[TTR]],TT_COL_GLFlag)=1, INDEX(TransTypes[], Transactions[[#This Row],[TTR]], TT_COL_ShareTransferFlag)=1),
            Transactions[[#This Row],[CostImpact]]*-1,
            Transactions[[#This Row],[CalCashImpact]]
      ),
     0
)</f>
        <v>0</v>
      </c>
      <c r="Y677" s="152" t="str">
        <f>VLOOKUP(Transactions[[#This Row],[Symbol]],Symbols[], COLUMN(Symbols[Currency])-COLUMN(Symbols[])+1,FALSE)</f>
        <v>CNY</v>
      </c>
    </row>
    <row r="678" spans="1:25">
      <c r="A678" s="138" t="s">
        <v>600</v>
      </c>
      <c r="B678" s="139">
        <v>42739</v>
      </c>
      <c r="C678" s="138" t="s">
        <v>115</v>
      </c>
      <c r="D678" s="138"/>
      <c r="E678" s="140" t="s">
        <v>623</v>
      </c>
      <c r="F678" s="141">
        <v>210000</v>
      </c>
      <c r="G678" s="142">
        <v>1</v>
      </c>
      <c r="H678" s="141">
        <v>0</v>
      </c>
      <c r="I678" s="141"/>
      <c r="J678" s="143">
        <v>210000</v>
      </c>
      <c r="K678" s="6"/>
      <c r="L678" s="20">
        <f>IF(ISNA(MATCH(Transactions[[#This Row],[TransType]],TransTypes[TransType],0)),1,MATCH(Transactions[[#This Row],[TransType]],TransTypes[TransType],0))</f>
        <v>3</v>
      </c>
      <c r="M678" s="144">
        <f>IF( AND( INDEX(TransTypes[],Transactions[[#This Row],[TTR]],TT_COL_GLFlag)=1, INDEX(TransTypes[],Transactions[[#This Row],[TTR]],TT_COL_LONGORSHORT)="S" ),
      Transactions[[#This Row],[PL]],
      IF(INDEX(TransTypes[],Transactions[[#This Row],[TTR]],TT_COL_LONGORSHORT)="S",0,Transactions[[#This Row],[CalCashImpact]])
)</f>
        <v>210000</v>
      </c>
      <c r="N678" s="145">
        <f>IF(VLOOKUP(Transactions[[#This Row],[Symbol]],Symbols[],COLUMN(Symbols[Currency])-COLUMN(Symbols[])+1,FALSE)=
       VLOOKUP(Transactions[[#This Row],[Account]],Accounts[],COLUMN(Accounts[Currency])-COLUMN(Accounts[])+1,FALSE),
     Transactions[[#This Row],[OrigCashImpact]],
     0
)</f>
        <v>210000</v>
      </c>
      <c r="O67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7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-210000</v>
      </c>
      <c r="Q67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487615.7699999999</v>
      </c>
      <c r="R678" s="41">
        <f>ROW()</f>
        <v>678</v>
      </c>
      <c r="S6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-209434.89500095652</v>
      </c>
      <c r="T6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486303.60757505021</v>
      </c>
      <c r="U67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697615.7699999999</v>
      </c>
      <c r="V678" s="150">
        <f>IF(INDEX(TransTypes[],Transactions[[#This Row],[TTR]],TT_COL_GLFlag)=1,Transactions[[#This Row],[CalCashImpact]]+Transactions[[#This Row],[CostImpact]],0)</f>
        <v>565.10499904348399</v>
      </c>
      <c r="W678" s="151">
        <f>Transactions[[#This Row],[Amount]]*INDEX(TransTypes[],Transactions[[#This Row],[TTR]],TT_COL_AmntSign)</f>
        <v>210000</v>
      </c>
      <c r="X678" s="151">
        <f>IF(INDEX(TransTypes[],Transactions[[#This Row],[TTR]],TT_COL_LONGORSHORT)="S",
      IF( OR(INDEX(TransTypes[],Transactions[[#This Row],[TTR]],TT_COL_GLFlag)=1, INDEX(TransTypes[], Transactions[[#This Row],[TTR]], TT_COL_ShareTransferFlag)=1),
            Transactions[[#This Row],[CostImpact]]*-1,
            Transactions[[#This Row],[CalCashImpact]]
      ),
     0
)</f>
        <v>0</v>
      </c>
      <c r="Y678" s="152" t="str">
        <f>VLOOKUP(Transactions[[#This Row],[Symbol]],Symbols[], COLUMN(Symbols[Currency])-COLUMN(Symbols[])+1,FALSE)</f>
        <v>CNY</v>
      </c>
    </row>
    <row r="679" spans="1:25">
      <c r="A679" s="138" t="s">
        <v>600</v>
      </c>
      <c r="B679" s="139">
        <v>42751</v>
      </c>
      <c r="C679" s="138" t="s">
        <v>118</v>
      </c>
      <c r="D679" s="138"/>
      <c r="E679" s="140" t="s">
        <v>623</v>
      </c>
      <c r="F679" s="141"/>
      <c r="G679" s="142"/>
      <c r="H679" s="141"/>
      <c r="I679" s="141"/>
      <c r="J679" s="143">
        <v>0</v>
      </c>
      <c r="K679" s="6"/>
      <c r="L679" s="20">
        <f>IF(ISNA(MATCH(Transactions[[#This Row],[TransType]],TransTypes[TransType],0)),1,MATCH(Transactions[[#This Row],[TransType]],TransTypes[TransType],0))</f>
        <v>4</v>
      </c>
      <c r="M679" s="144">
        <f>IF( AND( INDEX(TransTypes[],Transactions[[#This Row],[TTR]],TT_COL_GLFlag)=1, INDEX(TransTypes[],Transactions[[#This Row],[TTR]],TT_COL_LONGORSHORT)="S" ),
      Transactions[[#This Row],[PL]],
      IF(INDEX(TransTypes[],Transactions[[#This Row],[TTR]],TT_COL_LONGORSHORT)="S",0,Transactions[[#This Row],[CalCashImpact]])
)</f>
        <v>0</v>
      </c>
      <c r="N679" s="145">
        <f>IF(VLOOKUP(Transactions[[#This Row],[Symbol]],Symbols[],COLUMN(Symbols[Currency])-COLUMN(Symbols[])+1,FALSE)=
       VLOOKUP(Transactions[[#This Row],[Account]],Accounts[],COLUMN(Accounts[Currency])-COLUMN(Accounts[])+1,FALSE),
     Transactions[[#This Row],[OrigCashImpact]],
     0
)</f>
        <v>0</v>
      </c>
      <c r="O67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7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7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487615.7699999999</v>
      </c>
      <c r="R679" s="41">
        <f>ROW()</f>
        <v>679</v>
      </c>
      <c r="S6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486303.60757505021</v>
      </c>
      <c r="U67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487615.7699999999</v>
      </c>
      <c r="V679" s="150">
        <f>IF(INDEX(TransTypes[],Transactions[[#This Row],[TTR]],TT_COL_GLFlag)=1,Transactions[[#This Row],[CalCashImpact]]+Transactions[[#This Row],[CostImpact]],0)</f>
        <v>0</v>
      </c>
      <c r="W679" s="151">
        <f>Transactions[[#This Row],[Amount]]*INDEX(TransTypes[],Transactions[[#This Row],[TTR]],TT_COL_AmntSign)</f>
        <v>0</v>
      </c>
      <c r="X679" s="151">
        <f>IF(INDEX(TransTypes[],Transactions[[#This Row],[TTR]],TT_COL_LONGORSHORT)="S",
      IF( OR(INDEX(TransTypes[],Transactions[[#This Row],[TTR]],TT_COL_GLFlag)=1, INDEX(TransTypes[], Transactions[[#This Row],[TTR]], TT_COL_ShareTransferFlag)=1),
            Transactions[[#This Row],[CostImpact]]*-1,
            Transactions[[#This Row],[CalCashImpact]]
      ),
     0
)</f>
        <v>0</v>
      </c>
      <c r="Y679" s="152" t="str">
        <f>VLOOKUP(Transactions[[#This Row],[Symbol]],Symbols[], COLUMN(Symbols[Currency])-COLUMN(Symbols[])+1,FALSE)</f>
        <v>CNY</v>
      </c>
    </row>
    <row r="680" spans="1:25">
      <c r="A680" s="138" t="s">
        <v>600</v>
      </c>
      <c r="B680" s="139">
        <v>42751</v>
      </c>
      <c r="C680" s="138" t="s">
        <v>113</v>
      </c>
      <c r="D680" s="138" t="s">
        <v>531</v>
      </c>
      <c r="E680" s="140" t="s">
        <v>623</v>
      </c>
      <c r="F680" s="141">
        <v>1418.75</v>
      </c>
      <c r="G680" s="142">
        <v>0</v>
      </c>
      <c r="H680" s="141"/>
      <c r="I680" s="141"/>
      <c r="J680" s="143">
        <v>0</v>
      </c>
      <c r="K680" s="6"/>
      <c r="L680" s="20">
        <f>IF(ISNA(MATCH(Transactions[[#This Row],[TransType]],TransTypes[TransType],0)),1,MATCH(Transactions[[#This Row],[TransType]],TransTypes[TransType],0))</f>
        <v>2</v>
      </c>
      <c r="M680" s="144">
        <f>IF( AND( INDEX(TransTypes[],Transactions[[#This Row],[TTR]],TT_COL_GLFlag)=1, INDEX(TransTypes[],Transactions[[#This Row],[TTR]],TT_COL_LONGORSHORT)="S" ),
      Transactions[[#This Row],[PL]],
      IF(INDEX(TransTypes[],Transactions[[#This Row],[TTR]],TT_COL_LONGORSHORT)="S",0,Transactions[[#This Row],[CalCashImpact]])
)</f>
        <v>0</v>
      </c>
      <c r="N680" s="145">
        <f>IF(VLOOKUP(Transactions[[#This Row],[Symbol]],Symbols[],COLUMN(Symbols[Currency])-COLUMN(Symbols[])+1,FALSE)=
       VLOOKUP(Transactions[[#This Row],[Account]],Accounts[],COLUMN(Accounts[Currency])-COLUMN(Accounts[])+1,FALSE),
     Transactions[[#This Row],[OrigCashImpact]],
     0
)</f>
        <v>0</v>
      </c>
      <c r="O68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8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1418.75</v>
      </c>
      <c r="Q68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489034.5199999999</v>
      </c>
      <c r="R680" s="41">
        <f>ROW()</f>
        <v>680</v>
      </c>
      <c r="S6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486303.60757505021</v>
      </c>
      <c r="U68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489034.5199999999</v>
      </c>
      <c r="V680" s="150">
        <f>IF(INDEX(TransTypes[],Transactions[[#This Row],[TTR]],TT_COL_GLFlag)=1,Transactions[[#This Row],[CalCashImpact]]+Transactions[[#This Row],[CostImpact]],0)</f>
        <v>0</v>
      </c>
      <c r="W680" s="151">
        <f>Transactions[[#This Row],[Amount]]*INDEX(TransTypes[],Transactions[[#This Row],[TTR]],TT_COL_AmntSign)</f>
        <v>0</v>
      </c>
      <c r="X680" s="151">
        <f>IF(INDEX(TransTypes[],Transactions[[#This Row],[TTR]],TT_COL_LONGORSHORT)="S",
      IF( OR(INDEX(TransTypes[],Transactions[[#This Row],[TTR]],TT_COL_GLFlag)=1, INDEX(TransTypes[], Transactions[[#This Row],[TTR]], TT_COL_ShareTransferFlag)=1),
            Transactions[[#This Row],[CostImpact]]*-1,
            Transactions[[#This Row],[CalCashImpact]]
      ),
     0
)</f>
        <v>0</v>
      </c>
      <c r="Y680" s="152" t="str">
        <f>VLOOKUP(Transactions[[#This Row],[Symbol]],Symbols[], COLUMN(Symbols[Currency])-COLUMN(Symbols[])+1,FALSE)</f>
        <v>CNY</v>
      </c>
    </row>
    <row r="681" spans="1:25">
      <c r="A681" s="138" t="s">
        <v>600</v>
      </c>
      <c r="B681" s="139">
        <v>42752</v>
      </c>
      <c r="C681" s="138" t="s">
        <v>115</v>
      </c>
      <c r="D681" s="138"/>
      <c r="E681" s="140" t="s">
        <v>623</v>
      </c>
      <c r="F681" s="141">
        <v>60000</v>
      </c>
      <c r="G681" s="142">
        <v>1</v>
      </c>
      <c r="H681" s="141">
        <v>0</v>
      </c>
      <c r="I681" s="141"/>
      <c r="J681" s="143">
        <v>60000</v>
      </c>
      <c r="K681" s="6"/>
      <c r="L681" s="20">
        <f>IF(ISNA(MATCH(Transactions[[#This Row],[TransType]],TransTypes[TransType],0)),1,MATCH(Transactions[[#This Row],[TransType]],TransTypes[TransType],0))</f>
        <v>3</v>
      </c>
      <c r="M681" s="144">
        <f>IF( AND( INDEX(TransTypes[],Transactions[[#This Row],[TTR]],TT_COL_GLFlag)=1, INDEX(TransTypes[],Transactions[[#This Row],[TTR]],TT_COL_LONGORSHORT)="S" ),
      Transactions[[#This Row],[PL]],
      IF(INDEX(TransTypes[],Transactions[[#This Row],[TTR]],TT_COL_LONGORSHORT)="S",0,Transactions[[#This Row],[CalCashImpact]])
)</f>
        <v>60000</v>
      </c>
      <c r="N681" s="145">
        <f>IF(VLOOKUP(Transactions[[#This Row],[Symbol]],Symbols[],COLUMN(Symbols[Currency])-COLUMN(Symbols[])+1,FALSE)=
       VLOOKUP(Transactions[[#This Row],[Account]],Accounts[],COLUMN(Accounts[Currency])-COLUMN(Accounts[])+1,FALSE),
     Transactions[[#This Row],[OrigCashImpact]],
     0
)</f>
        <v>60000</v>
      </c>
      <c r="O68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59977.049999999756</v>
      </c>
      <c r="P68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68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429034.5199999999</v>
      </c>
      <c r="R681" s="41">
        <f>ROW()</f>
        <v>681</v>
      </c>
      <c r="S6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-59664.942373603852</v>
      </c>
      <c r="T6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426638.66520144633</v>
      </c>
      <c r="U68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489034.5199999999</v>
      </c>
      <c r="V681" s="150">
        <f>IF(INDEX(TransTypes[],Transactions[[#This Row],[TTR]],TT_COL_GLFlag)=1,Transactions[[#This Row],[CalCashImpact]]+Transactions[[#This Row],[CostImpact]],0)</f>
        <v>335.05762639614841</v>
      </c>
      <c r="W681" s="151">
        <f>Transactions[[#This Row],[Amount]]*INDEX(TransTypes[],Transactions[[#This Row],[TTR]],TT_COL_AmntSign)</f>
        <v>60000</v>
      </c>
      <c r="X681" s="151">
        <f>IF(INDEX(TransTypes[],Transactions[[#This Row],[TTR]],TT_COL_LONGORSHORT)="S",
      IF( OR(INDEX(TransTypes[],Transactions[[#This Row],[TTR]],TT_COL_GLFlag)=1, INDEX(TransTypes[], Transactions[[#This Row],[TTR]], TT_COL_ShareTransferFlag)=1),
            Transactions[[#This Row],[CostImpact]]*-1,
            Transactions[[#This Row],[CalCashImpact]]
      ),
     0
)</f>
        <v>0</v>
      </c>
      <c r="Y681" s="152" t="str">
        <f>VLOOKUP(Transactions[[#This Row],[Symbol]],Symbols[], COLUMN(Symbols[Currency])-COLUMN(Symbols[])+1,FALSE)</f>
        <v>CNY</v>
      </c>
    </row>
    <row r="682" spans="1:25">
      <c r="A682" s="138" t="s">
        <v>600</v>
      </c>
      <c r="B682" s="139">
        <v>42753</v>
      </c>
      <c r="C682" s="138" t="s">
        <v>113</v>
      </c>
      <c r="D682" s="138"/>
      <c r="E682" s="140" t="s">
        <v>620</v>
      </c>
      <c r="F682" s="141">
        <v>22202.75</v>
      </c>
      <c r="G682" s="142">
        <v>2.24859983560594</v>
      </c>
      <c r="H682" s="141">
        <v>74.900000000000006</v>
      </c>
      <c r="I682" s="141"/>
      <c r="J682" s="143">
        <v>50000</v>
      </c>
      <c r="K682" s="6"/>
      <c r="L682" s="20">
        <f>IF(ISNA(MATCH(Transactions[[#This Row],[TransType]],TransTypes[TransType],0)),1,MATCH(Transactions[[#This Row],[TransType]],TransTypes[TransType],0))</f>
        <v>2</v>
      </c>
      <c r="M682" s="144">
        <f>IF( AND( INDEX(TransTypes[],Transactions[[#This Row],[TTR]],TT_COL_GLFlag)=1, INDEX(TransTypes[],Transactions[[#This Row],[TTR]],TT_COL_LONGORSHORT)="S" ),
      Transactions[[#This Row],[PL]],
      IF(INDEX(TransTypes[],Transactions[[#This Row],[TTR]],TT_COL_LONGORSHORT)="S",0,Transactions[[#This Row],[CalCashImpact]])
)</f>
        <v>-50000</v>
      </c>
      <c r="N682" s="145">
        <f>IF(VLOOKUP(Transactions[[#This Row],[Symbol]],Symbols[],COLUMN(Symbols[Currency])-COLUMN(Symbols[])+1,FALSE)=
       VLOOKUP(Transactions[[#This Row],[Account]],Accounts[],COLUMN(Accounts[Currency])-COLUMN(Accounts[])+1,FALSE),
     Transactions[[#This Row],[OrigCashImpact]],
     0
)</f>
        <v>-50000</v>
      </c>
      <c r="O68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9977.0499999997555</v>
      </c>
      <c r="P68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22202.75</v>
      </c>
      <c r="Q68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278127.48</v>
      </c>
      <c r="R682" s="41">
        <f>ROW()</f>
        <v>682</v>
      </c>
      <c r="S6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50000</v>
      </c>
      <c r="T6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615674</v>
      </c>
      <c r="U68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278127.48</v>
      </c>
      <c r="V682" s="150">
        <f>IF(INDEX(TransTypes[],Transactions[[#This Row],[TTR]],TT_COL_GLFlag)=1,Transactions[[#This Row],[CalCashImpact]]+Transactions[[#This Row],[CostImpact]],0)</f>
        <v>0</v>
      </c>
      <c r="W682" s="151">
        <f>Transactions[[#This Row],[Amount]]*INDEX(TransTypes[],Transactions[[#This Row],[TTR]],TT_COL_AmntSign)</f>
        <v>-50000</v>
      </c>
      <c r="X682" s="151">
        <f>IF(INDEX(TransTypes[],Transactions[[#This Row],[TTR]],TT_COL_LONGORSHORT)="S",
      IF( OR(INDEX(TransTypes[],Transactions[[#This Row],[TTR]],TT_COL_GLFlag)=1, INDEX(TransTypes[], Transactions[[#This Row],[TTR]], TT_COL_ShareTransferFlag)=1),
            Transactions[[#This Row],[CostImpact]]*-1,
            Transactions[[#This Row],[CalCashImpact]]
      ),
     0
)</f>
        <v>0</v>
      </c>
      <c r="Y682" s="152" t="str">
        <f>VLOOKUP(Transactions[[#This Row],[Symbol]],Symbols[], COLUMN(Symbols[Currency])-COLUMN(Symbols[])+1,FALSE)</f>
        <v>CNY</v>
      </c>
    </row>
    <row r="683" spans="1:25">
      <c r="A683" s="138" t="s">
        <v>600</v>
      </c>
      <c r="B683" s="139">
        <v>42753</v>
      </c>
      <c r="C683" s="138" t="s">
        <v>113</v>
      </c>
      <c r="D683" s="138"/>
      <c r="E683" s="140" t="s">
        <v>632</v>
      </c>
      <c r="F683" s="141">
        <v>5333.88</v>
      </c>
      <c r="G683" s="142">
        <v>1.8719993700645601</v>
      </c>
      <c r="H683" s="141">
        <v>14.98</v>
      </c>
      <c r="I683" s="141"/>
      <c r="J683" s="143">
        <v>10000</v>
      </c>
      <c r="K683" s="6"/>
      <c r="L683" s="20">
        <f>IF(ISNA(MATCH(Transactions[[#This Row],[TransType]],TransTypes[TransType],0)),1,MATCH(Transactions[[#This Row],[TransType]],TransTypes[TransType],0))</f>
        <v>2</v>
      </c>
      <c r="M683" s="144">
        <f>IF( AND( INDEX(TransTypes[],Transactions[[#This Row],[TTR]],TT_COL_GLFlag)=1, INDEX(TransTypes[],Transactions[[#This Row],[TTR]],TT_COL_LONGORSHORT)="S" ),
      Transactions[[#This Row],[PL]],
      IF(INDEX(TransTypes[],Transactions[[#This Row],[TTR]],TT_COL_LONGORSHORT)="S",0,Transactions[[#This Row],[CalCashImpact]])
)</f>
        <v>-10000</v>
      </c>
      <c r="N683" s="145">
        <f>IF(VLOOKUP(Transactions[[#This Row],[Symbol]],Symbols[],COLUMN(Symbols[Currency])-COLUMN(Symbols[])+1,FALSE)=
       VLOOKUP(Transactions[[#This Row],[Account]],Accounts[],COLUMN(Accounts[Currency])-COLUMN(Accounts[])+1,FALSE),
     Transactions[[#This Row],[OrigCashImpact]],
     0
)</f>
        <v>-10000</v>
      </c>
      <c r="O68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8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5333.88</v>
      </c>
      <c r="Q68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109185.75000000001</v>
      </c>
      <c r="R683" s="41">
        <f>ROW()</f>
        <v>683</v>
      </c>
      <c r="S6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v>
      </c>
      <c r="T6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230000</v>
      </c>
      <c r="U68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109185.75000000001</v>
      </c>
      <c r="V683" s="150">
        <f>IF(INDEX(TransTypes[],Transactions[[#This Row],[TTR]],TT_COL_GLFlag)=1,Transactions[[#This Row],[CalCashImpact]]+Transactions[[#This Row],[CostImpact]],0)</f>
        <v>0</v>
      </c>
      <c r="W683" s="151">
        <f>Transactions[[#This Row],[Amount]]*INDEX(TransTypes[],Transactions[[#This Row],[TTR]],TT_COL_AmntSign)</f>
        <v>-10000</v>
      </c>
      <c r="X683" s="151">
        <f>IF(INDEX(TransTypes[],Transactions[[#This Row],[TTR]],TT_COL_LONGORSHORT)="S",
      IF( OR(INDEX(TransTypes[],Transactions[[#This Row],[TTR]],TT_COL_GLFlag)=1, INDEX(TransTypes[], Transactions[[#This Row],[TTR]], TT_COL_ShareTransferFlag)=1),
            Transactions[[#This Row],[CostImpact]]*-1,
            Transactions[[#This Row],[CalCashImpact]]
      ),
     0
)</f>
        <v>0</v>
      </c>
      <c r="Y683" s="152" t="str">
        <f>VLOOKUP(Transactions[[#This Row],[Symbol]],Symbols[], COLUMN(Symbols[Currency])-COLUMN(Symbols[])+1,FALSE)</f>
        <v>CNY</v>
      </c>
    </row>
    <row r="684" spans="1:25">
      <c r="A684" s="138" t="s">
        <v>600</v>
      </c>
      <c r="B684" s="139">
        <v>42759</v>
      </c>
      <c r="C684" s="138" t="s">
        <v>113</v>
      </c>
      <c r="D684" s="138"/>
      <c r="E684" s="140" t="s">
        <v>611</v>
      </c>
      <c r="F684" s="141">
        <v>185767.86</v>
      </c>
      <c r="G684" s="142">
        <v>1.0750000026915301</v>
      </c>
      <c r="H684" s="141">
        <v>299.55</v>
      </c>
      <c r="I684" s="141"/>
      <c r="J684" s="143">
        <v>200000</v>
      </c>
      <c r="K684" s="6"/>
      <c r="L684" s="20">
        <f>IF(ISNA(MATCH(Transactions[[#This Row],[TransType]],TransTypes[TransType],0)),1,MATCH(Transactions[[#This Row],[TransType]],TransTypes[TransType],0))</f>
        <v>2</v>
      </c>
      <c r="M684" s="144">
        <f>IF( AND( INDEX(TransTypes[],Transactions[[#This Row],[TTR]],TT_COL_GLFlag)=1, INDEX(TransTypes[],Transactions[[#This Row],[TTR]],TT_COL_LONGORSHORT)="S" ),
      Transactions[[#This Row],[PL]],
      IF(INDEX(TransTypes[],Transactions[[#This Row],[TTR]],TT_COL_LONGORSHORT)="S",0,Transactions[[#This Row],[CalCashImpact]])
)</f>
        <v>-200000</v>
      </c>
      <c r="N684" s="145">
        <f>IF(VLOOKUP(Transactions[[#This Row],[Symbol]],Symbols[],COLUMN(Symbols[Currency])-COLUMN(Symbols[])+1,FALSE)=
       VLOOKUP(Transactions[[#This Row],[Account]],Accounts[],COLUMN(Accounts[Currency])-COLUMN(Accounts[])+1,FALSE),
     Transactions[[#This Row],[OrigCashImpact]],
     0
)</f>
        <v>-200000</v>
      </c>
      <c r="O68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-200022.95000000024</v>
      </c>
      <c r="P68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185767.86</v>
      </c>
      <c r="Q68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388978.3</v>
      </c>
      <c r="R684" s="41">
        <f>ROW()</f>
        <v>684</v>
      </c>
      <c r="S6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200000</v>
      </c>
      <c r="T6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420000</v>
      </c>
      <c r="U68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388978.3</v>
      </c>
      <c r="V684" s="150">
        <f>IF(INDEX(TransTypes[],Transactions[[#This Row],[TTR]],TT_COL_GLFlag)=1,Transactions[[#This Row],[CalCashImpact]]+Transactions[[#This Row],[CostImpact]],0)</f>
        <v>0</v>
      </c>
      <c r="W684" s="151">
        <f>Transactions[[#This Row],[Amount]]*INDEX(TransTypes[],Transactions[[#This Row],[TTR]],TT_COL_AmntSign)</f>
        <v>-200000</v>
      </c>
      <c r="X684" s="151">
        <f>IF(INDEX(TransTypes[],Transactions[[#This Row],[TTR]],TT_COL_LONGORSHORT)="S",
      IF( OR(INDEX(TransTypes[],Transactions[[#This Row],[TTR]],TT_COL_GLFlag)=1, INDEX(TransTypes[], Transactions[[#This Row],[TTR]], TT_COL_ShareTransferFlag)=1),
            Transactions[[#This Row],[CostImpact]]*-1,
            Transactions[[#This Row],[CalCashImpact]]
      ),
     0
)</f>
        <v>0</v>
      </c>
      <c r="Y684" s="152" t="str">
        <f>VLOOKUP(Transactions[[#This Row],[Symbol]],Symbols[], COLUMN(Symbols[Currency])-COLUMN(Symbols[])+1,FALSE)</f>
        <v>CNY</v>
      </c>
    </row>
    <row r="685" spans="1:25">
      <c r="A685" s="138" t="s">
        <v>600</v>
      </c>
      <c r="B685" s="139">
        <v>42759</v>
      </c>
      <c r="C685" s="138" t="s">
        <v>115</v>
      </c>
      <c r="D685" s="138"/>
      <c r="E685" s="140" t="s">
        <v>623</v>
      </c>
      <c r="F685" s="141">
        <v>200000</v>
      </c>
      <c r="G685" s="142">
        <v>1</v>
      </c>
      <c r="H685" s="141">
        <v>0</v>
      </c>
      <c r="I685" s="141"/>
      <c r="J685" s="143">
        <v>200000</v>
      </c>
      <c r="K685" s="6"/>
      <c r="L685" s="20">
        <f>IF(ISNA(MATCH(Transactions[[#This Row],[TransType]],TransTypes[TransType],0)),1,MATCH(Transactions[[#This Row],[TransType]],TransTypes[TransType],0))</f>
        <v>3</v>
      </c>
      <c r="M685" s="144">
        <f>IF( AND( INDEX(TransTypes[],Transactions[[#This Row],[TTR]],TT_COL_GLFlag)=1, INDEX(TransTypes[],Transactions[[#This Row],[TTR]],TT_COL_LONGORSHORT)="S" ),
      Transactions[[#This Row],[PL]],
      IF(INDEX(TransTypes[],Transactions[[#This Row],[TTR]],TT_COL_LONGORSHORT)="S",0,Transactions[[#This Row],[CalCashImpact]])
)</f>
        <v>200000</v>
      </c>
      <c r="N685" s="145">
        <f>IF(VLOOKUP(Transactions[[#This Row],[Symbol]],Symbols[],COLUMN(Symbols[Currency])-COLUMN(Symbols[])+1,FALSE)=
       VLOOKUP(Transactions[[#This Row],[Account]],Accounts[],COLUMN(Accounts[Currency])-COLUMN(Accounts[])+1,FALSE),
     Transactions[[#This Row],[OrigCashImpact]],
     0
)</f>
        <v>200000</v>
      </c>
      <c r="O68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8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68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229034.5199999999</v>
      </c>
      <c r="R685" s="41">
        <f>ROW()</f>
        <v>685</v>
      </c>
      <c r="S6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-198883.14124534614</v>
      </c>
      <c r="T6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227755.52395610019</v>
      </c>
      <c r="U68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429034.5199999999</v>
      </c>
      <c r="V685" s="150">
        <f>IF(INDEX(TransTypes[],Transactions[[#This Row],[TTR]],TT_COL_GLFlag)=1,Transactions[[#This Row],[CalCashImpact]]+Transactions[[#This Row],[CostImpact]],0)</f>
        <v>1116.858754653862</v>
      </c>
      <c r="W685" s="151">
        <f>Transactions[[#This Row],[Amount]]*INDEX(TransTypes[],Transactions[[#This Row],[TTR]],TT_COL_AmntSign)</f>
        <v>200000</v>
      </c>
      <c r="X685" s="151">
        <f>IF(INDEX(TransTypes[],Transactions[[#This Row],[TTR]],TT_COL_LONGORSHORT)="S",
      IF( OR(INDEX(TransTypes[],Transactions[[#This Row],[TTR]],TT_COL_GLFlag)=1, INDEX(TransTypes[], Transactions[[#This Row],[TTR]], TT_COL_ShareTransferFlag)=1),
            Transactions[[#This Row],[CostImpact]]*-1,
            Transactions[[#This Row],[CalCashImpact]]
      ),
     0
)</f>
        <v>0</v>
      </c>
      <c r="Y685" s="152" t="str">
        <f>VLOOKUP(Transactions[[#This Row],[Symbol]],Symbols[], COLUMN(Symbols[Currency])-COLUMN(Symbols[])+1,FALSE)</f>
        <v>CNY</v>
      </c>
    </row>
    <row r="686" spans="1:25">
      <c r="A686" s="138" t="s">
        <v>600</v>
      </c>
      <c r="B686" s="139">
        <v>42783</v>
      </c>
      <c r="C686" s="138" t="s">
        <v>118</v>
      </c>
      <c r="D686" s="138"/>
      <c r="E686" s="140" t="s">
        <v>623</v>
      </c>
      <c r="F686" s="141"/>
      <c r="G686" s="142"/>
      <c r="H686" s="141"/>
      <c r="I686" s="141"/>
      <c r="J686" s="143">
        <v>0</v>
      </c>
      <c r="K686" s="6"/>
      <c r="L686" s="20">
        <f>IF(ISNA(MATCH(Transactions[[#This Row],[TransType]],TransTypes[TransType],0)),1,MATCH(Transactions[[#This Row],[TransType]],TransTypes[TransType],0))</f>
        <v>4</v>
      </c>
      <c r="M686" s="144">
        <f>IF( AND( INDEX(TransTypes[],Transactions[[#This Row],[TTR]],TT_COL_GLFlag)=1, INDEX(TransTypes[],Transactions[[#This Row],[TTR]],TT_COL_LONGORSHORT)="S" ),
      Transactions[[#This Row],[PL]],
      IF(INDEX(TransTypes[],Transactions[[#This Row],[TTR]],TT_COL_LONGORSHORT)="S",0,Transactions[[#This Row],[CalCashImpact]])
)</f>
        <v>0</v>
      </c>
      <c r="N686" s="145">
        <f>IF(VLOOKUP(Transactions[[#This Row],[Symbol]],Symbols[],COLUMN(Symbols[Currency])-COLUMN(Symbols[])+1,FALSE)=
       VLOOKUP(Transactions[[#This Row],[Account]],Accounts[],COLUMN(Accounts[Currency])-COLUMN(Accounts[])+1,FALSE),
     Transactions[[#This Row],[OrigCashImpact]],
     0
)</f>
        <v>0</v>
      </c>
      <c r="O68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8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8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229034.5199999999</v>
      </c>
      <c r="R686" s="41">
        <f>ROW()</f>
        <v>686</v>
      </c>
      <c r="S6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227755.52395610019</v>
      </c>
      <c r="U68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229034.5199999999</v>
      </c>
      <c r="V686" s="150">
        <f>IF(INDEX(TransTypes[],Transactions[[#This Row],[TTR]],TT_COL_GLFlag)=1,Transactions[[#This Row],[CalCashImpact]]+Transactions[[#This Row],[CostImpact]],0)</f>
        <v>0</v>
      </c>
      <c r="W686" s="151">
        <f>Transactions[[#This Row],[Amount]]*INDEX(TransTypes[],Transactions[[#This Row],[TTR]],TT_COL_AmntSign)</f>
        <v>0</v>
      </c>
      <c r="X686" s="151">
        <f>IF(INDEX(TransTypes[],Transactions[[#This Row],[TTR]],TT_COL_LONGORSHORT)="S",
      IF( OR(INDEX(TransTypes[],Transactions[[#This Row],[TTR]],TT_COL_GLFlag)=1, INDEX(TransTypes[], Transactions[[#This Row],[TTR]], TT_COL_ShareTransferFlag)=1),
            Transactions[[#This Row],[CostImpact]]*-1,
            Transactions[[#This Row],[CalCashImpact]]
      ),
     0
)</f>
        <v>0</v>
      </c>
      <c r="Y686" s="152" t="str">
        <f>VLOOKUP(Transactions[[#This Row],[Symbol]],Symbols[], COLUMN(Symbols[Currency])-COLUMN(Symbols[])+1,FALSE)</f>
        <v>CNY</v>
      </c>
    </row>
    <row r="687" spans="1:25">
      <c r="A687" s="138" t="s">
        <v>600</v>
      </c>
      <c r="B687" s="139">
        <v>42783</v>
      </c>
      <c r="C687" s="138" t="s">
        <v>113</v>
      </c>
      <c r="D687" s="138" t="s">
        <v>531</v>
      </c>
      <c r="E687" s="140" t="s">
        <v>623</v>
      </c>
      <c r="F687" s="141">
        <v>682.68</v>
      </c>
      <c r="G687" s="142">
        <v>0</v>
      </c>
      <c r="H687" s="141"/>
      <c r="I687" s="141"/>
      <c r="J687" s="143">
        <v>0</v>
      </c>
      <c r="K687" s="6"/>
      <c r="L687" s="20">
        <f>IF(ISNA(MATCH(Transactions[[#This Row],[TransType]],TransTypes[TransType],0)),1,MATCH(Transactions[[#This Row],[TransType]],TransTypes[TransType],0))</f>
        <v>2</v>
      </c>
      <c r="M687" s="144">
        <f>IF( AND( INDEX(TransTypes[],Transactions[[#This Row],[TTR]],TT_COL_GLFlag)=1, INDEX(TransTypes[],Transactions[[#This Row],[TTR]],TT_COL_LONGORSHORT)="S" ),
      Transactions[[#This Row],[PL]],
      IF(INDEX(TransTypes[],Transactions[[#This Row],[TTR]],TT_COL_LONGORSHORT)="S",0,Transactions[[#This Row],[CalCashImpact]])
)</f>
        <v>0</v>
      </c>
      <c r="N687" s="145">
        <f>IF(VLOOKUP(Transactions[[#This Row],[Symbol]],Symbols[],COLUMN(Symbols[Currency])-COLUMN(Symbols[])+1,FALSE)=
       VLOOKUP(Transactions[[#This Row],[Account]],Accounts[],COLUMN(Accounts[Currency])-COLUMN(Accounts[])+1,FALSE),
     Transactions[[#This Row],[OrigCashImpact]],
     0
)</f>
        <v>0</v>
      </c>
      <c r="O68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8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682.68</v>
      </c>
      <c r="Q68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229717.1999999999</v>
      </c>
      <c r="R687" s="41">
        <f>ROW()</f>
        <v>687</v>
      </c>
      <c r="S6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227755.52395610019</v>
      </c>
      <c r="U68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229717.1999999999</v>
      </c>
      <c r="V687" s="150">
        <f>IF(INDEX(TransTypes[],Transactions[[#This Row],[TTR]],TT_COL_GLFlag)=1,Transactions[[#This Row],[CalCashImpact]]+Transactions[[#This Row],[CostImpact]],0)</f>
        <v>0</v>
      </c>
      <c r="W687" s="151">
        <f>Transactions[[#This Row],[Amount]]*INDEX(TransTypes[],Transactions[[#This Row],[TTR]],TT_COL_AmntSign)</f>
        <v>0</v>
      </c>
      <c r="X687" s="151">
        <f>IF(INDEX(TransTypes[],Transactions[[#This Row],[TTR]],TT_COL_LONGORSHORT)="S",
      IF( OR(INDEX(TransTypes[],Transactions[[#This Row],[TTR]],TT_COL_GLFlag)=1, INDEX(TransTypes[], Transactions[[#This Row],[TTR]], TT_COL_ShareTransferFlag)=1),
            Transactions[[#This Row],[CostImpact]]*-1,
            Transactions[[#This Row],[CalCashImpact]]
      ),
     0
)</f>
        <v>0</v>
      </c>
      <c r="Y687" s="152" t="str">
        <f>VLOOKUP(Transactions[[#This Row],[Symbol]],Symbols[], COLUMN(Symbols[Currency])-COLUMN(Symbols[])+1,FALSE)</f>
        <v>CNY</v>
      </c>
    </row>
    <row r="688" spans="1:25">
      <c r="A688" s="138" t="s">
        <v>600</v>
      </c>
      <c r="B688" s="139">
        <v>42807</v>
      </c>
      <c r="C688" s="138" t="s">
        <v>113</v>
      </c>
      <c r="D688" s="138"/>
      <c r="E688" s="140" t="s">
        <v>632</v>
      </c>
      <c r="F688" s="141">
        <v>5050.59</v>
      </c>
      <c r="G688" s="142">
        <v>1.9770007068481099</v>
      </c>
      <c r="H688" s="141">
        <v>14.98</v>
      </c>
      <c r="I688" s="141"/>
      <c r="J688" s="143">
        <v>10000</v>
      </c>
      <c r="K688" s="6"/>
      <c r="L688" s="20">
        <f>IF(ISNA(MATCH(Transactions[[#This Row],[TransType]],TransTypes[TransType],0)),1,MATCH(Transactions[[#This Row],[TransType]],TransTypes[TransType],0))</f>
        <v>2</v>
      </c>
      <c r="M688" s="144">
        <f>IF( AND( INDEX(TransTypes[],Transactions[[#This Row],[TTR]],TT_COL_GLFlag)=1, INDEX(TransTypes[],Transactions[[#This Row],[TTR]],TT_COL_LONGORSHORT)="S" ),
      Transactions[[#This Row],[PL]],
      IF(INDEX(TransTypes[],Transactions[[#This Row],[TTR]],TT_COL_LONGORSHORT)="S",0,Transactions[[#This Row],[CalCashImpact]])
)</f>
        <v>-10000</v>
      </c>
      <c r="N688" s="145">
        <f>IF(VLOOKUP(Transactions[[#This Row],[Symbol]],Symbols[],COLUMN(Symbols[Currency])-COLUMN(Symbols[])+1,FALSE)=
       VLOOKUP(Transactions[[#This Row],[Account]],Accounts[],COLUMN(Accounts[Currency])-COLUMN(Accounts[])+1,FALSE),
     Transactions[[#This Row],[OrigCashImpact]],
     0
)</f>
        <v>-10000</v>
      </c>
      <c r="O68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-10022.950000000244</v>
      </c>
      <c r="P68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5050.59</v>
      </c>
      <c r="Q68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114236.34000000001</v>
      </c>
      <c r="R688" s="41">
        <f>ROW()</f>
        <v>688</v>
      </c>
      <c r="S6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v>
      </c>
      <c r="T6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240000</v>
      </c>
      <c r="U68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114236.34000000001</v>
      </c>
      <c r="V688" s="150">
        <f>IF(INDEX(TransTypes[],Transactions[[#This Row],[TTR]],TT_COL_GLFlag)=1,Transactions[[#This Row],[CalCashImpact]]+Transactions[[#This Row],[CostImpact]],0)</f>
        <v>0</v>
      </c>
      <c r="W688" s="151">
        <f>Transactions[[#This Row],[Amount]]*INDEX(TransTypes[],Transactions[[#This Row],[TTR]],TT_COL_AmntSign)</f>
        <v>-10000</v>
      </c>
      <c r="X688" s="151">
        <f>IF(INDEX(TransTypes[],Transactions[[#This Row],[TTR]],TT_COL_LONGORSHORT)="S",
      IF( OR(INDEX(TransTypes[],Transactions[[#This Row],[TTR]],TT_COL_GLFlag)=1, INDEX(TransTypes[], Transactions[[#This Row],[TTR]], TT_COL_ShareTransferFlag)=1),
            Transactions[[#This Row],[CostImpact]]*-1,
            Transactions[[#This Row],[CalCashImpact]]
      ),
     0
)</f>
        <v>0</v>
      </c>
      <c r="Y688" s="152" t="str">
        <f>VLOOKUP(Transactions[[#This Row],[Symbol]],Symbols[], COLUMN(Symbols[Currency])-COLUMN(Symbols[])+1,FALSE)</f>
        <v>CNY</v>
      </c>
    </row>
    <row r="689" spans="1:25">
      <c r="A689" s="138" t="s">
        <v>600</v>
      </c>
      <c r="B689" s="139">
        <v>42807</v>
      </c>
      <c r="C689" s="138" t="s">
        <v>113</v>
      </c>
      <c r="D689" s="138"/>
      <c r="E689" s="140" t="s">
        <v>620</v>
      </c>
      <c r="F689" s="141">
        <v>21212.23</v>
      </c>
      <c r="G689" s="142">
        <v>2.3535997865382301</v>
      </c>
      <c r="H689" s="141">
        <v>74.900000000000006</v>
      </c>
      <c r="I689" s="141"/>
      <c r="J689" s="143">
        <v>50000</v>
      </c>
      <c r="K689" s="6"/>
      <c r="L689" s="20">
        <f>IF(ISNA(MATCH(Transactions[[#This Row],[TransType]],TransTypes[TransType],0)),1,MATCH(Transactions[[#This Row],[TransType]],TransTypes[TransType],0))</f>
        <v>2</v>
      </c>
      <c r="M689" s="144">
        <f>IF( AND( INDEX(TransTypes[],Transactions[[#This Row],[TTR]],TT_COL_GLFlag)=1, INDEX(TransTypes[],Transactions[[#This Row],[TTR]],TT_COL_LONGORSHORT)="S" ),
      Transactions[[#This Row],[PL]],
      IF(INDEX(TransTypes[],Transactions[[#This Row],[TTR]],TT_COL_LONGORSHORT)="S",0,Transactions[[#This Row],[CalCashImpact]])
)</f>
        <v>-50000</v>
      </c>
      <c r="N689" s="145">
        <f>IF(VLOOKUP(Transactions[[#This Row],[Symbol]],Symbols[],COLUMN(Symbols[Currency])-COLUMN(Symbols[])+1,FALSE)=
       VLOOKUP(Transactions[[#This Row],[Account]],Accounts[],COLUMN(Accounts[Currency])-COLUMN(Accounts[])+1,FALSE),
     Transactions[[#This Row],[OrigCashImpact]],
     0
)</f>
        <v>-50000</v>
      </c>
      <c r="O68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-60022.950000000244</v>
      </c>
      <c r="P68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21212.23</v>
      </c>
      <c r="Q68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299339.70999999996</v>
      </c>
      <c r="R689" s="41">
        <f>ROW()</f>
        <v>689</v>
      </c>
      <c r="S6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50000</v>
      </c>
      <c r="T6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665674</v>
      </c>
      <c r="U68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299339.70999999996</v>
      </c>
      <c r="V689" s="150">
        <f>IF(INDEX(TransTypes[],Transactions[[#This Row],[TTR]],TT_COL_GLFlag)=1,Transactions[[#This Row],[CalCashImpact]]+Transactions[[#This Row],[CostImpact]],0)</f>
        <v>0</v>
      </c>
      <c r="W689" s="151">
        <f>Transactions[[#This Row],[Amount]]*INDEX(TransTypes[],Transactions[[#This Row],[TTR]],TT_COL_AmntSign)</f>
        <v>-50000</v>
      </c>
      <c r="X689" s="151">
        <f>IF(INDEX(TransTypes[],Transactions[[#This Row],[TTR]],TT_COL_LONGORSHORT)="S",
      IF( OR(INDEX(TransTypes[],Transactions[[#This Row],[TTR]],TT_COL_GLFlag)=1, INDEX(TransTypes[], Transactions[[#This Row],[TTR]], TT_COL_ShareTransferFlag)=1),
            Transactions[[#This Row],[CostImpact]]*-1,
            Transactions[[#This Row],[CalCashImpact]]
      ),
     0
)</f>
        <v>0</v>
      </c>
      <c r="Y689" s="152" t="str">
        <f>VLOOKUP(Transactions[[#This Row],[Symbol]],Symbols[], COLUMN(Symbols[Currency])-COLUMN(Symbols[])+1,FALSE)</f>
        <v>CNY</v>
      </c>
    </row>
    <row r="690" spans="1:25">
      <c r="A690" s="138" t="s">
        <v>600</v>
      </c>
      <c r="B690" s="139">
        <v>42807</v>
      </c>
      <c r="C690" s="138" t="s">
        <v>115</v>
      </c>
      <c r="D690" s="138"/>
      <c r="E690" s="140" t="s">
        <v>623</v>
      </c>
      <c r="F690" s="141">
        <v>60000</v>
      </c>
      <c r="G690" s="142">
        <v>1</v>
      </c>
      <c r="H690" s="141">
        <v>0</v>
      </c>
      <c r="I690" s="141"/>
      <c r="J690" s="143">
        <v>60000</v>
      </c>
      <c r="K690" s="6"/>
      <c r="L690" s="20">
        <f>IF(ISNA(MATCH(Transactions[[#This Row],[TransType]],TransTypes[TransType],0)),1,MATCH(Transactions[[#This Row],[TransType]],TransTypes[TransType],0))</f>
        <v>3</v>
      </c>
      <c r="M690" s="144">
        <f>IF( AND( INDEX(TransTypes[],Transactions[[#This Row],[TTR]],TT_COL_GLFlag)=1, INDEX(TransTypes[],Transactions[[#This Row],[TTR]],TT_COL_LONGORSHORT)="S" ),
      Transactions[[#This Row],[PL]],
      IF(INDEX(TransTypes[],Transactions[[#This Row],[TTR]],TT_COL_LONGORSHORT)="S",0,Transactions[[#This Row],[CalCashImpact]])
)</f>
        <v>60000</v>
      </c>
      <c r="N690" s="145">
        <f>IF(VLOOKUP(Transactions[[#This Row],[Symbol]],Symbols[],COLUMN(Symbols[Currency])-COLUMN(Symbols[])+1,FALSE)=
       VLOOKUP(Transactions[[#This Row],[Account]],Accounts[],COLUMN(Accounts[Currency])-COLUMN(Accounts[])+1,FALSE),
     Transactions[[#This Row],[OrigCashImpact]],
     0
)</f>
        <v>60000</v>
      </c>
      <c r="O69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9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69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169717.1999999999</v>
      </c>
      <c r="R690" s="41">
        <f>ROW()</f>
        <v>690</v>
      </c>
      <c r="S6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-59487.628429068514</v>
      </c>
      <c r="T6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168267.89552703168</v>
      </c>
      <c r="U69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229717.1999999999</v>
      </c>
      <c r="V690" s="150">
        <f>IF(INDEX(TransTypes[],Transactions[[#This Row],[TTR]],TT_COL_GLFlag)=1,Transactions[[#This Row],[CalCashImpact]]+Transactions[[#This Row],[CostImpact]],0)</f>
        <v>512.37157093148562</v>
      </c>
      <c r="W690" s="151">
        <f>Transactions[[#This Row],[Amount]]*INDEX(TransTypes[],Transactions[[#This Row],[TTR]],TT_COL_AmntSign)</f>
        <v>60000</v>
      </c>
      <c r="X690" s="151">
        <f>IF(INDEX(TransTypes[],Transactions[[#This Row],[TTR]],TT_COL_LONGORSHORT)="S",
      IF( OR(INDEX(TransTypes[],Transactions[[#This Row],[TTR]],TT_COL_GLFlag)=1, INDEX(TransTypes[], Transactions[[#This Row],[TTR]], TT_COL_ShareTransferFlag)=1),
            Transactions[[#This Row],[CostImpact]]*-1,
            Transactions[[#This Row],[CalCashImpact]]
      ),
     0
)</f>
        <v>0</v>
      </c>
      <c r="Y690" s="152" t="str">
        <f>VLOOKUP(Transactions[[#This Row],[Symbol]],Symbols[], COLUMN(Symbols[Currency])-COLUMN(Symbols[])+1,FALSE)</f>
        <v>CNY</v>
      </c>
    </row>
    <row r="691" spans="1:25">
      <c r="A691" s="138" t="s">
        <v>600</v>
      </c>
      <c r="B691" s="139">
        <v>42810</v>
      </c>
      <c r="C691" s="138" t="s">
        <v>118</v>
      </c>
      <c r="D691" s="138"/>
      <c r="E691" s="140" t="s">
        <v>623</v>
      </c>
      <c r="F691" s="141"/>
      <c r="G691" s="142"/>
      <c r="H691" s="141"/>
      <c r="I691" s="141"/>
      <c r="J691" s="143">
        <v>0</v>
      </c>
      <c r="K691" s="6"/>
      <c r="L691" s="20">
        <f>IF(ISNA(MATCH(Transactions[[#This Row],[TransType]],TransTypes[TransType],0)),1,MATCH(Transactions[[#This Row],[TransType]],TransTypes[TransType],0))</f>
        <v>4</v>
      </c>
      <c r="M691" s="144">
        <f>IF( AND( INDEX(TransTypes[],Transactions[[#This Row],[TTR]],TT_COL_GLFlag)=1, INDEX(TransTypes[],Transactions[[#This Row],[TTR]],TT_COL_LONGORSHORT)="S" ),
      Transactions[[#This Row],[PL]],
      IF(INDEX(TransTypes[],Transactions[[#This Row],[TTR]],TT_COL_LONGORSHORT)="S",0,Transactions[[#This Row],[CalCashImpact]])
)</f>
        <v>0</v>
      </c>
      <c r="N691" s="145">
        <f>IF(VLOOKUP(Transactions[[#This Row],[Symbol]],Symbols[],COLUMN(Symbols[Currency])-COLUMN(Symbols[])+1,FALSE)=
       VLOOKUP(Transactions[[#This Row],[Account]],Accounts[],COLUMN(Accounts[Currency])-COLUMN(Accounts[])+1,FALSE),
     Transactions[[#This Row],[OrigCashImpact]],
     0
)</f>
        <v>0</v>
      </c>
      <c r="O69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9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9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169717.1999999999</v>
      </c>
      <c r="R691" s="41">
        <f>ROW()</f>
        <v>691</v>
      </c>
      <c r="S6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168267.89552703168</v>
      </c>
      <c r="U69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169717.1999999999</v>
      </c>
      <c r="V691" s="150">
        <f>IF(INDEX(TransTypes[],Transactions[[#This Row],[TTR]],TT_COL_GLFlag)=1,Transactions[[#This Row],[CalCashImpact]]+Transactions[[#This Row],[CostImpact]],0)</f>
        <v>0</v>
      </c>
      <c r="W691" s="151">
        <f>Transactions[[#This Row],[Amount]]*INDEX(TransTypes[],Transactions[[#This Row],[TTR]],TT_COL_AmntSign)</f>
        <v>0</v>
      </c>
      <c r="X691" s="151">
        <f>IF(INDEX(TransTypes[],Transactions[[#This Row],[TTR]],TT_COL_LONGORSHORT)="S",
      IF( OR(INDEX(TransTypes[],Transactions[[#This Row],[TTR]],TT_COL_GLFlag)=1, INDEX(TransTypes[], Transactions[[#This Row],[TTR]], TT_COL_ShareTransferFlag)=1),
            Transactions[[#This Row],[CostImpact]]*-1,
            Transactions[[#This Row],[CalCashImpact]]
      ),
     0
)</f>
        <v>0</v>
      </c>
      <c r="Y691" s="152" t="str">
        <f>VLOOKUP(Transactions[[#This Row],[Symbol]],Symbols[], COLUMN(Symbols[Currency])-COLUMN(Symbols[])+1,FALSE)</f>
        <v>CNY</v>
      </c>
    </row>
    <row r="692" spans="1:25">
      <c r="A692" s="138" t="s">
        <v>600</v>
      </c>
      <c r="B692" s="139">
        <v>42810</v>
      </c>
      <c r="C692" s="138" t="s">
        <v>113</v>
      </c>
      <c r="D692" s="138" t="s">
        <v>531</v>
      </c>
      <c r="E692" s="140" t="s">
        <v>623</v>
      </c>
      <c r="F692" s="141">
        <v>521.02</v>
      </c>
      <c r="G692" s="142">
        <v>0</v>
      </c>
      <c r="H692" s="141"/>
      <c r="I692" s="141"/>
      <c r="J692" s="143">
        <v>0</v>
      </c>
      <c r="K692" s="6"/>
      <c r="L692" s="20">
        <f>IF(ISNA(MATCH(Transactions[[#This Row],[TransType]],TransTypes[TransType],0)),1,MATCH(Transactions[[#This Row],[TransType]],TransTypes[TransType],0))</f>
        <v>2</v>
      </c>
      <c r="M692" s="144">
        <f>IF( AND( INDEX(TransTypes[],Transactions[[#This Row],[TTR]],TT_COL_GLFlag)=1, INDEX(TransTypes[],Transactions[[#This Row],[TTR]],TT_COL_LONGORSHORT)="S" ),
      Transactions[[#This Row],[PL]],
      IF(INDEX(TransTypes[],Transactions[[#This Row],[TTR]],TT_COL_LONGORSHORT)="S",0,Transactions[[#This Row],[CalCashImpact]])
)</f>
        <v>0</v>
      </c>
      <c r="N692" s="145">
        <f>IF(VLOOKUP(Transactions[[#This Row],[Symbol]],Symbols[],COLUMN(Symbols[Currency])-COLUMN(Symbols[])+1,FALSE)=
       VLOOKUP(Transactions[[#This Row],[Account]],Accounts[],COLUMN(Accounts[Currency])-COLUMN(Accounts[])+1,FALSE),
     Transactions[[#This Row],[OrigCashImpact]],
     0
)</f>
        <v>0</v>
      </c>
      <c r="O69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9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521.02</v>
      </c>
      <c r="Q69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170238.21999999988</v>
      </c>
      <c r="R692" s="41">
        <f>ROW()</f>
        <v>692</v>
      </c>
      <c r="S6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168267.89552703168</v>
      </c>
      <c r="U69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170238.21999999988</v>
      </c>
      <c r="V692" s="150">
        <f>IF(INDEX(TransTypes[],Transactions[[#This Row],[TTR]],TT_COL_GLFlag)=1,Transactions[[#This Row],[CalCashImpact]]+Transactions[[#This Row],[CostImpact]],0)</f>
        <v>0</v>
      </c>
      <c r="W692" s="151">
        <f>Transactions[[#This Row],[Amount]]*INDEX(TransTypes[],Transactions[[#This Row],[TTR]],TT_COL_AmntSign)</f>
        <v>0</v>
      </c>
      <c r="X692" s="151">
        <f>IF(INDEX(TransTypes[],Transactions[[#This Row],[TTR]],TT_COL_LONGORSHORT)="S",
      IF( OR(INDEX(TransTypes[],Transactions[[#This Row],[TTR]],TT_COL_GLFlag)=1, INDEX(TransTypes[], Transactions[[#This Row],[TTR]], TT_COL_ShareTransferFlag)=1),
            Transactions[[#This Row],[CostImpact]]*-1,
            Transactions[[#This Row],[CalCashImpact]]
      ),
     0
)</f>
        <v>0</v>
      </c>
      <c r="Y692" s="152" t="str">
        <f>VLOOKUP(Transactions[[#This Row],[Symbol]],Symbols[], COLUMN(Symbols[Currency])-COLUMN(Symbols[])+1,FALSE)</f>
        <v>CNY</v>
      </c>
    </row>
    <row r="693" spans="1:25">
      <c r="A693" s="138" t="s">
        <v>600</v>
      </c>
      <c r="B693" s="139">
        <v>42821</v>
      </c>
      <c r="C693" s="138" t="s">
        <v>118</v>
      </c>
      <c r="D693" s="138"/>
      <c r="E693" s="140" t="s">
        <v>620</v>
      </c>
      <c r="F693" s="141"/>
      <c r="G693" s="142"/>
      <c r="H693" s="141"/>
      <c r="I693" s="141"/>
      <c r="J693" s="143">
        <v>0</v>
      </c>
      <c r="K693" s="6"/>
      <c r="L693" s="20">
        <f>IF(ISNA(MATCH(Transactions[[#This Row],[TransType]],TransTypes[TransType],0)),1,MATCH(Transactions[[#This Row],[TransType]],TransTypes[TransType],0))</f>
        <v>4</v>
      </c>
      <c r="M693" s="144">
        <f>IF( AND( INDEX(TransTypes[],Transactions[[#This Row],[TTR]],TT_COL_GLFlag)=1, INDEX(TransTypes[],Transactions[[#This Row],[TTR]],TT_COL_LONGORSHORT)="S" ),
      Transactions[[#This Row],[PL]],
      IF(INDEX(TransTypes[],Transactions[[#This Row],[TTR]],TT_COL_LONGORSHORT)="S",0,Transactions[[#This Row],[CalCashImpact]])
)</f>
        <v>0</v>
      </c>
      <c r="N693" s="145">
        <f>IF(VLOOKUP(Transactions[[#This Row],[Symbol]],Symbols[],COLUMN(Symbols[Currency])-COLUMN(Symbols[])+1,FALSE)=
       VLOOKUP(Transactions[[#This Row],[Account]],Accounts[],COLUMN(Accounts[Currency])-COLUMN(Accounts[])+1,FALSE),
     Transactions[[#This Row],[OrigCashImpact]],
     0
)</f>
        <v>0</v>
      </c>
      <c r="O69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9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9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299339.70999999996</v>
      </c>
      <c r="R693" s="41">
        <f>ROW()</f>
        <v>693</v>
      </c>
      <c r="S6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665674</v>
      </c>
      <c r="U69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299339.70999999996</v>
      </c>
      <c r="V693" s="150">
        <f>IF(INDEX(TransTypes[],Transactions[[#This Row],[TTR]],TT_COL_GLFlag)=1,Transactions[[#This Row],[CalCashImpact]]+Transactions[[#This Row],[CostImpact]],0)</f>
        <v>0</v>
      </c>
      <c r="W693" s="151">
        <f>Transactions[[#This Row],[Amount]]*INDEX(TransTypes[],Transactions[[#This Row],[TTR]],TT_COL_AmntSign)</f>
        <v>0</v>
      </c>
      <c r="X693" s="151">
        <f>IF(INDEX(TransTypes[],Transactions[[#This Row],[TTR]],TT_COL_LONGORSHORT)="S",
      IF( OR(INDEX(TransTypes[],Transactions[[#This Row],[TTR]],TT_COL_GLFlag)=1, INDEX(TransTypes[], Transactions[[#This Row],[TTR]], TT_COL_ShareTransferFlag)=1),
            Transactions[[#This Row],[CostImpact]]*-1,
            Transactions[[#This Row],[CalCashImpact]]
      ),
     0
)</f>
        <v>0</v>
      </c>
      <c r="Y693" s="152" t="str">
        <f>VLOOKUP(Transactions[[#This Row],[Symbol]],Symbols[], COLUMN(Symbols[Currency])-COLUMN(Symbols[])+1,FALSE)</f>
        <v>CNY</v>
      </c>
    </row>
    <row r="694" spans="1:25">
      <c r="A694" s="138" t="s">
        <v>600</v>
      </c>
      <c r="B694" s="139">
        <v>42821</v>
      </c>
      <c r="C694" s="138" t="s">
        <v>113</v>
      </c>
      <c r="D694" s="138" t="s">
        <v>531</v>
      </c>
      <c r="E694" s="140" t="s">
        <v>620</v>
      </c>
      <c r="F694" s="141">
        <v>118529.55</v>
      </c>
      <c r="G694" s="142">
        <v>0</v>
      </c>
      <c r="H694" s="141"/>
      <c r="I694" s="141"/>
      <c r="J694" s="143">
        <v>0</v>
      </c>
      <c r="K694" s="6"/>
      <c r="L694" s="20">
        <f>IF(ISNA(MATCH(Transactions[[#This Row],[TransType]],TransTypes[TransType],0)),1,MATCH(Transactions[[#This Row],[TransType]],TransTypes[TransType],0))</f>
        <v>2</v>
      </c>
      <c r="M694" s="144">
        <f>IF( AND( INDEX(TransTypes[],Transactions[[#This Row],[TTR]],TT_COL_GLFlag)=1, INDEX(TransTypes[],Transactions[[#This Row],[TTR]],TT_COL_LONGORSHORT)="S" ),
      Transactions[[#This Row],[PL]],
      IF(INDEX(TransTypes[],Transactions[[#This Row],[TTR]],TT_COL_LONGORSHORT)="S",0,Transactions[[#This Row],[CalCashImpact]])
)</f>
        <v>0</v>
      </c>
      <c r="N694" s="145">
        <f>IF(VLOOKUP(Transactions[[#This Row],[Symbol]],Symbols[],COLUMN(Symbols[Currency])-COLUMN(Symbols[])+1,FALSE)=
       VLOOKUP(Transactions[[#This Row],[Account]],Accounts[],COLUMN(Accounts[Currency])-COLUMN(Accounts[])+1,FALSE),
     Transactions[[#This Row],[OrigCashImpact]],
     0
)</f>
        <v>0</v>
      </c>
      <c r="O69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9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118529.55</v>
      </c>
      <c r="Q69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417869.25999999995</v>
      </c>
      <c r="R694" s="41">
        <f>ROW()</f>
        <v>694</v>
      </c>
      <c r="S6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665674</v>
      </c>
      <c r="U69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417869.25999999995</v>
      </c>
      <c r="V694" s="150">
        <f>IF(INDEX(TransTypes[],Transactions[[#This Row],[TTR]],TT_COL_GLFlag)=1,Transactions[[#This Row],[CalCashImpact]]+Transactions[[#This Row],[CostImpact]],0)</f>
        <v>0</v>
      </c>
      <c r="W694" s="151">
        <f>Transactions[[#This Row],[Amount]]*INDEX(TransTypes[],Transactions[[#This Row],[TTR]],TT_COL_AmntSign)</f>
        <v>0</v>
      </c>
      <c r="X694" s="151">
        <f>IF(INDEX(TransTypes[],Transactions[[#This Row],[TTR]],TT_COL_LONGORSHORT)="S",
      IF( OR(INDEX(TransTypes[],Transactions[[#This Row],[TTR]],TT_COL_GLFlag)=1, INDEX(TransTypes[], Transactions[[#This Row],[TTR]], TT_COL_ShareTransferFlag)=1),
            Transactions[[#This Row],[CostImpact]]*-1,
            Transactions[[#This Row],[CalCashImpact]]
      ),
     0
)</f>
        <v>0</v>
      </c>
      <c r="Y694" s="152" t="str">
        <f>VLOOKUP(Transactions[[#This Row],[Symbol]],Symbols[], COLUMN(Symbols[Currency])-COLUMN(Symbols[])+1,FALSE)</f>
        <v>CNY</v>
      </c>
    </row>
    <row r="695" spans="1:25">
      <c r="A695" s="138" t="s">
        <v>600</v>
      </c>
      <c r="B695" s="139">
        <v>42822</v>
      </c>
      <c r="C695" s="138" t="s">
        <v>118</v>
      </c>
      <c r="D695" s="138"/>
      <c r="E695" s="140" t="s">
        <v>632</v>
      </c>
      <c r="F695" s="141"/>
      <c r="G695" s="142"/>
      <c r="H695" s="141"/>
      <c r="I695" s="141"/>
      <c r="J695" s="143">
        <v>22847.27</v>
      </c>
      <c r="K695" s="6"/>
      <c r="L695" s="20">
        <f>IF(ISNA(MATCH(Transactions[[#This Row],[TransType]],TransTypes[TransType],0)),1,MATCH(Transactions[[#This Row],[TransType]],TransTypes[TransType],0))</f>
        <v>4</v>
      </c>
      <c r="M695" s="144">
        <f>IF( AND( INDEX(TransTypes[],Transactions[[#This Row],[TTR]],TT_COL_GLFlag)=1, INDEX(TransTypes[],Transactions[[#This Row],[TTR]],TT_COL_LONGORSHORT)="S" ),
      Transactions[[#This Row],[PL]],
      IF(INDEX(TransTypes[],Transactions[[#This Row],[TTR]],TT_COL_LONGORSHORT)="S",0,Transactions[[#This Row],[CalCashImpact]])
)</f>
        <v>22847.27</v>
      </c>
      <c r="N695" s="145">
        <f>IF(VLOOKUP(Transactions[[#This Row],[Symbol]],Symbols[],COLUMN(Symbols[Currency])-COLUMN(Symbols[])+1,FALSE)=
       VLOOKUP(Transactions[[#This Row],[Account]],Accounts[],COLUMN(Accounts[Currency])-COLUMN(Accounts[])+1,FALSE),
     Transactions[[#This Row],[OrigCashImpact]],
     0
)</f>
        <v>22847.27</v>
      </c>
      <c r="O69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22824.319999999756</v>
      </c>
      <c r="P69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9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114236.34000000001</v>
      </c>
      <c r="R695" s="41">
        <f>ROW()</f>
        <v>695</v>
      </c>
      <c r="S6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240000</v>
      </c>
      <c r="U69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114236.34000000001</v>
      </c>
      <c r="V695" s="150">
        <f>IF(INDEX(TransTypes[],Transactions[[#This Row],[TTR]],TT_COL_GLFlag)=1,Transactions[[#This Row],[CalCashImpact]]+Transactions[[#This Row],[CostImpact]],0)</f>
        <v>0</v>
      </c>
      <c r="W695" s="151">
        <f>Transactions[[#This Row],[Amount]]*INDEX(TransTypes[],Transactions[[#This Row],[TTR]],TT_COL_AmntSign)</f>
        <v>22847.27</v>
      </c>
      <c r="X695" s="151">
        <f>IF(INDEX(TransTypes[],Transactions[[#This Row],[TTR]],TT_COL_LONGORSHORT)="S",
      IF( OR(INDEX(TransTypes[],Transactions[[#This Row],[TTR]],TT_COL_GLFlag)=1, INDEX(TransTypes[], Transactions[[#This Row],[TTR]], TT_COL_ShareTransferFlag)=1),
            Transactions[[#This Row],[CostImpact]]*-1,
            Transactions[[#This Row],[CalCashImpact]]
      ),
     0
)</f>
        <v>0</v>
      </c>
      <c r="Y695" s="152" t="str">
        <f>VLOOKUP(Transactions[[#This Row],[Symbol]],Symbols[], COLUMN(Symbols[Currency])-COLUMN(Symbols[])+1,FALSE)</f>
        <v>CNY</v>
      </c>
    </row>
    <row r="696" spans="1:25">
      <c r="A696" s="138" t="s">
        <v>600</v>
      </c>
      <c r="B696" s="139">
        <v>42823</v>
      </c>
      <c r="C696" s="138" t="s">
        <v>113</v>
      </c>
      <c r="D696" s="138"/>
      <c r="E696" s="140" t="s">
        <v>632</v>
      </c>
      <c r="F696" s="141">
        <v>12929.98</v>
      </c>
      <c r="G696" s="142">
        <v>1.76699963959727</v>
      </c>
      <c r="H696" s="141">
        <v>0</v>
      </c>
      <c r="I696" s="141"/>
      <c r="J696" s="143">
        <v>22847.27</v>
      </c>
      <c r="K696" s="6"/>
      <c r="L696" s="20">
        <f>IF(ISNA(MATCH(Transactions[[#This Row],[TransType]],TransTypes[TransType],0)),1,MATCH(Transactions[[#This Row],[TransType]],TransTypes[TransType],0))</f>
        <v>2</v>
      </c>
      <c r="M696" s="144">
        <f>IF( AND( INDEX(TransTypes[],Transactions[[#This Row],[TTR]],TT_COL_GLFlag)=1, INDEX(TransTypes[],Transactions[[#This Row],[TTR]],TT_COL_LONGORSHORT)="S" ),
      Transactions[[#This Row],[PL]],
      IF(INDEX(TransTypes[],Transactions[[#This Row],[TTR]],TT_COL_LONGORSHORT)="S",0,Transactions[[#This Row],[CalCashImpact]])
)</f>
        <v>-22847.27</v>
      </c>
      <c r="N696" s="145">
        <f>IF(VLOOKUP(Transactions[[#This Row],[Symbol]],Symbols[],COLUMN(Symbols[Currency])-COLUMN(Symbols[])+1,FALSE)=
       VLOOKUP(Transactions[[#This Row],[Account]],Accounts[],COLUMN(Accounts[Currency])-COLUMN(Accounts[])+1,FALSE),
     Transactions[[#This Row],[OrigCashImpact]],
     0
)</f>
        <v>-22847.27</v>
      </c>
      <c r="O69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9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12929.98</v>
      </c>
      <c r="Q69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127166.32</v>
      </c>
      <c r="R696" s="41">
        <f>ROW()</f>
        <v>696</v>
      </c>
      <c r="S6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22847.27</v>
      </c>
      <c r="T6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262847.27</v>
      </c>
      <c r="U69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127166.32</v>
      </c>
      <c r="V696" s="150">
        <f>IF(INDEX(TransTypes[],Transactions[[#This Row],[TTR]],TT_COL_GLFlag)=1,Transactions[[#This Row],[CalCashImpact]]+Transactions[[#This Row],[CostImpact]],0)</f>
        <v>0</v>
      </c>
      <c r="W696" s="151">
        <f>Transactions[[#This Row],[Amount]]*INDEX(TransTypes[],Transactions[[#This Row],[TTR]],TT_COL_AmntSign)</f>
        <v>-22847.27</v>
      </c>
      <c r="X696" s="151">
        <f>IF(INDEX(TransTypes[],Transactions[[#This Row],[TTR]],TT_COL_LONGORSHORT)="S",
      IF( OR(INDEX(TransTypes[],Transactions[[#This Row],[TTR]],TT_COL_GLFlag)=1, INDEX(TransTypes[], Transactions[[#This Row],[TTR]], TT_COL_ShareTransferFlag)=1),
            Transactions[[#This Row],[CostImpact]]*-1,
            Transactions[[#This Row],[CalCashImpact]]
      ),
     0
)</f>
        <v>0</v>
      </c>
      <c r="Y696" s="152" t="str">
        <f>VLOOKUP(Transactions[[#This Row],[Symbol]],Symbols[], COLUMN(Symbols[Currency])-COLUMN(Symbols[])+1,FALSE)</f>
        <v>CNY</v>
      </c>
    </row>
    <row r="697" spans="1:25">
      <c r="A697" s="138" t="s">
        <v>600</v>
      </c>
      <c r="B697" s="139">
        <v>42825</v>
      </c>
      <c r="C697" s="138" t="s">
        <v>113</v>
      </c>
      <c r="D697" s="138"/>
      <c r="E697" s="140" t="s">
        <v>632</v>
      </c>
      <c r="F697" s="141">
        <v>5846.03</v>
      </c>
      <c r="G697" s="142">
        <v>1.7080001300027501</v>
      </c>
      <c r="H697" s="141">
        <v>14.98</v>
      </c>
      <c r="I697" s="141"/>
      <c r="J697" s="143">
        <v>10000</v>
      </c>
      <c r="K697" s="6"/>
      <c r="L697" s="20">
        <f>IF(ISNA(MATCH(Transactions[[#This Row],[TransType]],TransTypes[TransType],0)),1,MATCH(Transactions[[#This Row],[TransType]],TransTypes[TransType],0))</f>
        <v>2</v>
      </c>
      <c r="M697" s="144">
        <f>IF( AND( INDEX(TransTypes[],Transactions[[#This Row],[TTR]],TT_COL_GLFlag)=1, INDEX(TransTypes[],Transactions[[#This Row],[TTR]],TT_COL_LONGORSHORT)="S" ),
      Transactions[[#This Row],[PL]],
      IF(INDEX(TransTypes[],Transactions[[#This Row],[TTR]],TT_COL_LONGORSHORT)="S",0,Transactions[[#This Row],[CalCashImpact]])
)</f>
        <v>-10000</v>
      </c>
      <c r="N697" s="145">
        <f>IF(VLOOKUP(Transactions[[#This Row],[Symbol]],Symbols[],COLUMN(Symbols[Currency])-COLUMN(Symbols[])+1,FALSE)=
       VLOOKUP(Transactions[[#This Row],[Account]],Accounts[],COLUMN(Accounts[Currency])-COLUMN(Accounts[])+1,FALSE),
     Transactions[[#This Row],[OrigCashImpact]],
     0
)</f>
        <v>-10000</v>
      </c>
      <c r="O69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-10022.950000000244</v>
      </c>
      <c r="P69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5846.03</v>
      </c>
      <c r="Q69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133012.35</v>
      </c>
      <c r="R697" s="41">
        <f>ROW()</f>
        <v>697</v>
      </c>
      <c r="S6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v>
      </c>
      <c r="T6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272847.27</v>
      </c>
      <c r="U69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133012.35</v>
      </c>
      <c r="V697" s="150">
        <f>IF(INDEX(TransTypes[],Transactions[[#This Row],[TTR]],TT_COL_GLFlag)=1,Transactions[[#This Row],[CalCashImpact]]+Transactions[[#This Row],[CostImpact]],0)</f>
        <v>0</v>
      </c>
      <c r="W697" s="151">
        <f>Transactions[[#This Row],[Amount]]*INDEX(TransTypes[],Transactions[[#This Row],[TTR]],TT_COL_AmntSign)</f>
        <v>-10000</v>
      </c>
      <c r="X697" s="151">
        <f>IF(INDEX(TransTypes[],Transactions[[#This Row],[TTR]],TT_COL_LONGORSHORT)="S",
      IF( OR(INDEX(TransTypes[],Transactions[[#This Row],[TTR]],TT_COL_GLFlag)=1, INDEX(TransTypes[], Transactions[[#This Row],[TTR]], TT_COL_ShareTransferFlag)=1),
            Transactions[[#This Row],[CostImpact]]*-1,
            Transactions[[#This Row],[CalCashImpact]]
      ),
     0
)</f>
        <v>0</v>
      </c>
      <c r="Y697" s="152" t="str">
        <f>VLOOKUP(Transactions[[#This Row],[Symbol]],Symbols[], COLUMN(Symbols[Currency])-COLUMN(Symbols[])+1,FALSE)</f>
        <v>CNY</v>
      </c>
    </row>
    <row r="698" spans="1:25">
      <c r="A698" s="138" t="s">
        <v>600</v>
      </c>
      <c r="B698" s="139">
        <v>42825</v>
      </c>
      <c r="C698" s="138" t="s">
        <v>115</v>
      </c>
      <c r="D698" s="138"/>
      <c r="E698" s="140" t="s">
        <v>623</v>
      </c>
      <c r="F698" s="141">
        <v>10000</v>
      </c>
      <c r="G698" s="142">
        <v>1</v>
      </c>
      <c r="H698" s="141">
        <v>0</v>
      </c>
      <c r="I698" s="141"/>
      <c r="J698" s="143">
        <v>10000</v>
      </c>
      <c r="K698" s="6"/>
      <c r="L698" s="20">
        <f>IF(ISNA(MATCH(Transactions[[#This Row],[TransType]],TransTypes[TransType],0)),1,MATCH(Transactions[[#This Row],[TransType]],TransTypes[TransType],0))</f>
        <v>3</v>
      </c>
      <c r="M698" s="144">
        <f>IF( AND( INDEX(TransTypes[],Transactions[[#This Row],[TTR]],TT_COL_GLFlag)=1, INDEX(TransTypes[],Transactions[[#This Row],[TTR]],TT_COL_LONGORSHORT)="S" ),
      Transactions[[#This Row],[PL]],
      IF(INDEX(TransTypes[],Transactions[[#This Row],[TTR]],TT_COL_LONGORSHORT)="S",0,Transactions[[#This Row],[CalCashImpact]])
)</f>
        <v>10000</v>
      </c>
      <c r="N698" s="145">
        <f>IF(VLOOKUP(Transactions[[#This Row],[Symbol]],Symbols[],COLUMN(Symbols[Currency])-COLUMN(Symbols[])+1,FALSE)=
       VLOOKUP(Transactions[[#This Row],[Account]],Accounts[],COLUMN(Accounts[Currency])-COLUMN(Accounts[])+1,FALSE),
     Transactions[[#This Row],[OrigCashImpact]],
     0
)</f>
        <v>10000</v>
      </c>
      <c r="O69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9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69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160238.21999999988</v>
      </c>
      <c r="R698" s="41">
        <f>ROW()</f>
        <v>698</v>
      </c>
      <c r="S6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-9884.2607451506356</v>
      </c>
      <c r="T6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158383.63478188103</v>
      </c>
      <c r="U69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170238.21999999988</v>
      </c>
      <c r="V698" s="150">
        <f>IF(INDEX(TransTypes[],Transactions[[#This Row],[TTR]],TT_COL_GLFlag)=1,Transactions[[#This Row],[CalCashImpact]]+Transactions[[#This Row],[CostImpact]],0)</f>
        <v>115.73925484936444</v>
      </c>
      <c r="W698" s="151">
        <f>Transactions[[#This Row],[Amount]]*INDEX(TransTypes[],Transactions[[#This Row],[TTR]],TT_COL_AmntSign)</f>
        <v>10000</v>
      </c>
      <c r="X698" s="151">
        <f>IF(INDEX(TransTypes[],Transactions[[#This Row],[TTR]],TT_COL_LONGORSHORT)="S",
      IF( OR(INDEX(TransTypes[],Transactions[[#This Row],[TTR]],TT_COL_GLFlag)=1, INDEX(TransTypes[], Transactions[[#This Row],[TTR]], TT_COL_ShareTransferFlag)=1),
            Transactions[[#This Row],[CostImpact]]*-1,
            Transactions[[#This Row],[CalCashImpact]]
      ),
     0
)</f>
        <v>0</v>
      </c>
      <c r="Y698" s="152" t="str">
        <f>VLOOKUP(Transactions[[#This Row],[Symbol]],Symbols[], COLUMN(Symbols[Currency])-COLUMN(Symbols[])+1,FALSE)</f>
        <v>CNY</v>
      </c>
    </row>
    <row r="699" spans="1:25">
      <c r="A699" s="138" t="s">
        <v>600</v>
      </c>
      <c r="B699" s="139">
        <v>42842</v>
      </c>
      <c r="C699" s="138" t="s">
        <v>118</v>
      </c>
      <c r="D699" s="138"/>
      <c r="E699" s="140" t="s">
        <v>623</v>
      </c>
      <c r="F699" s="141"/>
      <c r="G699" s="142"/>
      <c r="H699" s="141"/>
      <c r="I699" s="141"/>
      <c r="J699" s="143">
        <v>0</v>
      </c>
      <c r="K699" s="6"/>
      <c r="L699" s="20">
        <f>IF(ISNA(MATCH(Transactions[[#This Row],[TransType]],TransTypes[TransType],0)),1,MATCH(Transactions[[#This Row],[TransType]],TransTypes[TransType],0))</f>
        <v>4</v>
      </c>
      <c r="M699" s="144">
        <f>IF( AND( INDEX(TransTypes[],Transactions[[#This Row],[TTR]],TT_COL_GLFlag)=1, INDEX(TransTypes[],Transactions[[#This Row],[TTR]],TT_COL_LONGORSHORT)="S" ),
      Transactions[[#This Row],[PL]],
      IF(INDEX(TransTypes[],Transactions[[#This Row],[TTR]],TT_COL_LONGORSHORT)="S",0,Transactions[[#This Row],[CalCashImpact]])
)</f>
        <v>0</v>
      </c>
      <c r="N699" s="145">
        <f>IF(VLOOKUP(Transactions[[#This Row],[Symbol]],Symbols[],COLUMN(Symbols[Currency])-COLUMN(Symbols[])+1,FALSE)=
       VLOOKUP(Transactions[[#This Row],[Account]],Accounts[],COLUMN(Accounts[Currency])-COLUMN(Accounts[])+1,FALSE),
     Transactions[[#This Row],[OrigCashImpact]],
     0
)</f>
        <v>0</v>
      </c>
      <c r="O69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69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69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160238.21999999988</v>
      </c>
      <c r="R699" s="41">
        <f>ROW()</f>
        <v>699</v>
      </c>
      <c r="S6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6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158383.63478188103</v>
      </c>
      <c r="U69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160238.21999999988</v>
      </c>
      <c r="V699" s="150">
        <f>IF(INDEX(TransTypes[],Transactions[[#This Row],[TTR]],TT_COL_GLFlag)=1,Transactions[[#This Row],[CalCashImpact]]+Transactions[[#This Row],[CostImpact]],0)</f>
        <v>0</v>
      </c>
      <c r="W699" s="151">
        <f>Transactions[[#This Row],[Amount]]*INDEX(TransTypes[],Transactions[[#This Row],[TTR]],TT_COL_AmntSign)</f>
        <v>0</v>
      </c>
      <c r="X699" s="151">
        <f>IF(INDEX(TransTypes[],Transactions[[#This Row],[TTR]],TT_COL_LONGORSHORT)="S",
      IF( OR(INDEX(TransTypes[],Transactions[[#This Row],[TTR]],TT_COL_GLFlag)=1, INDEX(TransTypes[], Transactions[[#This Row],[TTR]], TT_COL_ShareTransferFlag)=1),
            Transactions[[#This Row],[CostImpact]]*-1,
            Transactions[[#This Row],[CalCashImpact]]
      ),
     0
)</f>
        <v>0</v>
      </c>
      <c r="Y699" s="152" t="str">
        <f>VLOOKUP(Transactions[[#This Row],[Symbol]],Symbols[], COLUMN(Symbols[Currency])-COLUMN(Symbols[])+1,FALSE)</f>
        <v>CNY</v>
      </c>
    </row>
    <row r="700" spans="1:25">
      <c r="A700" s="138" t="s">
        <v>600</v>
      </c>
      <c r="B700" s="139">
        <v>42842</v>
      </c>
      <c r="C700" s="138" t="s">
        <v>113</v>
      </c>
      <c r="D700" s="138" t="s">
        <v>531</v>
      </c>
      <c r="E700" s="140" t="s">
        <v>623</v>
      </c>
      <c r="F700" s="141">
        <v>468.57</v>
      </c>
      <c r="G700" s="142">
        <v>0</v>
      </c>
      <c r="H700" s="141"/>
      <c r="I700" s="141"/>
      <c r="J700" s="143">
        <v>0</v>
      </c>
      <c r="K700" s="6"/>
      <c r="L700" s="20">
        <f>IF(ISNA(MATCH(Transactions[[#This Row],[TransType]],TransTypes[TransType],0)),1,MATCH(Transactions[[#This Row],[TransType]],TransTypes[TransType],0))</f>
        <v>2</v>
      </c>
      <c r="M700" s="144">
        <f>IF( AND( INDEX(TransTypes[],Transactions[[#This Row],[TTR]],TT_COL_GLFlag)=1, INDEX(TransTypes[],Transactions[[#This Row],[TTR]],TT_COL_LONGORSHORT)="S" ),
      Transactions[[#This Row],[PL]],
      IF(INDEX(TransTypes[],Transactions[[#This Row],[TTR]],TT_COL_LONGORSHORT)="S",0,Transactions[[#This Row],[CalCashImpact]])
)</f>
        <v>0</v>
      </c>
      <c r="N700" s="145">
        <f>IF(VLOOKUP(Transactions[[#This Row],[Symbol]],Symbols[],COLUMN(Symbols[Currency])-COLUMN(Symbols[])+1,FALSE)=
       VLOOKUP(Transactions[[#This Row],[Account]],Accounts[],COLUMN(Accounts[Currency])-COLUMN(Accounts[])+1,FALSE),
     Transactions[[#This Row],[OrigCashImpact]],
     0
)</f>
        <v>0</v>
      </c>
      <c r="O70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0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468.57</v>
      </c>
      <c r="Q70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160706.78999999989</v>
      </c>
      <c r="R700" s="41">
        <f>ROW()</f>
        <v>700</v>
      </c>
      <c r="S7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158383.63478188103</v>
      </c>
      <c r="U70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160706.78999999989</v>
      </c>
      <c r="V700" s="150">
        <f>IF(INDEX(TransTypes[],Transactions[[#This Row],[TTR]],TT_COL_GLFlag)=1,Transactions[[#This Row],[CalCashImpact]]+Transactions[[#This Row],[CostImpact]],0)</f>
        <v>0</v>
      </c>
      <c r="W700" s="151">
        <f>Transactions[[#This Row],[Amount]]*INDEX(TransTypes[],Transactions[[#This Row],[TTR]],TT_COL_AmntSign)</f>
        <v>0</v>
      </c>
      <c r="X700" s="151">
        <f>IF(INDEX(TransTypes[],Transactions[[#This Row],[TTR]],TT_COL_LONGORSHORT)="S",
      IF( OR(INDEX(TransTypes[],Transactions[[#This Row],[TTR]],TT_COL_GLFlag)=1, INDEX(TransTypes[], Transactions[[#This Row],[TTR]], TT_COL_ShareTransferFlag)=1),
            Transactions[[#This Row],[CostImpact]]*-1,
            Transactions[[#This Row],[CalCashImpact]]
      ),
     0
)</f>
        <v>0</v>
      </c>
      <c r="Y700" s="152" t="str">
        <f>VLOOKUP(Transactions[[#This Row],[Symbol]],Symbols[], COLUMN(Symbols[Currency])-COLUMN(Symbols[])+1,FALSE)</f>
        <v>CNY</v>
      </c>
    </row>
    <row r="701" spans="1:25">
      <c r="A701" s="138" t="s">
        <v>600</v>
      </c>
      <c r="B701" s="139">
        <v>42858</v>
      </c>
      <c r="C701" s="138" t="s">
        <v>115</v>
      </c>
      <c r="D701" s="138"/>
      <c r="E701" s="140" t="s">
        <v>623</v>
      </c>
      <c r="F701" s="141">
        <v>60000</v>
      </c>
      <c r="G701" s="142">
        <v>1</v>
      </c>
      <c r="H701" s="141">
        <v>0</v>
      </c>
      <c r="I701" s="141"/>
      <c r="J701" s="143">
        <v>60000</v>
      </c>
      <c r="K701" s="6"/>
      <c r="L701" s="20">
        <f>IF(ISNA(MATCH(Transactions[[#This Row],[TransType]],TransTypes[TransType],0)),1,MATCH(Transactions[[#This Row],[TransType]],TransTypes[TransType],0))</f>
        <v>3</v>
      </c>
      <c r="M701" s="144">
        <f>IF( AND( INDEX(TransTypes[],Transactions[[#This Row],[TTR]],TT_COL_GLFlag)=1, INDEX(TransTypes[],Transactions[[#This Row],[TTR]],TT_COL_LONGORSHORT)="S" ),
      Transactions[[#This Row],[PL]],
      IF(INDEX(TransTypes[],Transactions[[#This Row],[TTR]],TT_COL_LONGORSHORT)="S",0,Transactions[[#This Row],[CalCashImpact]])
)</f>
        <v>60000</v>
      </c>
      <c r="N701" s="145">
        <f>IF(VLOOKUP(Transactions[[#This Row],[Symbol]],Symbols[],COLUMN(Symbols[Currency])-COLUMN(Symbols[])+1,FALSE)=
       VLOOKUP(Transactions[[#This Row],[Account]],Accounts[],COLUMN(Accounts[Currency])-COLUMN(Accounts[])+1,FALSE),
     Transactions[[#This Row],[OrigCashImpact]],
     0
)</f>
        <v>60000</v>
      </c>
      <c r="O70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59977.049999999756</v>
      </c>
      <c r="P70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70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100706.78999999989</v>
      </c>
      <c r="R701" s="41">
        <f>ROW()</f>
        <v>701</v>
      </c>
      <c r="S7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-59132.64826528405</v>
      </c>
      <c r="T7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99250.986516596982</v>
      </c>
      <c r="U70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160706.78999999989</v>
      </c>
      <c r="V701" s="150">
        <f>IF(INDEX(TransTypes[],Transactions[[#This Row],[TTR]],TT_COL_GLFlag)=1,Transactions[[#This Row],[CalCashImpact]]+Transactions[[#This Row],[CostImpact]],0)</f>
        <v>867.35173471595044</v>
      </c>
      <c r="W701" s="151">
        <f>Transactions[[#This Row],[Amount]]*INDEX(TransTypes[],Transactions[[#This Row],[TTR]],TT_COL_AmntSign)</f>
        <v>60000</v>
      </c>
      <c r="X701" s="151">
        <f>IF(INDEX(TransTypes[],Transactions[[#This Row],[TTR]],TT_COL_LONGORSHORT)="S",
      IF( OR(INDEX(TransTypes[],Transactions[[#This Row],[TTR]],TT_COL_GLFlag)=1, INDEX(TransTypes[], Transactions[[#This Row],[TTR]], TT_COL_ShareTransferFlag)=1),
            Transactions[[#This Row],[CostImpact]]*-1,
            Transactions[[#This Row],[CalCashImpact]]
      ),
     0
)</f>
        <v>0</v>
      </c>
      <c r="Y701" s="152" t="str">
        <f>VLOOKUP(Transactions[[#This Row],[Symbol]],Symbols[], COLUMN(Symbols[Currency])-COLUMN(Symbols[])+1,FALSE)</f>
        <v>CNY</v>
      </c>
    </row>
    <row r="702" spans="1:25">
      <c r="A702" s="138" t="s">
        <v>600</v>
      </c>
      <c r="B702" s="139">
        <v>42859</v>
      </c>
      <c r="C702" s="138" t="s">
        <v>113</v>
      </c>
      <c r="D702" s="138"/>
      <c r="E702" s="140" t="s">
        <v>620</v>
      </c>
      <c r="F702" s="141">
        <v>29738.57</v>
      </c>
      <c r="G702" s="142">
        <v>1.6787999557477</v>
      </c>
      <c r="H702" s="141">
        <v>74.89</v>
      </c>
      <c r="I702" s="141"/>
      <c r="J702" s="143">
        <v>50000</v>
      </c>
      <c r="K702" s="6"/>
      <c r="L702" s="20">
        <f>IF(ISNA(MATCH(Transactions[[#This Row],[TransType]],TransTypes[TransType],0)),1,MATCH(Transactions[[#This Row],[TransType]],TransTypes[TransType],0))</f>
        <v>2</v>
      </c>
      <c r="M702" s="144">
        <f>IF( AND( INDEX(TransTypes[],Transactions[[#This Row],[TTR]],TT_COL_GLFlag)=1, INDEX(TransTypes[],Transactions[[#This Row],[TTR]],TT_COL_LONGORSHORT)="S" ),
      Transactions[[#This Row],[PL]],
      IF(INDEX(TransTypes[],Transactions[[#This Row],[TTR]],TT_COL_LONGORSHORT)="S",0,Transactions[[#This Row],[CalCashImpact]])
)</f>
        <v>-50000</v>
      </c>
      <c r="N702" s="145">
        <f>IF(VLOOKUP(Transactions[[#This Row],[Symbol]],Symbols[],COLUMN(Symbols[Currency])-COLUMN(Symbols[])+1,FALSE)=
       VLOOKUP(Transactions[[#This Row],[Account]],Accounts[],COLUMN(Accounts[Currency])-COLUMN(Accounts[])+1,FALSE),
     Transactions[[#This Row],[OrigCashImpact]],
     0
)</f>
        <v>-50000</v>
      </c>
      <c r="O70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9977.0499999997555</v>
      </c>
      <c r="P70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29738.57</v>
      </c>
      <c r="Q70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447607.82999999996</v>
      </c>
      <c r="R702" s="41">
        <f>ROW()</f>
        <v>702</v>
      </c>
      <c r="S7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50000</v>
      </c>
      <c r="T7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715674</v>
      </c>
      <c r="U70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447607.82999999996</v>
      </c>
      <c r="V702" s="150">
        <f>IF(INDEX(TransTypes[],Transactions[[#This Row],[TTR]],TT_COL_GLFlag)=1,Transactions[[#This Row],[CalCashImpact]]+Transactions[[#This Row],[CostImpact]],0)</f>
        <v>0</v>
      </c>
      <c r="W702" s="151">
        <f>Transactions[[#This Row],[Amount]]*INDEX(TransTypes[],Transactions[[#This Row],[TTR]],TT_COL_AmntSign)</f>
        <v>-50000</v>
      </c>
      <c r="X702" s="151">
        <f>IF(INDEX(TransTypes[],Transactions[[#This Row],[TTR]],TT_COL_LONGORSHORT)="S",
      IF( OR(INDEX(TransTypes[],Transactions[[#This Row],[TTR]],TT_COL_GLFlag)=1, INDEX(TransTypes[], Transactions[[#This Row],[TTR]], TT_COL_ShareTransferFlag)=1),
            Transactions[[#This Row],[CostImpact]]*-1,
            Transactions[[#This Row],[CalCashImpact]]
      ),
     0
)</f>
        <v>0</v>
      </c>
      <c r="Y702" s="152" t="str">
        <f>VLOOKUP(Transactions[[#This Row],[Symbol]],Symbols[], COLUMN(Symbols[Currency])-COLUMN(Symbols[])+1,FALSE)</f>
        <v>CNY</v>
      </c>
    </row>
    <row r="703" spans="1:25">
      <c r="A703" s="138" t="s">
        <v>600</v>
      </c>
      <c r="B703" s="139">
        <v>42859</v>
      </c>
      <c r="C703" s="138" t="s">
        <v>113</v>
      </c>
      <c r="D703" s="138"/>
      <c r="E703" s="140" t="s">
        <v>632</v>
      </c>
      <c r="F703" s="141">
        <v>6198.03</v>
      </c>
      <c r="G703" s="142">
        <v>1.6110005921236199</v>
      </c>
      <c r="H703" s="141">
        <v>14.97</v>
      </c>
      <c r="I703" s="141"/>
      <c r="J703" s="143">
        <v>10000</v>
      </c>
      <c r="K703" s="6"/>
      <c r="L703" s="20">
        <f>IF(ISNA(MATCH(Transactions[[#This Row],[TransType]],TransTypes[TransType],0)),1,MATCH(Transactions[[#This Row],[TransType]],TransTypes[TransType],0))</f>
        <v>2</v>
      </c>
      <c r="M703" s="144">
        <f>IF( AND( INDEX(TransTypes[],Transactions[[#This Row],[TTR]],TT_COL_GLFlag)=1, INDEX(TransTypes[],Transactions[[#This Row],[TTR]],TT_COL_LONGORSHORT)="S" ),
      Transactions[[#This Row],[PL]],
      IF(INDEX(TransTypes[],Transactions[[#This Row],[TTR]],TT_COL_LONGORSHORT)="S",0,Transactions[[#This Row],[CalCashImpact]])
)</f>
        <v>-10000</v>
      </c>
      <c r="N703" s="145">
        <f>IF(VLOOKUP(Transactions[[#This Row],[Symbol]],Symbols[],COLUMN(Symbols[Currency])-COLUMN(Symbols[])+1,FALSE)=
       VLOOKUP(Transactions[[#This Row],[Account]],Accounts[],COLUMN(Accounts[Currency])-COLUMN(Accounts[])+1,FALSE),
     Transactions[[#This Row],[OrigCashImpact]],
     0
)</f>
        <v>-10000</v>
      </c>
      <c r="O70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0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6198.03</v>
      </c>
      <c r="Q70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139210.38</v>
      </c>
      <c r="R703" s="41">
        <f>ROW()</f>
        <v>703</v>
      </c>
      <c r="S7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v>
      </c>
      <c r="T7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282847.27</v>
      </c>
      <c r="U70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139210.38</v>
      </c>
      <c r="V703" s="150">
        <f>IF(INDEX(TransTypes[],Transactions[[#This Row],[TTR]],TT_COL_GLFlag)=1,Transactions[[#This Row],[CalCashImpact]]+Transactions[[#This Row],[CostImpact]],0)</f>
        <v>0</v>
      </c>
      <c r="W703" s="151">
        <f>Transactions[[#This Row],[Amount]]*INDEX(TransTypes[],Transactions[[#This Row],[TTR]],TT_COL_AmntSign)</f>
        <v>-10000</v>
      </c>
      <c r="X703" s="151">
        <f>IF(INDEX(TransTypes[],Transactions[[#This Row],[TTR]],TT_COL_LONGORSHORT)="S",
      IF( OR(INDEX(TransTypes[],Transactions[[#This Row],[TTR]],TT_COL_GLFlag)=1, INDEX(TransTypes[], Transactions[[#This Row],[TTR]], TT_COL_ShareTransferFlag)=1),
            Transactions[[#This Row],[CostImpact]]*-1,
            Transactions[[#This Row],[CalCashImpact]]
      ),
     0
)</f>
        <v>0</v>
      </c>
      <c r="Y703" s="152" t="str">
        <f>VLOOKUP(Transactions[[#This Row],[Symbol]],Symbols[], COLUMN(Symbols[Currency])-COLUMN(Symbols[])+1,FALSE)</f>
        <v>CNY</v>
      </c>
    </row>
    <row r="704" spans="1:25">
      <c r="A704" s="138" t="s">
        <v>600</v>
      </c>
      <c r="B704" s="139">
        <v>42866</v>
      </c>
      <c r="C704" s="138" t="s">
        <v>113</v>
      </c>
      <c r="D704" s="138"/>
      <c r="E704" s="140" t="s">
        <v>602</v>
      </c>
      <c r="F704" s="141">
        <v>50444.51</v>
      </c>
      <c r="G704" s="142">
        <v>1.9800000039647501</v>
      </c>
      <c r="H704" s="141">
        <v>119.86</v>
      </c>
      <c r="I704" s="141"/>
      <c r="J704" s="143">
        <v>99999.99</v>
      </c>
      <c r="K704" s="6"/>
      <c r="L704" s="20">
        <f>IF(ISNA(MATCH(Transactions[[#This Row],[TransType]],TransTypes[TransType],0)),1,MATCH(Transactions[[#This Row],[TransType]],TransTypes[TransType],0))</f>
        <v>2</v>
      </c>
      <c r="M704" s="144">
        <f>IF( AND( INDEX(TransTypes[],Transactions[[#This Row],[TTR]],TT_COL_GLFlag)=1, INDEX(TransTypes[],Transactions[[#This Row],[TTR]],TT_COL_LONGORSHORT)="S" ),
      Transactions[[#This Row],[PL]],
      IF(INDEX(TransTypes[],Transactions[[#This Row],[TTR]],TT_COL_LONGORSHORT)="S",0,Transactions[[#This Row],[CalCashImpact]])
)</f>
        <v>-99999.99</v>
      </c>
      <c r="N704" s="145">
        <f>IF(VLOOKUP(Transactions[[#This Row],[Symbol]],Symbols[],COLUMN(Symbols[Currency])-COLUMN(Symbols[])+1,FALSE)=
       VLOOKUP(Transactions[[#This Row],[Account]],Accounts[],COLUMN(Accounts[Currency])-COLUMN(Accounts[])+1,FALSE),
     Transactions[[#This Row],[OrigCashImpact]],
     0
)</f>
        <v>-99999.99</v>
      </c>
      <c r="O70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-100022.94000000025</v>
      </c>
      <c r="P70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50444.51</v>
      </c>
      <c r="Q70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50444.51</v>
      </c>
      <c r="R704" s="41">
        <f>ROW()</f>
        <v>704</v>
      </c>
      <c r="S7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99999.99</v>
      </c>
      <c r="T7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99999.99</v>
      </c>
      <c r="U70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50444.51</v>
      </c>
      <c r="V704" s="150">
        <f>IF(INDEX(TransTypes[],Transactions[[#This Row],[TTR]],TT_COL_GLFlag)=1,Transactions[[#This Row],[CalCashImpact]]+Transactions[[#This Row],[CostImpact]],0)</f>
        <v>0</v>
      </c>
      <c r="W704" s="151">
        <f>Transactions[[#This Row],[Amount]]*INDEX(TransTypes[],Transactions[[#This Row],[TTR]],TT_COL_AmntSign)</f>
        <v>-99999.99</v>
      </c>
      <c r="X704" s="151">
        <f>IF(INDEX(TransTypes[],Transactions[[#This Row],[TTR]],TT_COL_LONGORSHORT)="S",
      IF( OR(INDEX(TransTypes[],Transactions[[#This Row],[TTR]],TT_COL_GLFlag)=1, INDEX(TransTypes[], Transactions[[#This Row],[TTR]], TT_COL_ShareTransferFlag)=1),
            Transactions[[#This Row],[CostImpact]]*-1,
            Transactions[[#This Row],[CalCashImpact]]
      ),
     0
)</f>
        <v>0</v>
      </c>
      <c r="Y704" s="152" t="str">
        <f>VLOOKUP(Transactions[[#This Row],[Symbol]],Symbols[], COLUMN(Symbols[Currency])-COLUMN(Symbols[])+1,FALSE)</f>
        <v>CNY</v>
      </c>
    </row>
    <row r="705" spans="1:25">
      <c r="A705" s="138" t="s">
        <v>600</v>
      </c>
      <c r="B705" s="139">
        <v>42866</v>
      </c>
      <c r="C705" s="138" t="s">
        <v>115</v>
      </c>
      <c r="D705" s="138"/>
      <c r="E705" s="140" t="s">
        <v>623</v>
      </c>
      <c r="F705" s="141">
        <v>100000</v>
      </c>
      <c r="G705" s="142">
        <v>1</v>
      </c>
      <c r="H705" s="141">
        <v>0</v>
      </c>
      <c r="I705" s="141"/>
      <c r="J705" s="143">
        <v>100000</v>
      </c>
      <c r="K705" s="6"/>
      <c r="L705" s="20">
        <f>IF(ISNA(MATCH(Transactions[[#This Row],[TransType]],TransTypes[TransType],0)),1,MATCH(Transactions[[#This Row],[TransType]],TransTypes[TransType],0))</f>
        <v>3</v>
      </c>
      <c r="M705" s="144">
        <f>IF( AND( INDEX(TransTypes[],Transactions[[#This Row],[TTR]],TT_COL_GLFlag)=1, INDEX(TransTypes[],Transactions[[#This Row],[TTR]],TT_COL_LONGORSHORT)="S" ),
      Transactions[[#This Row],[PL]],
      IF(INDEX(TransTypes[],Transactions[[#This Row],[TTR]],TT_COL_LONGORSHORT)="S",0,Transactions[[#This Row],[CalCashImpact]])
)</f>
        <v>100000</v>
      </c>
      <c r="N705" s="145">
        <f>IF(VLOOKUP(Transactions[[#This Row],[Symbol]],Symbols[],COLUMN(Symbols[Currency])-COLUMN(Symbols[])+1,FALSE)=
       VLOOKUP(Transactions[[#This Row],[Account]],Accounts[],COLUMN(Accounts[Currency])-COLUMN(Accounts[])+1,FALSE),
     Transactions[[#This Row],[OrigCashImpact]],
     0
)</f>
        <v>100000</v>
      </c>
      <c r="O70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-22.940000000249711</v>
      </c>
      <c r="P70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70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706.78999999989173</v>
      </c>
      <c r="R705" s="41">
        <f>ROW()</f>
        <v>705</v>
      </c>
      <c r="S7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-98554.413775473411</v>
      </c>
      <c r="T7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696.57274112357118</v>
      </c>
      <c r="U70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100706.78999999989</v>
      </c>
      <c r="V705" s="150">
        <f>IF(INDEX(TransTypes[],Transactions[[#This Row],[TTR]],TT_COL_GLFlag)=1,Transactions[[#This Row],[CalCashImpact]]+Transactions[[#This Row],[CostImpact]],0)</f>
        <v>1445.5862245265889</v>
      </c>
      <c r="W705" s="151">
        <f>Transactions[[#This Row],[Amount]]*INDEX(TransTypes[],Transactions[[#This Row],[TTR]],TT_COL_AmntSign)</f>
        <v>100000</v>
      </c>
      <c r="X705" s="151">
        <f>IF(INDEX(TransTypes[],Transactions[[#This Row],[TTR]],TT_COL_LONGORSHORT)="S",
      IF( OR(INDEX(TransTypes[],Transactions[[#This Row],[TTR]],TT_COL_GLFlag)=1, INDEX(TransTypes[], Transactions[[#This Row],[TTR]], TT_COL_ShareTransferFlag)=1),
            Transactions[[#This Row],[CostImpact]]*-1,
            Transactions[[#This Row],[CalCashImpact]]
      ),
     0
)</f>
        <v>0</v>
      </c>
      <c r="Y705" s="152" t="str">
        <f>VLOOKUP(Transactions[[#This Row],[Symbol]],Symbols[], COLUMN(Symbols[Currency])-COLUMN(Symbols[])+1,FALSE)</f>
        <v>CNY</v>
      </c>
    </row>
    <row r="706" spans="1:25">
      <c r="A706" s="138" t="s">
        <v>600</v>
      </c>
      <c r="B706" s="139">
        <v>42866</v>
      </c>
      <c r="C706" s="138" t="s">
        <v>115</v>
      </c>
      <c r="D706" s="138"/>
      <c r="E706" s="140" t="s">
        <v>632</v>
      </c>
      <c r="F706" s="141">
        <v>139210.38</v>
      </c>
      <c r="G706" s="142">
        <v>1.5710000216937801</v>
      </c>
      <c r="H706" s="141">
        <v>1093.3900000000001</v>
      </c>
      <c r="I706" s="141"/>
      <c r="J706" s="143">
        <v>217606.12</v>
      </c>
      <c r="K706" s="6"/>
      <c r="L706" s="20">
        <f>IF(ISNA(MATCH(Transactions[[#This Row],[TransType]],TransTypes[TransType],0)),1,MATCH(Transactions[[#This Row],[TransType]],TransTypes[TransType],0))</f>
        <v>3</v>
      </c>
      <c r="M706" s="144">
        <f>IF( AND( INDEX(TransTypes[],Transactions[[#This Row],[TTR]],TT_COL_GLFlag)=1, INDEX(TransTypes[],Transactions[[#This Row],[TTR]],TT_COL_LONGORSHORT)="S" ),
      Transactions[[#This Row],[PL]],
      IF(INDEX(TransTypes[],Transactions[[#This Row],[TTR]],TT_COL_LONGORSHORT)="S",0,Transactions[[#This Row],[CalCashImpact]])
)</f>
        <v>217606.12</v>
      </c>
      <c r="N706" s="145">
        <f>IF(VLOOKUP(Transactions[[#This Row],[Symbol]],Symbols[],COLUMN(Symbols[Currency])-COLUMN(Symbols[])+1,FALSE)=
       VLOOKUP(Transactions[[#This Row],[Account]],Accounts[],COLUMN(Accounts[Currency])-COLUMN(Accounts[])+1,FALSE),
     Transactions[[#This Row],[OrigCashImpact]],
     0
)</f>
        <v>217606.12</v>
      </c>
      <c r="O70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217583.17999999976</v>
      </c>
      <c r="P70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-139210.38</v>
      </c>
      <c r="Q70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06" s="41">
        <f>ROW()</f>
        <v>706</v>
      </c>
      <c r="S7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-282847.27</v>
      </c>
      <c r="T7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0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139210.38</v>
      </c>
      <c r="V706" s="150">
        <f>IF(INDEX(TransTypes[],Transactions[[#This Row],[TTR]],TT_COL_GLFlag)=1,Transactions[[#This Row],[CalCashImpact]]+Transactions[[#This Row],[CostImpact]],0)</f>
        <v>-65241.150000000023</v>
      </c>
      <c r="W706" s="151">
        <f>Transactions[[#This Row],[Amount]]*INDEX(TransTypes[],Transactions[[#This Row],[TTR]],TT_COL_AmntSign)</f>
        <v>217606.12</v>
      </c>
      <c r="X706" s="151">
        <f>IF(INDEX(TransTypes[],Transactions[[#This Row],[TTR]],TT_COL_LONGORSHORT)="S",
      IF( OR(INDEX(TransTypes[],Transactions[[#This Row],[TTR]],TT_COL_GLFlag)=1, INDEX(TransTypes[], Transactions[[#This Row],[TTR]], TT_COL_ShareTransferFlag)=1),
            Transactions[[#This Row],[CostImpact]]*-1,
            Transactions[[#This Row],[CalCashImpact]]
      ),
     0
)</f>
        <v>0</v>
      </c>
      <c r="Y706" s="152" t="str">
        <f>VLOOKUP(Transactions[[#This Row],[Symbol]],Symbols[], COLUMN(Symbols[Currency])-COLUMN(Symbols[])+1,FALSE)</f>
        <v>CNY</v>
      </c>
    </row>
    <row r="707" spans="1:25">
      <c r="A707" s="138" t="s">
        <v>600</v>
      </c>
      <c r="B707" s="139">
        <v>42870</v>
      </c>
      <c r="C707" s="138" t="s">
        <v>113</v>
      </c>
      <c r="D707" s="138"/>
      <c r="E707" s="140" t="s">
        <v>623</v>
      </c>
      <c r="F707" s="141">
        <v>217606.13</v>
      </c>
      <c r="G707" s="142">
        <v>1</v>
      </c>
      <c r="H707" s="141">
        <v>0</v>
      </c>
      <c r="I707" s="141"/>
      <c r="J707" s="143">
        <v>217606.13</v>
      </c>
      <c r="K707" s="6"/>
      <c r="L707" s="20">
        <f>IF(ISNA(MATCH(Transactions[[#This Row],[TransType]],TransTypes[TransType],0)),1,MATCH(Transactions[[#This Row],[TransType]],TransTypes[TransType],0))</f>
        <v>2</v>
      </c>
      <c r="M707" s="144">
        <f>IF( AND( INDEX(TransTypes[],Transactions[[#This Row],[TTR]],TT_COL_GLFlag)=1, INDEX(TransTypes[],Transactions[[#This Row],[TTR]],TT_COL_LONGORSHORT)="S" ),
      Transactions[[#This Row],[PL]],
      IF(INDEX(TransTypes[],Transactions[[#This Row],[TTR]],TT_COL_LONGORSHORT)="S",0,Transactions[[#This Row],[CalCashImpact]])
)</f>
        <v>-217606.13</v>
      </c>
      <c r="N707" s="145">
        <f>IF(VLOOKUP(Transactions[[#This Row],[Symbol]],Symbols[],COLUMN(Symbols[Currency])-COLUMN(Symbols[])+1,FALSE)=
       VLOOKUP(Transactions[[#This Row],[Account]],Accounts[],COLUMN(Accounts[Currency])-COLUMN(Accounts[])+1,FALSE),
     Transactions[[#This Row],[OrigCashImpact]],
     0
)</f>
        <v>-217606.13</v>
      </c>
      <c r="O70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0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217606.13</v>
      </c>
      <c r="Q70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218312.9199999999</v>
      </c>
      <c r="R707" s="41">
        <f>ROW()</f>
        <v>707</v>
      </c>
      <c r="S7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217606.13</v>
      </c>
      <c r="T7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218302.70274112356</v>
      </c>
      <c r="U70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218312.9199999999</v>
      </c>
      <c r="V707" s="150">
        <f>IF(INDEX(TransTypes[],Transactions[[#This Row],[TTR]],TT_COL_GLFlag)=1,Transactions[[#This Row],[CalCashImpact]]+Transactions[[#This Row],[CostImpact]],0)</f>
        <v>0</v>
      </c>
      <c r="W707" s="151">
        <f>Transactions[[#This Row],[Amount]]*INDEX(TransTypes[],Transactions[[#This Row],[TTR]],TT_COL_AmntSign)</f>
        <v>-217606.13</v>
      </c>
      <c r="X707" s="151">
        <f>IF(INDEX(TransTypes[],Transactions[[#This Row],[TTR]],TT_COL_LONGORSHORT)="S",
      IF( OR(INDEX(TransTypes[],Transactions[[#This Row],[TTR]],TT_COL_GLFlag)=1, INDEX(TransTypes[], Transactions[[#This Row],[TTR]], TT_COL_ShareTransferFlag)=1),
            Transactions[[#This Row],[CostImpact]]*-1,
            Transactions[[#This Row],[CalCashImpact]]
      ),
     0
)</f>
        <v>0</v>
      </c>
      <c r="Y707" s="152" t="str">
        <f>VLOOKUP(Transactions[[#This Row],[Symbol]],Symbols[], COLUMN(Symbols[Currency])-COLUMN(Symbols[])+1,FALSE)</f>
        <v>CNY</v>
      </c>
    </row>
    <row r="708" spans="1:25">
      <c r="A708" s="138" t="s">
        <v>600</v>
      </c>
      <c r="B708" s="139">
        <v>42871</v>
      </c>
      <c r="C708" s="138" t="s">
        <v>118</v>
      </c>
      <c r="D708" s="138"/>
      <c r="E708" s="140" t="s">
        <v>623</v>
      </c>
      <c r="F708" s="141"/>
      <c r="G708" s="142"/>
      <c r="H708" s="141"/>
      <c r="I708" s="141"/>
      <c r="J708" s="143">
        <v>303.33</v>
      </c>
      <c r="K708" s="6"/>
      <c r="L708" s="20">
        <f>IF(ISNA(MATCH(Transactions[[#This Row],[TransType]],TransTypes[TransType],0)),1,MATCH(Transactions[[#This Row],[TransType]],TransTypes[TransType],0))</f>
        <v>4</v>
      </c>
      <c r="M708" s="144">
        <f>IF( AND( INDEX(TransTypes[],Transactions[[#This Row],[TTR]],TT_COL_GLFlag)=1, INDEX(TransTypes[],Transactions[[#This Row],[TTR]],TT_COL_LONGORSHORT)="S" ),
      Transactions[[#This Row],[PL]],
      IF(INDEX(TransTypes[],Transactions[[#This Row],[TTR]],TT_COL_LONGORSHORT)="S",0,Transactions[[#This Row],[CalCashImpact]])
)</f>
        <v>303.33</v>
      </c>
      <c r="N708" s="145">
        <f>IF(VLOOKUP(Transactions[[#This Row],[Symbol]],Symbols[],COLUMN(Symbols[Currency])-COLUMN(Symbols[])+1,FALSE)=
       VLOOKUP(Transactions[[#This Row],[Account]],Accounts[],COLUMN(Accounts[Currency])-COLUMN(Accounts[])+1,FALSE),
     Transactions[[#This Row],[OrigCashImpact]],
     0
)</f>
        <v>303.33</v>
      </c>
      <c r="O70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280.37999999975551</v>
      </c>
      <c r="P70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0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218312.9199999999</v>
      </c>
      <c r="R708" s="41">
        <f>ROW()</f>
        <v>708</v>
      </c>
      <c r="S7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218302.70274112356</v>
      </c>
      <c r="U70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218312.9199999999</v>
      </c>
      <c r="V708" s="150">
        <f>IF(INDEX(TransTypes[],Transactions[[#This Row],[TTR]],TT_COL_GLFlag)=1,Transactions[[#This Row],[CalCashImpact]]+Transactions[[#This Row],[CostImpact]],0)</f>
        <v>0</v>
      </c>
      <c r="W708" s="151">
        <f>Transactions[[#This Row],[Amount]]*INDEX(TransTypes[],Transactions[[#This Row],[TTR]],TT_COL_AmntSign)</f>
        <v>303.33</v>
      </c>
      <c r="X708" s="151">
        <f>IF(INDEX(TransTypes[],Transactions[[#This Row],[TTR]],TT_COL_LONGORSHORT)="S",
      IF( OR(INDEX(TransTypes[],Transactions[[#This Row],[TTR]],TT_COL_GLFlag)=1, INDEX(TransTypes[], Transactions[[#This Row],[TTR]], TT_COL_ShareTransferFlag)=1),
            Transactions[[#This Row],[CostImpact]]*-1,
            Transactions[[#This Row],[CalCashImpact]]
      ),
     0
)</f>
        <v>0</v>
      </c>
      <c r="Y708" s="152" t="str">
        <f>VLOOKUP(Transactions[[#This Row],[Symbol]],Symbols[], COLUMN(Symbols[Currency])-COLUMN(Symbols[])+1,FALSE)</f>
        <v>CNY</v>
      </c>
    </row>
    <row r="709" spans="1:25">
      <c r="A709" s="138" t="s">
        <v>600</v>
      </c>
      <c r="B709" s="139">
        <v>42871</v>
      </c>
      <c r="C709" s="138" t="s">
        <v>113</v>
      </c>
      <c r="D709" s="138" t="s">
        <v>531</v>
      </c>
      <c r="E709" s="140" t="s">
        <v>623</v>
      </c>
      <c r="F709" s="141">
        <v>303.33</v>
      </c>
      <c r="G709" s="142">
        <v>1</v>
      </c>
      <c r="H709" s="141"/>
      <c r="I709" s="141"/>
      <c r="J709" s="143">
        <v>303.33</v>
      </c>
      <c r="K709" s="6"/>
      <c r="L709" s="20">
        <f>IF(ISNA(MATCH(Transactions[[#This Row],[TransType]],TransTypes[TransType],0)),1,MATCH(Transactions[[#This Row],[TransType]],TransTypes[TransType],0))</f>
        <v>2</v>
      </c>
      <c r="M709" s="144">
        <f>IF( AND( INDEX(TransTypes[],Transactions[[#This Row],[TTR]],TT_COL_GLFlag)=1, INDEX(TransTypes[],Transactions[[#This Row],[TTR]],TT_COL_LONGORSHORT)="S" ),
      Transactions[[#This Row],[PL]],
      IF(INDEX(TransTypes[],Transactions[[#This Row],[TTR]],TT_COL_LONGORSHORT)="S",0,Transactions[[#This Row],[CalCashImpact]])
)</f>
        <v>-303.33</v>
      </c>
      <c r="N709" s="145">
        <f>IF(VLOOKUP(Transactions[[#This Row],[Symbol]],Symbols[],COLUMN(Symbols[Currency])-COLUMN(Symbols[])+1,FALSE)=
       VLOOKUP(Transactions[[#This Row],[Account]],Accounts[],COLUMN(Accounts[Currency])-COLUMN(Accounts[])+1,FALSE),
     Transactions[[#This Row],[OrigCashImpact]],
     0
)</f>
        <v>-303.33</v>
      </c>
      <c r="O70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0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303.33</v>
      </c>
      <c r="Q70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218616.24999999988</v>
      </c>
      <c r="R709" s="41">
        <f>ROW()</f>
        <v>709</v>
      </c>
      <c r="S7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303.33</v>
      </c>
      <c r="T7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218606.03274112355</v>
      </c>
      <c r="U70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218616.24999999988</v>
      </c>
      <c r="V709" s="150">
        <f>IF(INDEX(TransTypes[],Transactions[[#This Row],[TTR]],TT_COL_GLFlag)=1,Transactions[[#This Row],[CalCashImpact]]+Transactions[[#This Row],[CostImpact]],0)</f>
        <v>0</v>
      </c>
      <c r="W709" s="151">
        <f>Transactions[[#This Row],[Amount]]*INDEX(TransTypes[],Transactions[[#This Row],[TTR]],TT_COL_AmntSign)</f>
        <v>-303.33</v>
      </c>
      <c r="X709" s="151">
        <f>IF(INDEX(TransTypes[],Transactions[[#This Row],[TTR]],TT_COL_LONGORSHORT)="S",
      IF( OR(INDEX(TransTypes[],Transactions[[#This Row],[TTR]],TT_COL_GLFlag)=1, INDEX(TransTypes[], Transactions[[#This Row],[TTR]], TT_COL_ShareTransferFlag)=1),
            Transactions[[#This Row],[CostImpact]]*-1,
            Transactions[[#This Row],[CalCashImpact]]
      ),
     0
)</f>
        <v>0</v>
      </c>
      <c r="Y709" s="152" t="str">
        <f>VLOOKUP(Transactions[[#This Row],[Symbol]],Symbols[], COLUMN(Symbols[Currency])-COLUMN(Symbols[])+1,FALSE)</f>
        <v>CNY</v>
      </c>
    </row>
    <row r="710" spans="1:25">
      <c r="A710" s="138" t="s">
        <v>600</v>
      </c>
      <c r="B710" s="139">
        <v>42874</v>
      </c>
      <c r="C710" s="138" t="s">
        <v>115</v>
      </c>
      <c r="D710" s="138"/>
      <c r="E710" s="140" t="s">
        <v>623</v>
      </c>
      <c r="F710" s="141">
        <v>100000</v>
      </c>
      <c r="G710" s="142">
        <v>1</v>
      </c>
      <c r="H710" s="141">
        <v>0</v>
      </c>
      <c r="I710" s="141"/>
      <c r="J710" s="143">
        <v>100000</v>
      </c>
      <c r="K710" s="6"/>
      <c r="L710" s="20">
        <f>IF(ISNA(MATCH(Transactions[[#This Row],[TransType]],TransTypes[TransType],0)),1,MATCH(Transactions[[#This Row],[TransType]],TransTypes[TransType],0))</f>
        <v>3</v>
      </c>
      <c r="M710" s="144">
        <f>IF( AND( INDEX(TransTypes[],Transactions[[#This Row],[TTR]],TT_COL_GLFlag)=1, INDEX(TransTypes[],Transactions[[#This Row],[TTR]],TT_COL_LONGORSHORT)="S" ),
      Transactions[[#This Row],[PL]],
      IF(INDEX(TransTypes[],Transactions[[#This Row],[TTR]],TT_COL_LONGORSHORT)="S",0,Transactions[[#This Row],[CalCashImpact]])
)</f>
        <v>100000</v>
      </c>
      <c r="N710" s="145">
        <f>IF(VLOOKUP(Transactions[[#This Row],[Symbol]],Symbols[],COLUMN(Symbols[Currency])-COLUMN(Symbols[])+1,FALSE)=
       VLOOKUP(Transactions[[#This Row],[Account]],Accounts[],COLUMN(Accounts[Currency])-COLUMN(Accounts[])+1,FALSE),
     Transactions[[#This Row],[OrigCashImpact]],
     0
)</f>
        <v>100000</v>
      </c>
      <c r="O71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99977.049999999756</v>
      </c>
      <c r="P71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71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118616.24999999988</v>
      </c>
      <c r="R710" s="41">
        <f>ROW()</f>
        <v>710</v>
      </c>
      <c r="S7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-99995.326395509794</v>
      </c>
      <c r="T7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118610.70634561375</v>
      </c>
      <c r="U71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218616.24999999988</v>
      </c>
      <c r="V710" s="150">
        <f>IF(INDEX(TransTypes[],Transactions[[#This Row],[TTR]],TT_COL_GLFlag)=1,Transactions[[#This Row],[CalCashImpact]]+Transactions[[#This Row],[CostImpact]],0)</f>
        <v>4.6736044902063441</v>
      </c>
      <c r="W710" s="151">
        <f>Transactions[[#This Row],[Amount]]*INDEX(TransTypes[],Transactions[[#This Row],[TTR]],TT_COL_AmntSign)</f>
        <v>100000</v>
      </c>
      <c r="X710" s="151">
        <f>IF(INDEX(TransTypes[],Transactions[[#This Row],[TTR]],TT_COL_LONGORSHORT)="S",
      IF( OR(INDEX(TransTypes[],Transactions[[#This Row],[TTR]],TT_COL_GLFlag)=1, INDEX(TransTypes[], Transactions[[#This Row],[TTR]], TT_COL_ShareTransferFlag)=1),
            Transactions[[#This Row],[CostImpact]]*-1,
            Transactions[[#This Row],[CalCashImpact]]
      ),
     0
)</f>
        <v>0</v>
      </c>
      <c r="Y710" s="152" t="str">
        <f>VLOOKUP(Transactions[[#This Row],[Symbol]],Symbols[], COLUMN(Symbols[Currency])-COLUMN(Symbols[])+1,FALSE)</f>
        <v>CNY</v>
      </c>
    </row>
    <row r="711" spans="1:25">
      <c r="A711" s="138" t="s">
        <v>600</v>
      </c>
      <c r="B711" s="139">
        <v>42877</v>
      </c>
      <c r="C711" s="138" t="s">
        <v>113</v>
      </c>
      <c r="D711" s="138"/>
      <c r="E711" s="140" t="s">
        <v>602</v>
      </c>
      <c r="F711" s="141">
        <v>49617.55</v>
      </c>
      <c r="G711" s="142">
        <v>2.0130000372851899</v>
      </c>
      <c r="H711" s="141">
        <v>119.87</v>
      </c>
      <c r="I711" s="141"/>
      <c r="J711" s="143">
        <v>100000</v>
      </c>
      <c r="K711" s="6"/>
      <c r="L711" s="20">
        <f>IF(ISNA(MATCH(Transactions[[#This Row],[TransType]],TransTypes[TransType],0)),1,MATCH(Transactions[[#This Row],[TransType]],TransTypes[TransType],0))</f>
        <v>2</v>
      </c>
      <c r="M711" s="144">
        <f>IF( AND( INDEX(TransTypes[],Transactions[[#This Row],[TTR]],TT_COL_GLFlag)=1, INDEX(TransTypes[],Transactions[[#This Row],[TTR]],TT_COL_LONGORSHORT)="S" ),
      Transactions[[#This Row],[PL]],
      IF(INDEX(TransTypes[],Transactions[[#This Row],[TTR]],TT_COL_LONGORSHORT)="S",0,Transactions[[#This Row],[CalCashImpact]])
)</f>
        <v>-100000</v>
      </c>
      <c r="N711" s="145">
        <f>IF(VLOOKUP(Transactions[[#This Row],[Symbol]],Symbols[],COLUMN(Symbols[Currency])-COLUMN(Symbols[])+1,FALSE)=
       VLOOKUP(Transactions[[#This Row],[Account]],Accounts[],COLUMN(Accounts[Currency])-COLUMN(Accounts[])+1,FALSE),
     Transactions[[#This Row],[OrigCashImpact]],
     0
)</f>
        <v>-100000</v>
      </c>
      <c r="O71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1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49617.55</v>
      </c>
      <c r="Q71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100062.06</v>
      </c>
      <c r="R711" s="41">
        <f>ROW()</f>
        <v>711</v>
      </c>
      <c r="S7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100000</v>
      </c>
      <c r="T7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199999.99</v>
      </c>
      <c r="U71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100062.06</v>
      </c>
      <c r="V711" s="150">
        <f>IF(INDEX(TransTypes[],Transactions[[#This Row],[TTR]],TT_COL_GLFlag)=1,Transactions[[#This Row],[CalCashImpact]]+Transactions[[#This Row],[CostImpact]],0)</f>
        <v>0</v>
      </c>
      <c r="W711" s="151">
        <f>Transactions[[#This Row],[Amount]]*INDEX(TransTypes[],Transactions[[#This Row],[TTR]],TT_COL_AmntSign)</f>
        <v>-100000</v>
      </c>
      <c r="X711" s="151">
        <f>IF(INDEX(TransTypes[],Transactions[[#This Row],[TTR]],TT_COL_LONGORSHORT)="S",
      IF( OR(INDEX(TransTypes[],Transactions[[#This Row],[TTR]],TT_COL_GLFlag)=1, INDEX(TransTypes[], Transactions[[#This Row],[TTR]], TT_COL_ShareTransferFlag)=1),
            Transactions[[#This Row],[CostImpact]]*-1,
            Transactions[[#This Row],[CalCashImpact]]
      ),
     0
)</f>
        <v>0</v>
      </c>
      <c r="Y711" s="152" t="str">
        <f>VLOOKUP(Transactions[[#This Row],[Symbol]],Symbols[], COLUMN(Symbols[Currency])-COLUMN(Symbols[])+1,FALSE)</f>
        <v>CNY</v>
      </c>
    </row>
    <row r="712" spans="1:25">
      <c r="A712" s="138" t="s">
        <v>600</v>
      </c>
      <c r="B712" s="139">
        <v>42888</v>
      </c>
      <c r="C712" s="138" t="s">
        <v>118</v>
      </c>
      <c r="D712" s="138"/>
      <c r="E712" s="140" t="s">
        <v>623</v>
      </c>
      <c r="F712" s="141"/>
      <c r="G712" s="142"/>
      <c r="H712" s="141"/>
      <c r="I712" s="141"/>
      <c r="J712" s="143">
        <v>127.89</v>
      </c>
      <c r="K712" s="6"/>
      <c r="L712" s="20">
        <f>IF(ISNA(MATCH(Transactions[[#This Row],[TransType]],TransTypes[TransType],0)),1,MATCH(Transactions[[#This Row],[TransType]],TransTypes[TransType],0))</f>
        <v>4</v>
      </c>
      <c r="M712" s="144">
        <f>IF( AND( INDEX(TransTypes[],Transactions[[#This Row],[TTR]],TT_COL_GLFlag)=1, INDEX(TransTypes[],Transactions[[#This Row],[TTR]],TT_COL_LONGORSHORT)="S" ),
      Transactions[[#This Row],[PL]],
      IF(INDEX(TransTypes[],Transactions[[#This Row],[TTR]],TT_COL_LONGORSHORT)="S",0,Transactions[[#This Row],[CalCashImpact]])
)</f>
        <v>127.89</v>
      </c>
      <c r="N712" s="145">
        <f>IF(VLOOKUP(Transactions[[#This Row],[Symbol]],Symbols[],COLUMN(Symbols[Currency])-COLUMN(Symbols[])+1,FALSE)=
       VLOOKUP(Transactions[[#This Row],[Account]],Accounts[],COLUMN(Accounts[Currency])-COLUMN(Accounts[])+1,FALSE),
     Transactions[[#This Row],[OrigCashImpact]],
     0
)</f>
        <v>127.89</v>
      </c>
      <c r="O71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104.93999999975553</v>
      </c>
      <c r="P71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1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118616.24999999988</v>
      </c>
      <c r="R712" s="41">
        <f>ROW()</f>
        <v>712</v>
      </c>
      <c r="S7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118610.70634561375</v>
      </c>
      <c r="U71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118616.24999999988</v>
      </c>
      <c r="V712" s="150">
        <f>IF(INDEX(TransTypes[],Transactions[[#This Row],[TTR]],TT_COL_GLFlag)=1,Transactions[[#This Row],[CalCashImpact]]+Transactions[[#This Row],[CostImpact]],0)</f>
        <v>0</v>
      </c>
      <c r="W712" s="151">
        <f>Transactions[[#This Row],[Amount]]*INDEX(TransTypes[],Transactions[[#This Row],[TTR]],TT_COL_AmntSign)</f>
        <v>127.89</v>
      </c>
      <c r="X712" s="151">
        <f>IF(INDEX(TransTypes[],Transactions[[#This Row],[TTR]],TT_COL_LONGORSHORT)="S",
      IF( OR(INDEX(TransTypes[],Transactions[[#This Row],[TTR]],TT_COL_GLFlag)=1, INDEX(TransTypes[], Transactions[[#This Row],[TTR]], TT_COL_ShareTransferFlag)=1),
            Transactions[[#This Row],[CostImpact]]*-1,
            Transactions[[#This Row],[CalCashImpact]]
      ),
     0
)</f>
        <v>0</v>
      </c>
      <c r="Y712" s="152" t="str">
        <f>VLOOKUP(Transactions[[#This Row],[Symbol]],Symbols[], COLUMN(Symbols[Currency])-COLUMN(Symbols[])+1,FALSE)</f>
        <v>CNY</v>
      </c>
    </row>
    <row r="713" spans="1:25">
      <c r="A713" s="138" t="s">
        <v>600</v>
      </c>
      <c r="B713" s="139">
        <v>42888</v>
      </c>
      <c r="C713" s="138" t="s">
        <v>113</v>
      </c>
      <c r="D713" s="138" t="s">
        <v>531</v>
      </c>
      <c r="E713" s="140" t="s">
        <v>623</v>
      </c>
      <c r="F713" s="141">
        <v>127.89</v>
      </c>
      <c r="G713" s="142">
        <v>1</v>
      </c>
      <c r="H713" s="141"/>
      <c r="I713" s="141"/>
      <c r="J713" s="143">
        <v>127.89</v>
      </c>
      <c r="K713" s="6"/>
      <c r="L713" s="20">
        <f>IF(ISNA(MATCH(Transactions[[#This Row],[TransType]],TransTypes[TransType],0)),1,MATCH(Transactions[[#This Row],[TransType]],TransTypes[TransType],0))</f>
        <v>2</v>
      </c>
      <c r="M713" s="144">
        <f>IF( AND( INDEX(TransTypes[],Transactions[[#This Row],[TTR]],TT_COL_GLFlag)=1, INDEX(TransTypes[],Transactions[[#This Row],[TTR]],TT_COL_LONGORSHORT)="S" ),
      Transactions[[#This Row],[PL]],
      IF(INDEX(TransTypes[],Transactions[[#This Row],[TTR]],TT_COL_LONGORSHORT)="S",0,Transactions[[#This Row],[CalCashImpact]])
)</f>
        <v>-127.89</v>
      </c>
      <c r="N713" s="145">
        <f>IF(VLOOKUP(Transactions[[#This Row],[Symbol]],Symbols[],COLUMN(Symbols[Currency])-COLUMN(Symbols[])+1,FALSE)=
       VLOOKUP(Transactions[[#This Row],[Account]],Accounts[],COLUMN(Accounts[Currency])-COLUMN(Accounts[])+1,FALSE),
     Transactions[[#This Row],[OrigCashImpact]],
     0
)</f>
        <v>-127.89</v>
      </c>
      <c r="O71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1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127.89</v>
      </c>
      <c r="Q71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118744.13999999988</v>
      </c>
      <c r="R713" s="41">
        <f>ROW()</f>
        <v>713</v>
      </c>
      <c r="S7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127.89</v>
      </c>
      <c r="T7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118738.59634561375</v>
      </c>
      <c r="U71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118744.13999999988</v>
      </c>
      <c r="V713" s="150">
        <f>IF(INDEX(TransTypes[],Transactions[[#This Row],[TTR]],TT_COL_GLFlag)=1,Transactions[[#This Row],[CalCashImpact]]+Transactions[[#This Row],[CostImpact]],0)</f>
        <v>0</v>
      </c>
      <c r="W713" s="151">
        <f>Transactions[[#This Row],[Amount]]*INDEX(TransTypes[],Transactions[[#This Row],[TTR]],TT_COL_AmntSign)</f>
        <v>-127.89</v>
      </c>
      <c r="X713" s="151">
        <f>IF(INDEX(TransTypes[],Transactions[[#This Row],[TTR]],TT_COL_LONGORSHORT)="S",
      IF( OR(INDEX(TransTypes[],Transactions[[#This Row],[TTR]],TT_COL_GLFlag)=1, INDEX(TransTypes[], Transactions[[#This Row],[TTR]], TT_COL_ShareTransferFlag)=1),
            Transactions[[#This Row],[CostImpact]]*-1,
            Transactions[[#This Row],[CalCashImpact]]
      ),
     0
)</f>
        <v>0</v>
      </c>
      <c r="Y713" s="152" t="str">
        <f>VLOOKUP(Transactions[[#This Row],[Symbol]],Symbols[], COLUMN(Symbols[Currency])-COLUMN(Symbols[])+1,FALSE)</f>
        <v>CNY</v>
      </c>
    </row>
    <row r="714" spans="1:25">
      <c r="A714" s="138" t="s">
        <v>600</v>
      </c>
      <c r="B714" s="139">
        <v>42902</v>
      </c>
      <c r="C714" s="138" t="s">
        <v>118</v>
      </c>
      <c r="D714" s="138"/>
      <c r="E714" s="140" t="s">
        <v>623</v>
      </c>
      <c r="F714" s="141"/>
      <c r="G714" s="142"/>
      <c r="H714" s="141"/>
      <c r="I714" s="141"/>
      <c r="J714" s="143">
        <v>417.62</v>
      </c>
      <c r="K714" s="6"/>
      <c r="L714" s="20">
        <f>IF(ISNA(MATCH(Transactions[[#This Row],[TransType]],TransTypes[TransType],0)),1,MATCH(Transactions[[#This Row],[TransType]],TransTypes[TransType],0))</f>
        <v>4</v>
      </c>
      <c r="M714" s="144">
        <f>IF( AND( INDEX(TransTypes[],Transactions[[#This Row],[TTR]],TT_COL_GLFlag)=1, INDEX(TransTypes[],Transactions[[#This Row],[TTR]],TT_COL_LONGORSHORT)="S" ),
      Transactions[[#This Row],[PL]],
      IF(INDEX(TransTypes[],Transactions[[#This Row],[TTR]],TT_COL_LONGORSHORT)="S",0,Transactions[[#This Row],[CalCashImpact]])
)</f>
        <v>417.62</v>
      </c>
      <c r="N714" s="145">
        <f>IF(VLOOKUP(Transactions[[#This Row],[Symbol]],Symbols[],COLUMN(Symbols[Currency])-COLUMN(Symbols[])+1,FALSE)=
       VLOOKUP(Transactions[[#This Row],[Account]],Accounts[],COLUMN(Accounts[Currency])-COLUMN(Accounts[])+1,FALSE),
     Transactions[[#This Row],[OrigCashImpact]],
     0
)</f>
        <v>417.62</v>
      </c>
      <c r="O71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394.66999999975553</v>
      </c>
      <c r="P71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1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118744.13999999988</v>
      </c>
      <c r="R714" s="41">
        <f>ROW()</f>
        <v>714</v>
      </c>
      <c r="S7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118738.59634561375</v>
      </c>
      <c r="U71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118744.13999999988</v>
      </c>
      <c r="V714" s="150">
        <f>IF(INDEX(TransTypes[],Transactions[[#This Row],[TTR]],TT_COL_GLFlag)=1,Transactions[[#This Row],[CalCashImpact]]+Transactions[[#This Row],[CostImpact]],0)</f>
        <v>0</v>
      </c>
      <c r="W714" s="151">
        <f>Transactions[[#This Row],[Amount]]*INDEX(TransTypes[],Transactions[[#This Row],[TTR]],TT_COL_AmntSign)</f>
        <v>417.62</v>
      </c>
      <c r="X714" s="151">
        <f>IF(INDEX(TransTypes[],Transactions[[#This Row],[TTR]],TT_COL_LONGORSHORT)="S",
      IF( OR(INDEX(TransTypes[],Transactions[[#This Row],[TTR]],TT_COL_GLFlag)=1, INDEX(TransTypes[], Transactions[[#This Row],[TTR]], TT_COL_ShareTransferFlag)=1),
            Transactions[[#This Row],[CostImpact]]*-1,
            Transactions[[#This Row],[CalCashImpact]]
      ),
     0
)</f>
        <v>0</v>
      </c>
      <c r="Y714" s="152" t="str">
        <f>VLOOKUP(Transactions[[#This Row],[Symbol]],Symbols[], COLUMN(Symbols[Currency])-COLUMN(Symbols[])+1,FALSE)</f>
        <v>CNY</v>
      </c>
    </row>
    <row r="715" spans="1:25">
      <c r="A715" s="138" t="s">
        <v>600</v>
      </c>
      <c r="B715" s="139">
        <v>42902</v>
      </c>
      <c r="C715" s="138" t="s">
        <v>113</v>
      </c>
      <c r="D715" s="138" t="s">
        <v>531</v>
      </c>
      <c r="E715" s="140" t="s">
        <v>623</v>
      </c>
      <c r="F715" s="141">
        <v>417.62</v>
      </c>
      <c r="G715" s="142">
        <v>1</v>
      </c>
      <c r="H715" s="141"/>
      <c r="I715" s="141"/>
      <c r="J715" s="143">
        <v>417.62</v>
      </c>
      <c r="K715" s="6"/>
      <c r="L715" s="20">
        <f>IF(ISNA(MATCH(Transactions[[#This Row],[TransType]],TransTypes[TransType],0)),1,MATCH(Transactions[[#This Row],[TransType]],TransTypes[TransType],0))</f>
        <v>2</v>
      </c>
      <c r="M715" s="144">
        <f>IF( AND( INDEX(TransTypes[],Transactions[[#This Row],[TTR]],TT_COL_GLFlag)=1, INDEX(TransTypes[],Transactions[[#This Row],[TTR]],TT_COL_LONGORSHORT)="S" ),
      Transactions[[#This Row],[PL]],
      IF(INDEX(TransTypes[],Transactions[[#This Row],[TTR]],TT_COL_LONGORSHORT)="S",0,Transactions[[#This Row],[CalCashImpact]])
)</f>
        <v>-417.62</v>
      </c>
      <c r="N715" s="145">
        <f>IF(VLOOKUP(Transactions[[#This Row],[Symbol]],Symbols[],COLUMN(Symbols[Currency])-COLUMN(Symbols[])+1,FALSE)=
       VLOOKUP(Transactions[[#This Row],[Account]],Accounts[],COLUMN(Accounts[Currency])-COLUMN(Accounts[])+1,FALSE),
     Transactions[[#This Row],[OrigCashImpact]],
     0
)</f>
        <v>-417.62</v>
      </c>
      <c r="O71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1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417.62</v>
      </c>
      <c r="Q71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119161.75999999988</v>
      </c>
      <c r="R715" s="41">
        <f>ROW()</f>
        <v>715</v>
      </c>
      <c r="S7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417.62</v>
      </c>
      <c r="T7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119156.21634561375</v>
      </c>
      <c r="U71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119161.75999999988</v>
      </c>
      <c r="V715" s="150">
        <f>IF(INDEX(TransTypes[],Transactions[[#This Row],[TTR]],TT_COL_GLFlag)=1,Transactions[[#This Row],[CalCashImpact]]+Transactions[[#This Row],[CostImpact]],0)</f>
        <v>0</v>
      </c>
      <c r="W715" s="151">
        <f>Transactions[[#This Row],[Amount]]*INDEX(TransTypes[],Transactions[[#This Row],[TTR]],TT_COL_AmntSign)</f>
        <v>-417.62</v>
      </c>
      <c r="X715" s="151">
        <f>IF(INDEX(TransTypes[],Transactions[[#This Row],[TTR]],TT_COL_LONGORSHORT)="S",
      IF( OR(INDEX(TransTypes[],Transactions[[#This Row],[TTR]],TT_COL_GLFlag)=1, INDEX(TransTypes[], Transactions[[#This Row],[TTR]], TT_COL_ShareTransferFlag)=1),
            Transactions[[#This Row],[CostImpact]]*-1,
            Transactions[[#This Row],[CalCashImpact]]
      ),
     0
)</f>
        <v>0</v>
      </c>
      <c r="Y715" s="152" t="str">
        <f>VLOOKUP(Transactions[[#This Row],[Symbol]],Symbols[], COLUMN(Symbols[Currency])-COLUMN(Symbols[])+1,FALSE)</f>
        <v>CNY</v>
      </c>
    </row>
    <row r="716" spans="1:25">
      <c r="A716" s="138" t="s">
        <v>600</v>
      </c>
      <c r="B716" s="139">
        <v>42958</v>
      </c>
      <c r="C716" s="138" t="s">
        <v>119</v>
      </c>
      <c r="D716" s="138"/>
      <c r="E716" s="140" t="s">
        <v>211</v>
      </c>
      <c r="F716" s="141"/>
      <c r="G716" s="142"/>
      <c r="H716" s="141"/>
      <c r="I716" s="141"/>
      <c r="J716" s="143">
        <v>19011.79</v>
      </c>
      <c r="K716" s="6"/>
      <c r="L716" s="20">
        <f>IF(ISNA(MATCH(Transactions[[#This Row],[TransType]],TransTypes[TransType],0)),1,MATCH(Transactions[[#This Row],[TransType]],TransTypes[TransType],0))</f>
        <v>5</v>
      </c>
      <c r="M716" s="144">
        <f>IF( AND( INDEX(TransTypes[],Transactions[[#This Row],[TTR]],TT_COL_GLFlag)=1, INDEX(TransTypes[],Transactions[[#This Row],[TTR]],TT_COL_LONGORSHORT)="S" ),
      Transactions[[#This Row],[PL]],
      IF(INDEX(TransTypes[],Transactions[[#This Row],[TTR]],TT_COL_LONGORSHORT)="S",0,Transactions[[#This Row],[CalCashImpact]])
)</f>
        <v>-19011.79</v>
      </c>
      <c r="N716" s="145">
        <f>IF(VLOOKUP(Transactions[[#This Row],[Symbol]],Symbols[],COLUMN(Symbols[Currency])-COLUMN(Symbols[])+1,FALSE)=
       VLOOKUP(Transactions[[#This Row],[Account]],Accounts[],COLUMN(Accounts[Currency])-COLUMN(Accounts[])+1,FALSE),
     Transactions[[#This Row],[OrigCashImpact]],
     0
)</f>
        <v>-19011.79</v>
      </c>
      <c r="O71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-19034.740000000245</v>
      </c>
      <c r="P71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1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16" s="41">
        <f>ROW()</f>
        <v>716</v>
      </c>
      <c r="S7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1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16" s="150">
        <f>IF(INDEX(TransTypes[],Transactions[[#This Row],[TTR]],TT_COL_GLFlag)=1,Transactions[[#This Row],[CalCashImpact]]+Transactions[[#This Row],[CostImpact]],0)</f>
        <v>0</v>
      </c>
      <c r="W716" s="151">
        <f>Transactions[[#This Row],[Amount]]*INDEX(TransTypes[],Transactions[[#This Row],[TTR]],TT_COL_AmntSign)</f>
        <v>-19011.79</v>
      </c>
      <c r="X716" s="151">
        <f>IF(INDEX(TransTypes[],Transactions[[#This Row],[TTR]],TT_COL_LONGORSHORT)="S",
      IF( OR(INDEX(TransTypes[],Transactions[[#This Row],[TTR]],TT_COL_GLFlag)=1, INDEX(TransTypes[], Transactions[[#This Row],[TTR]], TT_COL_ShareTransferFlag)=1),
            Transactions[[#This Row],[CostImpact]]*-1,
            Transactions[[#This Row],[CalCashImpact]]
      ),
     0
)</f>
        <v>0</v>
      </c>
      <c r="Y716" s="152" t="str">
        <f>VLOOKUP(Transactions[[#This Row],[Symbol]],Symbols[], COLUMN(Symbols[Currency])-COLUMN(Symbols[])+1,FALSE)</f>
        <v>CNY</v>
      </c>
    </row>
    <row r="717" spans="1:25">
      <c r="A717" s="138" t="s">
        <v>600</v>
      </c>
      <c r="B717" s="139">
        <v>42958</v>
      </c>
      <c r="C717" s="138" t="s">
        <v>118</v>
      </c>
      <c r="D717" s="138"/>
      <c r="E717" s="140" t="s">
        <v>623</v>
      </c>
      <c r="F717" s="141"/>
      <c r="G717" s="142"/>
      <c r="H717" s="141"/>
      <c r="I717" s="141"/>
      <c r="J717" s="143">
        <v>378.73</v>
      </c>
      <c r="K717" s="6"/>
      <c r="L717" s="20">
        <f>IF(ISNA(MATCH(Transactions[[#This Row],[TransType]],TransTypes[TransType],0)),1,MATCH(Transactions[[#This Row],[TransType]],TransTypes[TransType],0))</f>
        <v>4</v>
      </c>
      <c r="M717" s="144">
        <f>IF( AND( INDEX(TransTypes[],Transactions[[#This Row],[TTR]],TT_COL_GLFlag)=1, INDEX(TransTypes[],Transactions[[#This Row],[TTR]],TT_COL_LONGORSHORT)="S" ),
      Transactions[[#This Row],[PL]],
      IF(INDEX(TransTypes[],Transactions[[#This Row],[TTR]],TT_COL_LONGORSHORT)="S",0,Transactions[[#This Row],[CalCashImpact]])
)</f>
        <v>378.73</v>
      </c>
      <c r="N717" s="145">
        <f>IF(VLOOKUP(Transactions[[#This Row],[Symbol]],Symbols[],COLUMN(Symbols[Currency])-COLUMN(Symbols[])+1,FALSE)=
       VLOOKUP(Transactions[[#This Row],[Account]],Accounts[],COLUMN(Accounts[Currency])-COLUMN(Accounts[])+1,FALSE),
     Transactions[[#This Row],[OrigCashImpact]],
     0
)</f>
        <v>378.73</v>
      </c>
      <c r="O71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-18656.010000000246</v>
      </c>
      <c r="P71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1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119161.75999999988</v>
      </c>
      <c r="R717" s="41">
        <f>ROW()</f>
        <v>717</v>
      </c>
      <c r="S7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119156.21634561375</v>
      </c>
      <c r="U71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119161.75999999988</v>
      </c>
      <c r="V717" s="150">
        <f>IF(INDEX(TransTypes[],Transactions[[#This Row],[TTR]],TT_COL_GLFlag)=1,Transactions[[#This Row],[CalCashImpact]]+Transactions[[#This Row],[CostImpact]],0)</f>
        <v>0</v>
      </c>
      <c r="W717" s="151">
        <f>Transactions[[#This Row],[Amount]]*INDEX(TransTypes[],Transactions[[#This Row],[TTR]],TT_COL_AmntSign)</f>
        <v>378.73</v>
      </c>
      <c r="X717" s="151">
        <f>IF(INDEX(TransTypes[],Transactions[[#This Row],[TTR]],TT_COL_LONGORSHORT)="S",
      IF( OR(INDEX(TransTypes[],Transactions[[#This Row],[TTR]],TT_COL_GLFlag)=1, INDEX(TransTypes[], Transactions[[#This Row],[TTR]], TT_COL_ShareTransferFlag)=1),
            Transactions[[#This Row],[CostImpact]]*-1,
            Transactions[[#This Row],[CalCashImpact]]
      ),
     0
)</f>
        <v>0</v>
      </c>
      <c r="Y717" s="152" t="str">
        <f>VLOOKUP(Transactions[[#This Row],[Symbol]],Symbols[], COLUMN(Symbols[Currency])-COLUMN(Symbols[])+1,FALSE)</f>
        <v>CNY</v>
      </c>
    </row>
    <row r="718" spans="1:25">
      <c r="A718" s="138" t="s">
        <v>600</v>
      </c>
      <c r="B718" s="139">
        <v>42958</v>
      </c>
      <c r="C718" s="138" t="s">
        <v>113</v>
      </c>
      <c r="D718" s="138" t="s">
        <v>531</v>
      </c>
      <c r="E718" s="140" t="s">
        <v>623</v>
      </c>
      <c r="F718" s="141">
        <v>378.73</v>
      </c>
      <c r="G718" s="142">
        <v>1</v>
      </c>
      <c r="H718" s="141"/>
      <c r="I718" s="141"/>
      <c r="J718" s="143">
        <v>378.73</v>
      </c>
      <c r="K718" s="6"/>
      <c r="L718" s="20">
        <f>IF(ISNA(MATCH(Transactions[[#This Row],[TransType]],TransTypes[TransType],0)),1,MATCH(Transactions[[#This Row],[TransType]],TransTypes[TransType],0))</f>
        <v>2</v>
      </c>
      <c r="M718" s="144">
        <f>IF( AND( INDEX(TransTypes[],Transactions[[#This Row],[TTR]],TT_COL_GLFlag)=1, INDEX(TransTypes[],Transactions[[#This Row],[TTR]],TT_COL_LONGORSHORT)="S" ),
      Transactions[[#This Row],[PL]],
      IF(INDEX(TransTypes[],Transactions[[#This Row],[TTR]],TT_COL_LONGORSHORT)="S",0,Transactions[[#This Row],[CalCashImpact]])
)</f>
        <v>-378.73</v>
      </c>
      <c r="N718" s="145">
        <f>IF(VLOOKUP(Transactions[[#This Row],[Symbol]],Symbols[],COLUMN(Symbols[Currency])-COLUMN(Symbols[])+1,FALSE)=
       VLOOKUP(Transactions[[#This Row],[Account]],Accounts[],COLUMN(Accounts[Currency])-COLUMN(Accounts[])+1,FALSE),
     Transactions[[#This Row],[OrigCashImpact]],
     0
)</f>
        <v>-378.73</v>
      </c>
      <c r="O71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-19034.740000000245</v>
      </c>
      <c r="P71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378.73</v>
      </c>
      <c r="Q71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119540.48999999987</v>
      </c>
      <c r="R718" s="41">
        <f>ROW()</f>
        <v>718</v>
      </c>
      <c r="S7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378.73</v>
      </c>
      <c r="T7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119534.94634561375</v>
      </c>
      <c r="U71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119540.48999999987</v>
      </c>
      <c r="V718" s="150">
        <f>IF(INDEX(TransTypes[],Transactions[[#This Row],[TTR]],TT_COL_GLFlag)=1,Transactions[[#This Row],[CalCashImpact]]+Transactions[[#This Row],[CostImpact]],0)</f>
        <v>0</v>
      </c>
      <c r="W718" s="151">
        <f>Transactions[[#This Row],[Amount]]*INDEX(TransTypes[],Transactions[[#This Row],[TTR]],TT_COL_AmntSign)</f>
        <v>-378.73</v>
      </c>
      <c r="X718" s="151">
        <f>IF(INDEX(TransTypes[],Transactions[[#This Row],[TTR]],TT_COL_LONGORSHORT)="S",
      IF( OR(INDEX(TransTypes[],Transactions[[#This Row],[TTR]],TT_COL_GLFlag)=1, INDEX(TransTypes[], Transactions[[#This Row],[TTR]], TT_COL_ShareTransferFlag)=1),
            Transactions[[#This Row],[CostImpact]]*-1,
            Transactions[[#This Row],[CalCashImpact]]
      ),
     0
)</f>
        <v>0</v>
      </c>
      <c r="Y718" s="152" t="str">
        <f>VLOOKUP(Transactions[[#This Row],[Symbol]],Symbols[], COLUMN(Symbols[Currency])-COLUMN(Symbols[])+1,FALSE)</f>
        <v>CNY</v>
      </c>
    </row>
    <row r="719" spans="1:25">
      <c r="A719" s="138" t="s">
        <v>600</v>
      </c>
      <c r="B719" s="139">
        <v>42958</v>
      </c>
      <c r="C719" s="138" t="s">
        <v>118</v>
      </c>
      <c r="D719" s="138"/>
      <c r="E719" s="140" t="s">
        <v>626</v>
      </c>
      <c r="F719" s="141"/>
      <c r="G719" s="142"/>
      <c r="H719" s="141"/>
      <c r="I719" s="141"/>
      <c r="J719" s="143">
        <v>1594.31</v>
      </c>
      <c r="K719" s="6"/>
      <c r="L719" s="20">
        <f>IF(ISNA(MATCH(Transactions[[#This Row],[TransType]],TransTypes[TransType],0)),1,MATCH(Transactions[[#This Row],[TransType]],TransTypes[TransType],0))</f>
        <v>4</v>
      </c>
      <c r="M719" s="144">
        <f>IF( AND( INDEX(TransTypes[],Transactions[[#This Row],[TTR]],TT_COL_GLFlag)=1, INDEX(TransTypes[],Transactions[[#This Row],[TTR]],TT_COL_LONGORSHORT)="S" ),
      Transactions[[#This Row],[PL]],
      IF(INDEX(TransTypes[],Transactions[[#This Row],[TTR]],TT_COL_LONGORSHORT)="S",0,Transactions[[#This Row],[CalCashImpact]])
)</f>
        <v>1594.31</v>
      </c>
      <c r="N719" s="145">
        <f>IF(VLOOKUP(Transactions[[#This Row],[Symbol]],Symbols[],COLUMN(Symbols[Currency])-COLUMN(Symbols[])+1,FALSE)=
       VLOOKUP(Transactions[[#This Row],[Account]],Accounts[],COLUMN(Accounts[Currency])-COLUMN(Accounts[])+1,FALSE),
     Transactions[[#This Row],[OrigCashImpact]],
     0
)</f>
        <v>1594.31</v>
      </c>
      <c r="O71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-17440.430000000244</v>
      </c>
      <c r="P71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1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313546.64999999991</v>
      </c>
      <c r="R719" s="41">
        <f>ROW()</f>
        <v>719</v>
      </c>
      <c r="S7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374457.63141343568</v>
      </c>
      <c r="U71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313546.64999999991</v>
      </c>
      <c r="V719" s="150">
        <f>IF(INDEX(TransTypes[],Transactions[[#This Row],[TTR]],TT_COL_GLFlag)=1,Transactions[[#This Row],[CalCashImpact]]+Transactions[[#This Row],[CostImpact]],0)</f>
        <v>0</v>
      </c>
      <c r="W719" s="151">
        <f>Transactions[[#This Row],[Amount]]*INDEX(TransTypes[],Transactions[[#This Row],[TTR]],TT_COL_AmntSign)</f>
        <v>1594.31</v>
      </c>
      <c r="X719" s="151">
        <f>IF(INDEX(TransTypes[],Transactions[[#This Row],[TTR]],TT_COL_LONGORSHORT)="S",
      IF( OR(INDEX(TransTypes[],Transactions[[#This Row],[TTR]],TT_COL_GLFlag)=1, INDEX(TransTypes[], Transactions[[#This Row],[TTR]], TT_COL_ShareTransferFlag)=1),
            Transactions[[#This Row],[CostImpact]]*-1,
            Transactions[[#This Row],[CalCashImpact]]
      ),
     0
)</f>
        <v>0</v>
      </c>
      <c r="Y719" s="152" t="str">
        <f>VLOOKUP(Transactions[[#This Row],[Symbol]],Symbols[], COLUMN(Symbols[Currency])-COLUMN(Symbols[])+1,FALSE)</f>
        <v>CNY</v>
      </c>
    </row>
    <row r="720" spans="1:25">
      <c r="A720" s="138" t="s">
        <v>600</v>
      </c>
      <c r="B720" s="139">
        <v>42958</v>
      </c>
      <c r="C720" s="138" t="s">
        <v>113</v>
      </c>
      <c r="D720" s="138" t="s">
        <v>531</v>
      </c>
      <c r="E720" s="140" t="s">
        <v>626</v>
      </c>
      <c r="F720" s="141">
        <v>1594.31</v>
      </c>
      <c r="G720" s="142">
        <v>1</v>
      </c>
      <c r="H720" s="141"/>
      <c r="I720" s="141"/>
      <c r="J720" s="143">
        <v>1594.31</v>
      </c>
      <c r="K720" s="6"/>
      <c r="L720" s="20">
        <f>IF(ISNA(MATCH(Transactions[[#This Row],[TransType]],TransTypes[TransType],0)),1,MATCH(Transactions[[#This Row],[TransType]],TransTypes[TransType],0))</f>
        <v>2</v>
      </c>
      <c r="M720" s="144">
        <f>IF( AND( INDEX(TransTypes[],Transactions[[#This Row],[TTR]],TT_COL_GLFlag)=1, INDEX(TransTypes[],Transactions[[#This Row],[TTR]],TT_COL_LONGORSHORT)="S" ),
      Transactions[[#This Row],[PL]],
      IF(INDEX(TransTypes[],Transactions[[#This Row],[TTR]],TT_COL_LONGORSHORT)="S",0,Transactions[[#This Row],[CalCashImpact]])
)</f>
        <v>-1594.31</v>
      </c>
      <c r="N720" s="145">
        <f>IF(VLOOKUP(Transactions[[#This Row],[Symbol]],Symbols[],COLUMN(Symbols[Currency])-COLUMN(Symbols[])+1,FALSE)=
       VLOOKUP(Transactions[[#This Row],[Account]],Accounts[],COLUMN(Accounts[Currency])-COLUMN(Accounts[])+1,FALSE),
     Transactions[[#This Row],[OrigCashImpact]],
     0
)</f>
        <v>-1594.31</v>
      </c>
      <c r="O72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-19034.740000000245</v>
      </c>
      <c r="P72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1594.31</v>
      </c>
      <c r="Q72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315140.9599999999</v>
      </c>
      <c r="R720" s="41">
        <f>ROW()</f>
        <v>720</v>
      </c>
      <c r="S7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1594.31</v>
      </c>
      <c r="T7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376051.94141343568</v>
      </c>
      <c r="U72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315140.9599999999</v>
      </c>
      <c r="V720" s="150">
        <f>IF(INDEX(TransTypes[],Transactions[[#This Row],[TTR]],TT_COL_GLFlag)=1,Transactions[[#This Row],[CalCashImpact]]+Transactions[[#This Row],[CostImpact]],0)</f>
        <v>0</v>
      </c>
      <c r="W720" s="151">
        <f>Transactions[[#This Row],[Amount]]*INDEX(TransTypes[],Transactions[[#This Row],[TTR]],TT_COL_AmntSign)</f>
        <v>-1594.31</v>
      </c>
      <c r="X720" s="151">
        <f>IF(INDEX(TransTypes[],Transactions[[#This Row],[TTR]],TT_COL_LONGORSHORT)="S",
      IF( OR(INDEX(TransTypes[],Transactions[[#This Row],[TTR]],TT_COL_GLFlag)=1, INDEX(TransTypes[], Transactions[[#This Row],[TTR]], TT_COL_ShareTransferFlag)=1),
            Transactions[[#This Row],[CostImpact]]*-1,
            Transactions[[#This Row],[CalCashImpact]]
      ),
     0
)</f>
        <v>0</v>
      </c>
      <c r="Y720" s="152" t="str">
        <f>VLOOKUP(Transactions[[#This Row],[Symbol]],Symbols[], COLUMN(Symbols[Currency])-COLUMN(Symbols[])+1,FALSE)</f>
        <v>CNY</v>
      </c>
    </row>
    <row r="721" spans="1:25">
      <c r="A721" s="138" t="s">
        <v>600</v>
      </c>
      <c r="B721" s="139">
        <v>42958</v>
      </c>
      <c r="C721" s="138" t="s">
        <v>118</v>
      </c>
      <c r="D721" s="138"/>
      <c r="E721" s="140" t="s">
        <v>602</v>
      </c>
      <c r="F721" s="141"/>
      <c r="G721" s="142"/>
      <c r="H721" s="141"/>
      <c r="I721" s="141"/>
      <c r="J721" s="143">
        <v>19011.79</v>
      </c>
      <c r="K721" s="6"/>
      <c r="L721" s="20">
        <f>IF(ISNA(MATCH(Transactions[[#This Row],[TransType]],TransTypes[TransType],0)),1,MATCH(Transactions[[#This Row],[TransType]],TransTypes[TransType],0))</f>
        <v>4</v>
      </c>
      <c r="M721" s="144">
        <f>IF( AND( INDEX(TransTypes[],Transactions[[#This Row],[TTR]],TT_COL_GLFlag)=1, INDEX(TransTypes[],Transactions[[#This Row],[TTR]],TT_COL_LONGORSHORT)="S" ),
      Transactions[[#This Row],[PL]],
      IF(INDEX(TransTypes[],Transactions[[#This Row],[TTR]],TT_COL_LONGORSHORT)="S",0,Transactions[[#This Row],[CalCashImpact]])
)</f>
        <v>19011.79</v>
      </c>
      <c r="N721" s="145">
        <f>IF(VLOOKUP(Transactions[[#This Row],[Symbol]],Symbols[],COLUMN(Symbols[Currency])-COLUMN(Symbols[])+1,FALSE)=
       VLOOKUP(Transactions[[#This Row],[Account]],Accounts[],COLUMN(Accounts[Currency])-COLUMN(Accounts[])+1,FALSE),
     Transactions[[#This Row],[OrigCashImpact]],
     0
)</f>
        <v>19011.79</v>
      </c>
      <c r="O72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2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2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100062.06</v>
      </c>
      <c r="R721" s="41">
        <f>ROW()</f>
        <v>721</v>
      </c>
      <c r="S7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199999.99</v>
      </c>
      <c r="U72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100062.06</v>
      </c>
      <c r="V721" s="150">
        <f>IF(INDEX(TransTypes[],Transactions[[#This Row],[TTR]],TT_COL_GLFlag)=1,Transactions[[#This Row],[CalCashImpact]]+Transactions[[#This Row],[CostImpact]],0)</f>
        <v>0</v>
      </c>
      <c r="W721" s="151">
        <f>Transactions[[#This Row],[Amount]]*INDEX(TransTypes[],Transactions[[#This Row],[TTR]],TT_COL_AmntSign)</f>
        <v>19011.79</v>
      </c>
      <c r="X721" s="151">
        <f>IF(INDEX(TransTypes[],Transactions[[#This Row],[TTR]],TT_COL_LONGORSHORT)="S",
      IF( OR(INDEX(TransTypes[],Transactions[[#This Row],[TTR]],TT_COL_GLFlag)=1, INDEX(TransTypes[], Transactions[[#This Row],[TTR]], TT_COL_ShareTransferFlag)=1),
            Transactions[[#This Row],[CostImpact]]*-1,
            Transactions[[#This Row],[CalCashImpact]]
      ),
     0
)</f>
        <v>0</v>
      </c>
      <c r="Y721" s="152" t="str">
        <f>VLOOKUP(Transactions[[#This Row],[Symbol]],Symbols[], COLUMN(Symbols[Currency])-COLUMN(Symbols[])+1,FALSE)</f>
        <v>CNY</v>
      </c>
    </row>
    <row r="722" spans="1:25">
      <c r="A722" s="138" t="s">
        <v>600</v>
      </c>
      <c r="B722" s="139">
        <v>42963</v>
      </c>
      <c r="C722" s="138" t="s">
        <v>118</v>
      </c>
      <c r="D722" s="138"/>
      <c r="E722" s="140" t="s">
        <v>602</v>
      </c>
      <c r="F722" s="141"/>
      <c r="G722" s="142"/>
      <c r="H722" s="141"/>
      <c r="I722" s="141"/>
      <c r="J722" s="143">
        <v>15040.4707</v>
      </c>
      <c r="K722" s="6"/>
      <c r="L722" s="20">
        <f>IF(ISNA(MATCH(Transactions[[#This Row],[TransType]],TransTypes[TransType],0)),1,MATCH(Transactions[[#This Row],[TransType]],TransTypes[TransType],0))</f>
        <v>4</v>
      </c>
      <c r="M722" s="144">
        <f>IF( AND( INDEX(TransTypes[],Transactions[[#This Row],[TTR]],TT_COL_GLFlag)=1, INDEX(TransTypes[],Transactions[[#This Row],[TTR]],TT_COL_LONGORSHORT)="S" ),
      Transactions[[#This Row],[PL]],
      IF(INDEX(TransTypes[],Transactions[[#This Row],[TTR]],TT_COL_LONGORSHORT)="S",0,Transactions[[#This Row],[CalCashImpact]])
)</f>
        <v>15040.4707</v>
      </c>
      <c r="N722" s="145">
        <f>IF(VLOOKUP(Transactions[[#This Row],[Symbol]],Symbols[],COLUMN(Symbols[Currency])-COLUMN(Symbols[])+1,FALSE)=
       VLOOKUP(Transactions[[#This Row],[Account]],Accounts[],COLUMN(Accounts[Currency])-COLUMN(Accounts[])+1,FALSE),
     Transactions[[#This Row],[OrigCashImpact]],
     0
)</f>
        <v>15040.4707</v>
      </c>
      <c r="O72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15017.520699999755</v>
      </c>
      <c r="P72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2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100062.06</v>
      </c>
      <c r="R722" s="41">
        <f>ROW()</f>
        <v>722</v>
      </c>
      <c r="S7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199999.99</v>
      </c>
      <c r="U72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100062.06</v>
      </c>
      <c r="V722" s="150">
        <f>IF(INDEX(TransTypes[],Transactions[[#This Row],[TTR]],TT_COL_GLFlag)=1,Transactions[[#This Row],[CalCashImpact]]+Transactions[[#This Row],[CostImpact]],0)</f>
        <v>0</v>
      </c>
      <c r="W722" s="151">
        <f>Transactions[[#This Row],[Amount]]*INDEX(TransTypes[],Transactions[[#This Row],[TTR]],TT_COL_AmntSign)</f>
        <v>15040.4707</v>
      </c>
      <c r="X722" s="151">
        <f>IF(INDEX(TransTypes[],Transactions[[#This Row],[TTR]],TT_COL_LONGORSHORT)="S",
      IF( OR(INDEX(TransTypes[],Transactions[[#This Row],[TTR]],TT_COL_GLFlag)=1, INDEX(TransTypes[], Transactions[[#This Row],[TTR]], TT_COL_ShareTransferFlag)=1),
            Transactions[[#This Row],[CostImpact]]*-1,
            Transactions[[#This Row],[CalCashImpact]]
      ),
     0
)</f>
        <v>0</v>
      </c>
      <c r="Y722" s="152" t="str">
        <f>VLOOKUP(Transactions[[#This Row],[Symbol]],Symbols[], COLUMN(Symbols[Currency])-COLUMN(Symbols[])+1,FALSE)</f>
        <v>CNY</v>
      </c>
    </row>
    <row r="723" spans="1:25">
      <c r="A723" s="138" t="s">
        <v>600</v>
      </c>
      <c r="B723" s="139">
        <v>42963</v>
      </c>
      <c r="C723" s="138" t="s">
        <v>113</v>
      </c>
      <c r="D723" s="138" t="s">
        <v>531</v>
      </c>
      <c r="E723" s="140" t="s">
        <v>602</v>
      </c>
      <c r="F723" s="141">
        <v>7792.99</v>
      </c>
      <c r="G723" s="142">
        <v>1.93</v>
      </c>
      <c r="H723" s="141"/>
      <c r="I723" s="141"/>
      <c r="J723" s="143">
        <v>15040.4707</v>
      </c>
      <c r="K723" s="6"/>
      <c r="L723" s="20">
        <f>IF(ISNA(MATCH(Transactions[[#This Row],[TransType]],TransTypes[TransType],0)),1,MATCH(Transactions[[#This Row],[TransType]],TransTypes[TransType],0))</f>
        <v>2</v>
      </c>
      <c r="M723" s="144">
        <f>IF( AND( INDEX(TransTypes[],Transactions[[#This Row],[TTR]],TT_COL_GLFlag)=1, INDEX(TransTypes[],Transactions[[#This Row],[TTR]],TT_COL_LONGORSHORT)="S" ),
      Transactions[[#This Row],[PL]],
      IF(INDEX(TransTypes[],Transactions[[#This Row],[TTR]],TT_COL_LONGORSHORT)="S",0,Transactions[[#This Row],[CalCashImpact]])
)</f>
        <v>-15040.4707</v>
      </c>
      <c r="N723" s="145">
        <f>IF(VLOOKUP(Transactions[[#This Row],[Symbol]],Symbols[],COLUMN(Symbols[Currency])-COLUMN(Symbols[])+1,FALSE)=
       VLOOKUP(Transactions[[#This Row],[Account]],Accounts[],COLUMN(Accounts[Currency])-COLUMN(Accounts[])+1,FALSE),
     Transactions[[#This Row],[OrigCashImpact]],
     0
)</f>
        <v>-15040.4707</v>
      </c>
      <c r="O72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2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7792.99</v>
      </c>
      <c r="Q72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107855.05</v>
      </c>
      <c r="R723" s="41">
        <f>ROW()</f>
        <v>723</v>
      </c>
      <c r="S7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15040.4707</v>
      </c>
      <c r="T7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215040.4607</v>
      </c>
      <c r="U72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107855.05</v>
      </c>
      <c r="V723" s="150">
        <f>IF(INDEX(TransTypes[],Transactions[[#This Row],[TTR]],TT_COL_GLFlag)=1,Transactions[[#This Row],[CalCashImpact]]+Transactions[[#This Row],[CostImpact]],0)</f>
        <v>0</v>
      </c>
      <c r="W723" s="151">
        <f>Transactions[[#This Row],[Amount]]*INDEX(TransTypes[],Transactions[[#This Row],[TTR]],TT_COL_AmntSign)</f>
        <v>-15040.4707</v>
      </c>
      <c r="X723" s="151">
        <f>IF(INDEX(TransTypes[],Transactions[[#This Row],[TTR]],TT_COL_LONGORSHORT)="S",
      IF( OR(INDEX(TransTypes[],Transactions[[#This Row],[TTR]],TT_COL_GLFlag)=1, INDEX(TransTypes[], Transactions[[#This Row],[TTR]], TT_COL_ShareTransferFlag)=1),
            Transactions[[#This Row],[CostImpact]]*-1,
            Transactions[[#This Row],[CalCashImpact]]
      ),
     0
)</f>
        <v>0</v>
      </c>
      <c r="Y723" s="152" t="str">
        <f>VLOOKUP(Transactions[[#This Row],[Symbol]],Symbols[], COLUMN(Symbols[Currency])-COLUMN(Symbols[])+1,FALSE)</f>
        <v>CNY</v>
      </c>
    </row>
    <row r="724" spans="1:25">
      <c r="A724" s="138" t="s">
        <v>600</v>
      </c>
      <c r="B724" s="139">
        <v>42963</v>
      </c>
      <c r="C724" s="138" t="s">
        <v>118</v>
      </c>
      <c r="D724" s="138"/>
      <c r="E724" s="140" t="s">
        <v>623</v>
      </c>
      <c r="F724" s="141"/>
      <c r="G724" s="142"/>
      <c r="H724" s="141"/>
      <c r="I724" s="141"/>
      <c r="J724" s="143">
        <v>389.07</v>
      </c>
      <c r="K724" s="6"/>
      <c r="L724" s="20">
        <f>IF(ISNA(MATCH(Transactions[[#This Row],[TransType]],TransTypes[TransType],0)),1,MATCH(Transactions[[#This Row],[TransType]],TransTypes[TransType],0))</f>
        <v>4</v>
      </c>
      <c r="M724" s="144">
        <f>IF( AND( INDEX(TransTypes[],Transactions[[#This Row],[TTR]],TT_COL_GLFlag)=1, INDEX(TransTypes[],Transactions[[#This Row],[TTR]],TT_COL_LONGORSHORT)="S" ),
      Transactions[[#This Row],[PL]],
      IF(INDEX(TransTypes[],Transactions[[#This Row],[TTR]],TT_COL_LONGORSHORT)="S",0,Transactions[[#This Row],[CalCashImpact]])
)</f>
        <v>389.07</v>
      </c>
      <c r="N724" s="145">
        <f>IF(VLOOKUP(Transactions[[#This Row],[Symbol]],Symbols[],COLUMN(Symbols[Currency])-COLUMN(Symbols[])+1,FALSE)=
       VLOOKUP(Transactions[[#This Row],[Account]],Accounts[],COLUMN(Accounts[Currency])-COLUMN(Accounts[])+1,FALSE),
     Transactions[[#This Row],[OrigCashImpact]],
     0
)</f>
        <v>389.07</v>
      </c>
      <c r="O72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366.11999999975552</v>
      </c>
      <c r="P72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2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119540.48999999987</v>
      </c>
      <c r="R724" s="41">
        <f>ROW()</f>
        <v>724</v>
      </c>
      <c r="S7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119534.94634561375</v>
      </c>
      <c r="U72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119540.48999999987</v>
      </c>
      <c r="V724" s="150">
        <f>IF(INDEX(TransTypes[],Transactions[[#This Row],[TTR]],TT_COL_GLFlag)=1,Transactions[[#This Row],[CalCashImpact]]+Transactions[[#This Row],[CostImpact]],0)</f>
        <v>0</v>
      </c>
      <c r="W724" s="151">
        <f>Transactions[[#This Row],[Amount]]*INDEX(TransTypes[],Transactions[[#This Row],[TTR]],TT_COL_AmntSign)</f>
        <v>389.07</v>
      </c>
      <c r="X724" s="151">
        <f>IF(INDEX(TransTypes[],Transactions[[#This Row],[TTR]],TT_COL_LONGORSHORT)="S",
      IF( OR(INDEX(TransTypes[],Transactions[[#This Row],[TTR]],TT_COL_GLFlag)=1, INDEX(TransTypes[], Transactions[[#This Row],[TTR]], TT_COL_ShareTransferFlag)=1),
            Transactions[[#This Row],[CostImpact]]*-1,
            Transactions[[#This Row],[CalCashImpact]]
      ),
     0
)</f>
        <v>0</v>
      </c>
      <c r="Y724" s="152" t="str">
        <f>VLOOKUP(Transactions[[#This Row],[Symbol]],Symbols[], COLUMN(Symbols[Currency])-COLUMN(Symbols[])+1,FALSE)</f>
        <v>CNY</v>
      </c>
    </row>
    <row r="725" spans="1:25">
      <c r="A725" s="138" t="s">
        <v>600</v>
      </c>
      <c r="B725" s="139">
        <v>42963</v>
      </c>
      <c r="C725" s="138" t="s">
        <v>113</v>
      </c>
      <c r="D725" s="138" t="s">
        <v>531</v>
      </c>
      <c r="E725" s="140" t="s">
        <v>623</v>
      </c>
      <c r="F725" s="141">
        <v>389.07</v>
      </c>
      <c r="G725" s="142">
        <v>1</v>
      </c>
      <c r="H725" s="141"/>
      <c r="I725" s="141"/>
      <c r="J725" s="143">
        <v>389.07</v>
      </c>
      <c r="K725" s="6"/>
      <c r="L725" s="20">
        <f>IF(ISNA(MATCH(Transactions[[#This Row],[TransType]],TransTypes[TransType],0)),1,MATCH(Transactions[[#This Row],[TransType]],TransTypes[TransType],0))</f>
        <v>2</v>
      </c>
      <c r="M725" s="144">
        <f>IF( AND( INDEX(TransTypes[],Transactions[[#This Row],[TTR]],TT_COL_GLFlag)=1, INDEX(TransTypes[],Transactions[[#This Row],[TTR]],TT_COL_LONGORSHORT)="S" ),
      Transactions[[#This Row],[PL]],
      IF(INDEX(TransTypes[],Transactions[[#This Row],[TTR]],TT_COL_LONGORSHORT)="S",0,Transactions[[#This Row],[CalCashImpact]])
)</f>
        <v>-389.07</v>
      </c>
      <c r="N725" s="145">
        <f>IF(VLOOKUP(Transactions[[#This Row],[Symbol]],Symbols[],COLUMN(Symbols[Currency])-COLUMN(Symbols[])+1,FALSE)=
       VLOOKUP(Transactions[[#This Row],[Account]],Accounts[],COLUMN(Accounts[Currency])-COLUMN(Accounts[])+1,FALSE),
     Transactions[[#This Row],[OrigCashImpact]],
     0
)</f>
        <v>-389.07</v>
      </c>
      <c r="O72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2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389.07</v>
      </c>
      <c r="Q72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119929.55999999988</v>
      </c>
      <c r="R725" s="41">
        <f>ROW()</f>
        <v>725</v>
      </c>
      <c r="S7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389.07</v>
      </c>
      <c r="T7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119924.01634561375</v>
      </c>
      <c r="U72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119929.55999999988</v>
      </c>
      <c r="V725" s="150">
        <f>IF(INDEX(TransTypes[],Transactions[[#This Row],[TTR]],TT_COL_GLFlag)=1,Transactions[[#This Row],[CalCashImpact]]+Transactions[[#This Row],[CostImpact]],0)</f>
        <v>0</v>
      </c>
      <c r="W725" s="151">
        <f>Transactions[[#This Row],[Amount]]*INDEX(TransTypes[],Transactions[[#This Row],[TTR]],TT_COL_AmntSign)</f>
        <v>-389.07</v>
      </c>
      <c r="X725" s="151">
        <f>IF(INDEX(TransTypes[],Transactions[[#This Row],[TTR]],TT_COL_LONGORSHORT)="S",
      IF( OR(INDEX(TransTypes[],Transactions[[#This Row],[TTR]],TT_COL_GLFlag)=1, INDEX(TransTypes[], Transactions[[#This Row],[TTR]], TT_COL_ShareTransferFlag)=1),
            Transactions[[#This Row],[CostImpact]]*-1,
            Transactions[[#This Row],[CalCashImpact]]
      ),
     0
)</f>
        <v>0</v>
      </c>
      <c r="Y725" s="152" t="str">
        <f>VLOOKUP(Transactions[[#This Row],[Symbol]],Symbols[], COLUMN(Symbols[Currency])-COLUMN(Symbols[])+1,FALSE)</f>
        <v>CNY</v>
      </c>
    </row>
    <row r="726" spans="1:25">
      <c r="A726" s="138" t="s">
        <v>600</v>
      </c>
      <c r="B726" s="139">
        <v>42963</v>
      </c>
      <c r="C726" s="138" t="s">
        <v>113</v>
      </c>
      <c r="D726" s="138"/>
      <c r="E726" s="140" t="s">
        <v>623</v>
      </c>
      <c r="F726" s="141">
        <v>372482.48</v>
      </c>
      <c r="G726" s="142">
        <v>1</v>
      </c>
      <c r="H726" s="141">
        <v>0</v>
      </c>
      <c r="I726" s="141"/>
      <c r="J726" s="143">
        <v>372482.48</v>
      </c>
      <c r="K726" s="6"/>
      <c r="L726" s="20">
        <f>IF(ISNA(MATCH(Transactions[[#This Row],[TransType]],TransTypes[TransType],0)),1,MATCH(Transactions[[#This Row],[TransType]],TransTypes[TransType],0))</f>
        <v>2</v>
      </c>
      <c r="M726" s="144">
        <f>IF( AND( INDEX(TransTypes[],Transactions[[#This Row],[TTR]],TT_COL_GLFlag)=1, INDEX(TransTypes[],Transactions[[#This Row],[TTR]],TT_COL_LONGORSHORT)="S" ),
      Transactions[[#This Row],[PL]],
      IF(INDEX(TransTypes[],Transactions[[#This Row],[TTR]],TT_COL_LONGORSHORT)="S",0,Transactions[[#This Row],[CalCashImpact]])
)</f>
        <v>-372482.48</v>
      </c>
      <c r="N726" s="145">
        <f>IF(VLOOKUP(Transactions[[#This Row],[Symbol]],Symbols[],COLUMN(Symbols[Currency])-COLUMN(Symbols[])+1,FALSE)=
       VLOOKUP(Transactions[[#This Row],[Account]],Accounts[],COLUMN(Accounts[Currency])-COLUMN(Accounts[])+1,FALSE),
     Transactions[[#This Row],[OrigCashImpact]],
     0
)</f>
        <v>-372482.48</v>
      </c>
      <c r="O72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-372505.43000000023</v>
      </c>
      <c r="P72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372482.48</v>
      </c>
      <c r="Q72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492412.03999999986</v>
      </c>
      <c r="R726" s="41">
        <f>ROW()</f>
        <v>726</v>
      </c>
      <c r="S7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372482.48</v>
      </c>
      <c r="T7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492406.49634561373</v>
      </c>
      <c r="U72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492412.03999999986</v>
      </c>
      <c r="V726" s="150">
        <f>IF(INDEX(TransTypes[],Transactions[[#This Row],[TTR]],TT_COL_GLFlag)=1,Transactions[[#This Row],[CalCashImpact]]+Transactions[[#This Row],[CostImpact]],0)</f>
        <v>0</v>
      </c>
      <c r="W726" s="151">
        <f>Transactions[[#This Row],[Amount]]*INDEX(TransTypes[],Transactions[[#This Row],[TTR]],TT_COL_AmntSign)</f>
        <v>-372482.48</v>
      </c>
      <c r="X726" s="151">
        <f>IF(INDEX(TransTypes[],Transactions[[#This Row],[TTR]],TT_COL_LONGORSHORT)="S",
      IF( OR(INDEX(TransTypes[],Transactions[[#This Row],[TTR]],TT_COL_GLFlag)=1, INDEX(TransTypes[], Transactions[[#This Row],[TTR]], TT_COL_ShareTransferFlag)=1),
            Transactions[[#This Row],[CostImpact]]*-1,
            Transactions[[#This Row],[CalCashImpact]]
      ),
     0
)</f>
        <v>0</v>
      </c>
      <c r="Y726" s="152" t="str">
        <f>VLOOKUP(Transactions[[#This Row],[Symbol]],Symbols[], COLUMN(Symbols[Currency])-COLUMN(Symbols[])+1,FALSE)</f>
        <v>CNY</v>
      </c>
    </row>
    <row r="727" spans="1:25">
      <c r="A727" s="138" t="s">
        <v>600</v>
      </c>
      <c r="B727" s="139">
        <v>42963</v>
      </c>
      <c r="C727" s="138" t="s">
        <v>115</v>
      </c>
      <c r="D727" s="138"/>
      <c r="E727" s="140" t="s">
        <v>626</v>
      </c>
      <c r="F727" s="141">
        <v>315140.96000000002</v>
      </c>
      <c r="G727" s="142">
        <v>1.18199998502257</v>
      </c>
      <c r="H727" s="141">
        <v>14.13</v>
      </c>
      <c r="I727" s="141"/>
      <c r="J727" s="143">
        <v>372482.48</v>
      </c>
      <c r="K727" s="6"/>
      <c r="L727" s="20">
        <f>IF(ISNA(MATCH(Transactions[[#This Row],[TransType]],TransTypes[TransType],0)),1,MATCH(Transactions[[#This Row],[TransType]],TransTypes[TransType],0))</f>
        <v>3</v>
      </c>
      <c r="M727" s="144">
        <f>IF( AND( INDEX(TransTypes[],Transactions[[#This Row],[TTR]],TT_COL_GLFlag)=1, INDEX(TransTypes[],Transactions[[#This Row],[TTR]],TT_COL_LONGORSHORT)="S" ),
      Transactions[[#This Row],[PL]],
      IF(INDEX(TransTypes[],Transactions[[#This Row],[TTR]],TT_COL_LONGORSHORT)="S",0,Transactions[[#This Row],[CalCashImpact]])
)</f>
        <v>372482.48</v>
      </c>
      <c r="N727" s="145">
        <f>IF(VLOOKUP(Transactions[[#This Row],[Symbol]],Symbols[],COLUMN(Symbols[Currency])-COLUMN(Symbols[])+1,FALSE)=
       VLOOKUP(Transactions[[#This Row],[Account]],Accounts[],COLUMN(Accounts[Currency])-COLUMN(Accounts[])+1,FALSE),
     Transactions[[#This Row],[OrigCashImpact]],
     0
)</f>
        <v>372482.48</v>
      </c>
      <c r="O72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2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-315140.96000000002</v>
      </c>
      <c r="Q72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27" s="41">
        <f>ROW()</f>
        <v>727</v>
      </c>
      <c r="S7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-376051.94141343585</v>
      </c>
      <c r="T7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2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315140.9599999999</v>
      </c>
      <c r="V727" s="150">
        <f>IF(INDEX(TransTypes[],Transactions[[#This Row],[TTR]],TT_COL_GLFlag)=1,Transactions[[#This Row],[CalCashImpact]]+Transactions[[#This Row],[CostImpact]],0)</f>
        <v>-3569.4614134358708</v>
      </c>
      <c r="W727" s="151">
        <f>Transactions[[#This Row],[Amount]]*INDEX(TransTypes[],Transactions[[#This Row],[TTR]],TT_COL_AmntSign)</f>
        <v>372482.48</v>
      </c>
      <c r="X727" s="151">
        <f>IF(INDEX(TransTypes[],Transactions[[#This Row],[TTR]],TT_COL_LONGORSHORT)="S",
      IF( OR(INDEX(TransTypes[],Transactions[[#This Row],[TTR]],TT_COL_GLFlag)=1, INDEX(TransTypes[], Transactions[[#This Row],[TTR]], TT_COL_ShareTransferFlag)=1),
            Transactions[[#This Row],[CostImpact]]*-1,
            Transactions[[#This Row],[CalCashImpact]]
      ),
     0
)</f>
        <v>0</v>
      </c>
      <c r="Y727" s="152" t="str">
        <f>VLOOKUP(Transactions[[#This Row],[Symbol]],Symbols[], COLUMN(Symbols[Currency])-COLUMN(Symbols[])+1,FALSE)</f>
        <v>CNY</v>
      </c>
    </row>
    <row r="728" spans="1:25">
      <c r="A728" s="138" t="s">
        <v>600</v>
      </c>
      <c r="B728" s="139">
        <v>42968</v>
      </c>
      <c r="C728" s="138" t="s">
        <v>118</v>
      </c>
      <c r="D728" s="138"/>
      <c r="E728" s="140" t="s">
        <v>623</v>
      </c>
      <c r="F728" s="141"/>
      <c r="G728" s="142"/>
      <c r="H728" s="141"/>
      <c r="I728" s="141"/>
      <c r="J728" s="143">
        <v>0.12</v>
      </c>
      <c r="K728" s="6"/>
      <c r="L728" s="20">
        <f>IF(ISNA(MATCH(Transactions[[#This Row],[TransType]],TransTypes[TransType],0)),1,MATCH(Transactions[[#This Row],[TransType]],TransTypes[TransType],0))</f>
        <v>4</v>
      </c>
      <c r="M728" s="144">
        <f>IF( AND( INDEX(TransTypes[],Transactions[[#This Row],[TTR]],TT_COL_GLFlag)=1, INDEX(TransTypes[],Transactions[[#This Row],[TTR]],TT_COL_LONGORSHORT)="S" ),
      Transactions[[#This Row],[PL]],
      IF(INDEX(TransTypes[],Transactions[[#This Row],[TTR]],TT_COL_LONGORSHORT)="S",0,Transactions[[#This Row],[CalCashImpact]])
)</f>
        <v>0.12</v>
      </c>
      <c r="N728" s="145">
        <f>IF(VLOOKUP(Transactions[[#This Row],[Symbol]],Symbols[],COLUMN(Symbols[Currency])-COLUMN(Symbols[])+1,FALSE)=
       VLOOKUP(Transactions[[#This Row],[Account]],Accounts[],COLUMN(Accounts[Currency])-COLUMN(Accounts[])+1,FALSE),
     Transactions[[#This Row],[OrigCashImpact]],
     0
)</f>
        <v>0.12</v>
      </c>
      <c r="O72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-22.830000000244471</v>
      </c>
      <c r="P72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2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492412.03999999986</v>
      </c>
      <c r="R728" s="41">
        <f>ROW()</f>
        <v>728</v>
      </c>
      <c r="S7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492406.49634561373</v>
      </c>
      <c r="U72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492412.03999999986</v>
      </c>
      <c r="V728" s="150">
        <f>IF(INDEX(TransTypes[],Transactions[[#This Row],[TTR]],TT_COL_GLFlag)=1,Transactions[[#This Row],[CalCashImpact]]+Transactions[[#This Row],[CostImpact]],0)</f>
        <v>0</v>
      </c>
      <c r="W728" s="151">
        <f>Transactions[[#This Row],[Amount]]*INDEX(TransTypes[],Transactions[[#This Row],[TTR]],TT_COL_AmntSign)</f>
        <v>0.12</v>
      </c>
      <c r="X728" s="151">
        <f>IF(INDEX(TransTypes[],Transactions[[#This Row],[TTR]],TT_COL_LONGORSHORT)="S",
      IF( OR(INDEX(TransTypes[],Transactions[[#This Row],[TTR]],TT_COL_GLFlag)=1, INDEX(TransTypes[], Transactions[[#This Row],[TTR]], TT_COL_ShareTransferFlag)=1),
            Transactions[[#This Row],[CostImpact]]*-1,
            Transactions[[#This Row],[CalCashImpact]]
      ),
     0
)</f>
        <v>0</v>
      </c>
      <c r="Y728" s="152" t="str">
        <f>VLOOKUP(Transactions[[#This Row],[Symbol]],Symbols[], COLUMN(Symbols[Currency])-COLUMN(Symbols[])+1,FALSE)</f>
        <v>CNY</v>
      </c>
    </row>
    <row r="729" spans="1:25">
      <c r="A729" s="138" t="s">
        <v>600</v>
      </c>
      <c r="B729" s="139">
        <v>42968</v>
      </c>
      <c r="C729" s="138" t="s">
        <v>113</v>
      </c>
      <c r="D729" s="138" t="s">
        <v>531</v>
      </c>
      <c r="E729" s="140" t="s">
        <v>623</v>
      </c>
      <c r="F729" s="141">
        <v>0.12</v>
      </c>
      <c r="G729" s="142">
        <v>1</v>
      </c>
      <c r="H729" s="141"/>
      <c r="I729" s="141"/>
      <c r="J729" s="143">
        <v>0.12</v>
      </c>
      <c r="K729" s="6"/>
      <c r="L729" s="20">
        <f>IF(ISNA(MATCH(Transactions[[#This Row],[TransType]],TransTypes[TransType],0)),1,MATCH(Transactions[[#This Row],[TransType]],TransTypes[TransType],0))</f>
        <v>2</v>
      </c>
      <c r="M729" s="144">
        <f>IF( AND( INDEX(TransTypes[],Transactions[[#This Row],[TTR]],TT_COL_GLFlag)=1, INDEX(TransTypes[],Transactions[[#This Row],[TTR]],TT_COL_LONGORSHORT)="S" ),
      Transactions[[#This Row],[PL]],
      IF(INDEX(TransTypes[],Transactions[[#This Row],[TTR]],TT_COL_LONGORSHORT)="S",0,Transactions[[#This Row],[CalCashImpact]])
)</f>
        <v>-0.12</v>
      </c>
      <c r="N729" s="145">
        <f>IF(VLOOKUP(Transactions[[#This Row],[Symbol]],Symbols[],COLUMN(Symbols[Currency])-COLUMN(Symbols[])+1,FALSE)=
       VLOOKUP(Transactions[[#This Row],[Account]],Accounts[],COLUMN(Accounts[Currency])-COLUMN(Accounts[])+1,FALSE),
     Transactions[[#This Row],[OrigCashImpact]],
     0
)</f>
        <v>-0.12</v>
      </c>
      <c r="O72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2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0.12</v>
      </c>
      <c r="Q72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492412.15999999986</v>
      </c>
      <c r="R729" s="41">
        <f>ROW()</f>
        <v>729</v>
      </c>
      <c r="S7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0.12</v>
      </c>
      <c r="T7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492406.61634561373</v>
      </c>
      <c r="U72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492412.15999999986</v>
      </c>
      <c r="V729" s="150">
        <f>IF(INDEX(TransTypes[],Transactions[[#This Row],[TTR]],TT_COL_GLFlag)=1,Transactions[[#This Row],[CalCashImpact]]+Transactions[[#This Row],[CostImpact]],0)</f>
        <v>0</v>
      </c>
      <c r="W729" s="151">
        <f>Transactions[[#This Row],[Amount]]*INDEX(TransTypes[],Transactions[[#This Row],[TTR]],TT_COL_AmntSign)</f>
        <v>-0.12</v>
      </c>
      <c r="X729" s="151">
        <f>IF(INDEX(TransTypes[],Transactions[[#This Row],[TTR]],TT_COL_LONGORSHORT)="S",
      IF( OR(INDEX(TransTypes[],Transactions[[#This Row],[TTR]],TT_COL_GLFlag)=1, INDEX(TransTypes[], Transactions[[#This Row],[TTR]], TT_COL_ShareTransferFlag)=1),
            Transactions[[#This Row],[CostImpact]]*-1,
            Transactions[[#This Row],[CalCashImpact]]
      ),
     0
)</f>
        <v>0</v>
      </c>
      <c r="Y729" s="152" t="str">
        <f>VLOOKUP(Transactions[[#This Row],[Symbol]],Symbols[], COLUMN(Symbols[Currency])-COLUMN(Symbols[])+1,FALSE)</f>
        <v>CNY</v>
      </c>
    </row>
    <row r="730" spans="1:25">
      <c r="A730" s="138" t="s">
        <v>600</v>
      </c>
      <c r="B730" s="139">
        <v>42968</v>
      </c>
      <c r="C730" s="138" t="s">
        <v>113</v>
      </c>
      <c r="D730" s="138"/>
      <c r="E730" s="140" t="s">
        <v>602</v>
      </c>
      <c r="F730" s="141">
        <v>102810.23</v>
      </c>
      <c r="G730" s="142">
        <v>1.9430000302499</v>
      </c>
      <c r="H730" s="141">
        <v>239.72</v>
      </c>
      <c r="I730" s="141"/>
      <c r="J730" s="143">
        <v>200000</v>
      </c>
      <c r="K730" s="6"/>
      <c r="L730" s="20">
        <f>IF(ISNA(MATCH(Transactions[[#This Row],[TransType]],TransTypes[TransType],0)),1,MATCH(Transactions[[#This Row],[TransType]],TransTypes[TransType],0))</f>
        <v>2</v>
      </c>
      <c r="M730" s="144">
        <f>IF( AND( INDEX(TransTypes[],Transactions[[#This Row],[TTR]],TT_COL_GLFlag)=1, INDEX(TransTypes[],Transactions[[#This Row],[TTR]],TT_COL_LONGORSHORT)="S" ),
      Transactions[[#This Row],[PL]],
      IF(INDEX(TransTypes[],Transactions[[#This Row],[TTR]],TT_COL_LONGORSHORT)="S",0,Transactions[[#This Row],[CalCashImpact]])
)</f>
        <v>-200000</v>
      </c>
      <c r="N730" s="145">
        <f>IF(VLOOKUP(Transactions[[#This Row],[Symbol]],Symbols[],COLUMN(Symbols[Currency])-COLUMN(Symbols[])+1,FALSE)=
       VLOOKUP(Transactions[[#This Row],[Account]],Accounts[],COLUMN(Accounts[Currency])-COLUMN(Accounts[])+1,FALSE),
     Transactions[[#This Row],[OrigCashImpact]],
     0
)</f>
        <v>-200000</v>
      </c>
      <c r="O73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-200022.95000000024</v>
      </c>
      <c r="P73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102810.23</v>
      </c>
      <c r="Q73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210665.28</v>
      </c>
      <c r="R730" s="41">
        <f>ROW()</f>
        <v>730</v>
      </c>
      <c r="S7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200000</v>
      </c>
      <c r="T7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415040.4607</v>
      </c>
      <c r="U73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210665.28</v>
      </c>
      <c r="V730" s="150">
        <f>IF(INDEX(TransTypes[],Transactions[[#This Row],[TTR]],TT_COL_GLFlag)=1,Transactions[[#This Row],[CalCashImpact]]+Transactions[[#This Row],[CostImpact]],0)</f>
        <v>0</v>
      </c>
      <c r="W730" s="151">
        <f>Transactions[[#This Row],[Amount]]*INDEX(TransTypes[],Transactions[[#This Row],[TTR]],TT_COL_AmntSign)</f>
        <v>-200000</v>
      </c>
      <c r="X730" s="151">
        <f>IF(INDEX(TransTypes[],Transactions[[#This Row],[TTR]],TT_COL_LONGORSHORT)="S",
      IF( OR(INDEX(TransTypes[],Transactions[[#This Row],[TTR]],TT_COL_GLFlag)=1, INDEX(TransTypes[], Transactions[[#This Row],[TTR]], TT_COL_ShareTransferFlag)=1),
            Transactions[[#This Row],[CostImpact]]*-1,
            Transactions[[#This Row],[CalCashImpact]]
      ),
     0
)</f>
        <v>0</v>
      </c>
      <c r="Y730" s="152" t="str">
        <f>VLOOKUP(Transactions[[#This Row],[Symbol]],Symbols[], COLUMN(Symbols[Currency])-COLUMN(Symbols[])+1,FALSE)</f>
        <v>CNY</v>
      </c>
    </row>
    <row r="731" spans="1:25">
      <c r="A731" s="138" t="s">
        <v>600</v>
      </c>
      <c r="B731" s="139">
        <v>42968</v>
      </c>
      <c r="C731" s="138" t="s">
        <v>115</v>
      </c>
      <c r="D731" s="138"/>
      <c r="E731" s="140" t="s">
        <v>623</v>
      </c>
      <c r="F731" s="141">
        <v>200000</v>
      </c>
      <c r="G731" s="142">
        <v>1</v>
      </c>
      <c r="H731" s="141">
        <v>0</v>
      </c>
      <c r="I731" s="141"/>
      <c r="J731" s="143">
        <v>200000</v>
      </c>
      <c r="K731" s="6"/>
      <c r="L731" s="20">
        <f>IF(ISNA(MATCH(Transactions[[#This Row],[TransType]],TransTypes[TransType],0)),1,MATCH(Transactions[[#This Row],[TransType]],TransTypes[TransType],0))</f>
        <v>3</v>
      </c>
      <c r="M731" s="144">
        <f>IF( AND( INDEX(TransTypes[],Transactions[[#This Row],[TTR]],TT_COL_GLFlag)=1, INDEX(TransTypes[],Transactions[[#This Row],[TTR]],TT_COL_LONGORSHORT)="S" ),
      Transactions[[#This Row],[PL]],
      IF(INDEX(TransTypes[],Transactions[[#This Row],[TTR]],TT_COL_LONGORSHORT)="S",0,Transactions[[#This Row],[CalCashImpact]])
)</f>
        <v>200000</v>
      </c>
      <c r="N731" s="145">
        <f>IF(VLOOKUP(Transactions[[#This Row],[Symbol]],Symbols[],COLUMN(Symbols[Currency])-COLUMN(Symbols[])+1,FALSE)=
       VLOOKUP(Transactions[[#This Row],[Account]],Accounts[],COLUMN(Accounts[Currency])-COLUMN(Accounts[])+1,FALSE),
     Transactions[[#This Row],[OrigCashImpact]],
     0
)</f>
        <v>200000</v>
      </c>
      <c r="O73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3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73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292412.15999999986</v>
      </c>
      <c r="R731" s="41">
        <f>ROW()</f>
        <v>731</v>
      </c>
      <c r="S7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-199997.74836820189</v>
      </c>
      <c r="T7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292408.86797741184</v>
      </c>
      <c r="U73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492412.15999999986</v>
      </c>
      <c r="V731" s="150">
        <f>IF(INDEX(TransTypes[],Transactions[[#This Row],[TTR]],TT_COL_GLFlag)=1,Transactions[[#This Row],[CalCashImpact]]+Transactions[[#This Row],[CostImpact]],0)</f>
        <v>2.2516317981062457</v>
      </c>
      <c r="W731" s="151">
        <f>Transactions[[#This Row],[Amount]]*INDEX(TransTypes[],Transactions[[#This Row],[TTR]],TT_COL_AmntSign)</f>
        <v>200000</v>
      </c>
      <c r="X731" s="151">
        <f>IF(INDEX(TransTypes[],Transactions[[#This Row],[TTR]],TT_COL_LONGORSHORT)="S",
      IF( OR(INDEX(TransTypes[],Transactions[[#This Row],[TTR]],TT_COL_GLFlag)=1, INDEX(TransTypes[], Transactions[[#This Row],[TTR]], TT_COL_ShareTransferFlag)=1),
            Transactions[[#This Row],[CostImpact]]*-1,
            Transactions[[#This Row],[CalCashImpact]]
      ),
     0
)</f>
        <v>0</v>
      </c>
      <c r="Y731" s="152" t="str">
        <f>VLOOKUP(Transactions[[#This Row],[Symbol]],Symbols[], COLUMN(Symbols[Currency])-COLUMN(Symbols[])+1,FALSE)</f>
        <v>CNY</v>
      </c>
    </row>
    <row r="732" spans="1:25">
      <c r="A732" s="138" t="s">
        <v>600</v>
      </c>
      <c r="B732" s="139">
        <v>42996</v>
      </c>
      <c r="C732" s="138" t="s">
        <v>118</v>
      </c>
      <c r="D732" s="138"/>
      <c r="E732" s="140" t="s">
        <v>623</v>
      </c>
      <c r="F732" s="141"/>
      <c r="G732" s="142"/>
      <c r="H732" s="141"/>
      <c r="I732" s="141"/>
      <c r="J732" s="143">
        <v>1191.3699999999999</v>
      </c>
      <c r="K732" s="6"/>
      <c r="L732" s="20">
        <f>IF(ISNA(MATCH(Transactions[[#This Row],[TransType]],TransTypes[TransType],0)),1,MATCH(Transactions[[#This Row],[TransType]],TransTypes[TransType],0))</f>
        <v>4</v>
      </c>
      <c r="M732" s="144">
        <f>IF( AND( INDEX(TransTypes[],Transactions[[#This Row],[TTR]],TT_COL_GLFlag)=1, INDEX(TransTypes[],Transactions[[#This Row],[TTR]],TT_COL_LONGORSHORT)="S" ),
      Transactions[[#This Row],[PL]],
      IF(INDEX(TransTypes[],Transactions[[#This Row],[TTR]],TT_COL_LONGORSHORT)="S",0,Transactions[[#This Row],[CalCashImpact]])
)</f>
        <v>1191.3699999999999</v>
      </c>
      <c r="N732" s="145">
        <f>IF(VLOOKUP(Transactions[[#This Row],[Symbol]],Symbols[],COLUMN(Symbols[Currency])-COLUMN(Symbols[])+1,FALSE)=
       VLOOKUP(Transactions[[#This Row],[Account]],Accounts[],COLUMN(Accounts[Currency])-COLUMN(Accounts[])+1,FALSE),
     Transactions[[#This Row],[OrigCashImpact]],
     0
)</f>
        <v>1191.3699999999999</v>
      </c>
      <c r="O73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1168.4199999997554</v>
      </c>
      <c r="P73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3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292412.15999999986</v>
      </c>
      <c r="R732" s="41">
        <f>ROW()</f>
        <v>732</v>
      </c>
      <c r="S7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292408.86797741184</v>
      </c>
      <c r="U73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292412.15999999986</v>
      </c>
      <c r="V732" s="150">
        <f>IF(INDEX(TransTypes[],Transactions[[#This Row],[TTR]],TT_COL_GLFlag)=1,Transactions[[#This Row],[CalCashImpact]]+Transactions[[#This Row],[CostImpact]],0)</f>
        <v>0</v>
      </c>
      <c r="W732" s="151">
        <f>Transactions[[#This Row],[Amount]]*INDEX(TransTypes[],Transactions[[#This Row],[TTR]],TT_COL_AmntSign)</f>
        <v>1191.3699999999999</v>
      </c>
      <c r="X732" s="151">
        <f>IF(INDEX(TransTypes[],Transactions[[#This Row],[TTR]],TT_COL_LONGORSHORT)="S",
      IF( OR(INDEX(TransTypes[],Transactions[[#This Row],[TTR]],TT_COL_GLFlag)=1, INDEX(TransTypes[], Transactions[[#This Row],[TTR]], TT_COL_ShareTransferFlag)=1),
            Transactions[[#This Row],[CostImpact]]*-1,
            Transactions[[#This Row],[CalCashImpact]]
      ),
     0
)</f>
        <v>0</v>
      </c>
      <c r="Y732" s="152" t="str">
        <f>VLOOKUP(Transactions[[#This Row],[Symbol]],Symbols[], COLUMN(Symbols[Currency])-COLUMN(Symbols[])+1,FALSE)</f>
        <v>CNY</v>
      </c>
    </row>
    <row r="733" spans="1:25">
      <c r="A733" s="138" t="s">
        <v>600</v>
      </c>
      <c r="B733" s="139">
        <v>42996</v>
      </c>
      <c r="C733" s="138" t="s">
        <v>113</v>
      </c>
      <c r="D733" s="138" t="s">
        <v>531</v>
      </c>
      <c r="E733" s="140" t="s">
        <v>623</v>
      </c>
      <c r="F733" s="141">
        <v>1191.3699999999999</v>
      </c>
      <c r="G733" s="142">
        <v>1</v>
      </c>
      <c r="H733" s="141"/>
      <c r="I733" s="141"/>
      <c r="J733" s="143">
        <v>1191.3699999999999</v>
      </c>
      <c r="K733" s="6"/>
      <c r="L733" s="20">
        <f>IF(ISNA(MATCH(Transactions[[#This Row],[TransType]],TransTypes[TransType],0)),1,MATCH(Transactions[[#This Row],[TransType]],TransTypes[TransType],0))</f>
        <v>2</v>
      </c>
      <c r="M733" s="144">
        <f>IF( AND( INDEX(TransTypes[],Transactions[[#This Row],[TTR]],TT_COL_GLFlag)=1, INDEX(TransTypes[],Transactions[[#This Row],[TTR]],TT_COL_LONGORSHORT)="S" ),
      Transactions[[#This Row],[PL]],
      IF(INDEX(TransTypes[],Transactions[[#This Row],[TTR]],TT_COL_LONGORSHORT)="S",0,Transactions[[#This Row],[CalCashImpact]])
)</f>
        <v>-1191.3699999999999</v>
      </c>
      <c r="N733" s="145">
        <f>IF(VLOOKUP(Transactions[[#This Row],[Symbol]],Symbols[],COLUMN(Symbols[Currency])-COLUMN(Symbols[])+1,FALSE)=
       VLOOKUP(Transactions[[#This Row],[Account]],Accounts[],COLUMN(Accounts[Currency])-COLUMN(Accounts[])+1,FALSE),
     Transactions[[#This Row],[OrigCashImpact]],
     0
)</f>
        <v>-1191.3699999999999</v>
      </c>
      <c r="O73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3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1191.3699999999999</v>
      </c>
      <c r="Q73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293603.52999999985</v>
      </c>
      <c r="R733" s="41">
        <f>ROW()</f>
        <v>733</v>
      </c>
      <c r="S7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1191.3699999999999</v>
      </c>
      <c r="T7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293600.23797741183</v>
      </c>
      <c r="U73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293603.52999999985</v>
      </c>
      <c r="V733" s="150">
        <f>IF(INDEX(TransTypes[],Transactions[[#This Row],[TTR]],TT_COL_GLFlag)=1,Transactions[[#This Row],[CalCashImpact]]+Transactions[[#This Row],[CostImpact]],0)</f>
        <v>0</v>
      </c>
      <c r="W733" s="151">
        <f>Transactions[[#This Row],[Amount]]*INDEX(TransTypes[],Transactions[[#This Row],[TTR]],TT_COL_AmntSign)</f>
        <v>-1191.3699999999999</v>
      </c>
      <c r="X733" s="151">
        <f>IF(INDEX(TransTypes[],Transactions[[#This Row],[TTR]],TT_COL_LONGORSHORT)="S",
      IF( OR(INDEX(TransTypes[],Transactions[[#This Row],[TTR]],TT_COL_GLFlag)=1, INDEX(TransTypes[], Transactions[[#This Row],[TTR]], TT_COL_ShareTransferFlag)=1),
            Transactions[[#This Row],[CostImpact]]*-1,
            Transactions[[#This Row],[CalCashImpact]]
      ),
     0
)</f>
        <v>0</v>
      </c>
      <c r="Y733" s="152" t="str">
        <f>VLOOKUP(Transactions[[#This Row],[Symbol]],Symbols[], COLUMN(Symbols[Currency])-COLUMN(Symbols[])+1,FALSE)</f>
        <v>CNY</v>
      </c>
    </row>
    <row r="734" spans="1:25">
      <c r="A734" s="138" t="s">
        <v>600</v>
      </c>
      <c r="B734" s="139">
        <v>43024</v>
      </c>
      <c r="C734" s="138" t="s">
        <v>118</v>
      </c>
      <c r="D734" s="138"/>
      <c r="E734" s="140" t="s">
        <v>623</v>
      </c>
      <c r="F734" s="141"/>
      <c r="G734" s="142"/>
      <c r="H734" s="141"/>
      <c r="I734" s="141"/>
      <c r="J734" s="143">
        <v>859.83</v>
      </c>
      <c r="K734" s="6"/>
      <c r="L734" s="20">
        <f>IF(ISNA(MATCH(Transactions[[#This Row],[TransType]],TransTypes[TransType],0)),1,MATCH(Transactions[[#This Row],[TransType]],TransTypes[TransType],0))</f>
        <v>4</v>
      </c>
      <c r="M734" s="144">
        <f>IF( AND( INDEX(TransTypes[],Transactions[[#This Row],[TTR]],TT_COL_GLFlag)=1, INDEX(TransTypes[],Transactions[[#This Row],[TTR]],TT_COL_LONGORSHORT)="S" ),
      Transactions[[#This Row],[PL]],
      IF(INDEX(TransTypes[],Transactions[[#This Row],[TTR]],TT_COL_LONGORSHORT)="S",0,Transactions[[#This Row],[CalCashImpact]])
)</f>
        <v>859.83</v>
      </c>
      <c r="N734" s="145">
        <f>IF(VLOOKUP(Transactions[[#This Row],[Symbol]],Symbols[],COLUMN(Symbols[Currency])-COLUMN(Symbols[])+1,FALSE)=
       VLOOKUP(Transactions[[#This Row],[Account]],Accounts[],COLUMN(Accounts[Currency])-COLUMN(Accounts[])+1,FALSE),
     Transactions[[#This Row],[OrigCashImpact]],
     0
)</f>
        <v>859.83</v>
      </c>
      <c r="O73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836.87999999975557</v>
      </c>
      <c r="P73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3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293603.52999999985</v>
      </c>
      <c r="R734" s="41">
        <f>ROW()</f>
        <v>734</v>
      </c>
      <c r="S7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293600.23797741183</v>
      </c>
      <c r="U73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293603.52999999985</v>
      </c>
      <c r="V734" s="150">
        <f>IF(INDEX(TransTypes[],Transactions[[#This Row],[TTR]],TT_COL_GLFlag)=1,Transactions[[#This Row],[CalCashImpact]]+Transactions[[#This Row],[CostImpact]],0)</f>
        <v>0</v>
      </c>
      <c r="W734" s="151">
        <f>Transactions[[#This Row],[Amount]]*INDEX(TransTypes[],Transactions[[#This Row],[TTR]],TT_COL_AmntSign)</f>
        <v>859.83</v>
      </c>
      <c r="X734" s="151">
        <f>IF(INDEX(TransTypes[],Transactions[[#This Row],[TTR]],TT_COL_LONGORSHORT)="S",
      IF( OR(INDEX(TransTypes[],Transactions[[#This Row],[TTR]],TT_COL_GLFlag)=1, INDEX(TransTypes[], Transactions[[#This Row],[TTR]], TT_COL_ShareTransferFlag)=1),
            Transactions[[#This Row],[CostImpact]]*-1,
            Transactions[[#This Row],[CalCashImpact]]
      ),
     0
)</f>
        <v>0</v>
      </c>
      <c r="Y734" s="152" t="str">
        <f>VLOOKUP(Transactions[[#This Row],[Symbol]],Symbols[], COLUMN(Symbols[Currency])-COLUMN(Symbols[])+1,FALSE)</f>
        <v>CNY</v>
      </c>
    </row>
    <row r="735" spans="1:25">
      <c r="A735" s="138" t="s">
        <v>600</v>
      </c>
      <c r="B735" s="139">
        <v>43024</v>
      </c>
      <c r="C735" s="138" t="s">
        <v>113</v>
      </c>
      <c r="D735" s="138" t="s">
        <v>531</v>
      </c>
      <c r="E735" s="140" t="s">
        <v>623</v>
      </c>
      <c r="F735" s="141">
        <v>859.83</v>
      </c>
      <c r="G735" s="142">
        <v>1</v>
      </c>
      <c r="H735" s="141"/>
      <c r="I735" s="141"/>
      <c r="J735" s="143">
        <v>859.83</v>
      </c>
      <c r="K735" s="6"/>
      <c r="L735" s="20">
        <f>IF(ISNA(MATCH(Transactions[[#This Row],[TransType]],TransTypes[TransType],0)),1,MATCH(Transactions[[#This Row],[TransType]],TransTypes[TransType],0))</f>
        <v>2</v>
      </c>
      <c r="M735" s="144">
        <f>IF( AND( INDEX(TransTypes[],Transactions[[#This Row],[TTR]],TT_COL_GLFlag)=1, INDEX(TransTypes[],Transactions[[#This Row],[TTR]],TT_COL_LONGORSHORT)="S" ),
      Transactions[[#This Row],[PL]],
      IF(INDEX(TransTypes[],Transactions[[#This Row],[TTR]],TT_COL_LONGORSHORT)="S",0,Transactions[[#This Row],[CalCashImpact]])
)</f>
        <v>-859.83</v>
      </c>
      <c r="N735" s="145">
        <f>IF(VLOOKUP(Transactions[[#This Row],[Symbol]],Symbols[],COLUMN(Symbols[Currency])-COLUMN(Symbols[])+1,FALSE)=
       VLOOKUP(Transactions[[#This Row],[Account]],Accounts[],COLUMN(Accounts[Currency])-COLUMN(Accounts[])+1,FALSE),
     Transactions[[#This Row],[OrigCashImpact]],
     0
)</f>
        <v>-859.83</v>
      </c>
      <c r="O73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3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859.83</v>
      </c>
      <c r="Q73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294463.35999999987</v>
      </c>
      <c r="R735" s="41">
        <f>ROW()</f>
        <v>735</v>
      </c>
      <c r="S7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859.83</v>
      </c>
      <c r="T7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294460.06797741185</v>
      </c>
      <c r="U73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294463.35999999987</v>
      </c>
      <c r="V735" s="150">
        <f>IF(INDEX(TransTypes[],Transactions[[#This Row],[TTR]],TT_COL_GLFlag)=1,Transactions[[#This Row],[CalCashImpact]]+Transactions[[#This Row],[CostImpact]],0)</f>
        <v>0</v>
      </c>
      <c r="W735" s="151">
        <f>Transactions[[#This Row],[Amount]]*INDEX(TransTypes[],Transactions[[#This Row],[TTR]],TT_COL_AmntSign)</f>
        <v>-859.83</v>
      </c>
      <c r="X735" s="151">
        <f>IF(INDEX(TransTypes[],Transactions[[#This Row],[TTR]],TT_COL_LONGORSHORT)="S",
      IF( OR(INDEX(TransTypes[],Transactions[[#This Row],[TTR]],TT_COL_GLFlag)=1, INDEX(TransTypes[], Transactions[[#This Row],[TTR]], TT_COL_ShareTransferFlag)=1),
            Transactions[[#This Row],[CostImpact]]*-1,
            Transactions[[#This Row],[CalCashImpact]]
      ),
     0
)</f>
        <v>0</v>
      </c>
      <c r="Y735" s="152" t="str">
        <f>VLOOKUP(Transactions[[#This Row],[Symbol]],Symbols[], COLUMN(Symbols[Currency])-COLUMN(Symbols[])+1,FALSE)</f>
        <v>CNY</v>
      </c>
    </row>
    <row r="736" spans="1:25">
      <c r="A736" s="138" t="s">
        <v>600</v>
      </c>
      <c r="B736" s="139">
        <v>43032</v>
      </c>
      <c r="C736" s="138" t="s">
        <v>118</v>
      </c>
      <c r="D736" s="138"/>
      <c r="E736" s="140" t="s">
        <v>611</v>
      </c>
      <c r="F736" s="141"/>
      <c r="G736" s="142"/>
      <c r="H736" s="141"/>
      <c r="I736" s="141"/>
      <c r="J736" s="143">
        <v>23397.684799999999</v>
      </c>
      <c r="K736" s="6"/>
      <c r="L736" s="20">
        <f>IF(ISNA(MATCH(Transactions[[#This Row],[TransType]],TransTypes[TransType],0)),1,MATCH(Transactions[[#This Row],[TransType]],TransTypes[TransType],0))</f>
        <v>4</v>
      </c>
      <c r="M736" s="144">
        <f>IF( AND( INDEX(TransTypes[],Transactions[[#This Row],[TTR]],TT_COL_GLFlag)=1, INDEX(TransTypes[],Transactions[[#This Row],[TTR]],TT_COL_LONGORSHORT)="S" ),
      Transactions[[#This Row],[PL]],
      IF(INDEX(TransTypes[],Transactions[[#This Row],[TTR]],TT_COL_LONGORSHORT)="S",0,Transactions[[#This Row],[CalCashImpact]])
)</f>
        <v>23397.684799999999</v>
      </c>
      <c r="N736" s="145">
        <f>IF(VLOOKUP(Transactions[[#This Row],[Symbol]],Symbols[],COLUMN(Symbols[Currency])-COLUMN(Symbols[])+1,FALSE)=
       VLOOKUP(Transactions[[#This Row],[Account]],Accounts[],COLUMN(Accounts[Currency])-COLUMN(Accounts[])+1,FALSE),
     Transactions[[#This Row],[OrigCashImpact]],
     0
)</f>
        <v>23397.684799999999</v>
      </c>
      <c r="O73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23374.734799999755</v>
      </c>
      <c r="P73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3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388978.3</v>
      </c>
      <c r="R736" s="41">
        <f>ROW()</f>
        <v>736</v>
      </c>
      <c r="S7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420000</v>
      </c>
      <c r="U73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388978.3</v>
      </c>
      <c r="V736" s="150">
        <f>IF(INDEX(TransTypes[],Transactions[[#This Row],[TTR]],TT_COL_GLFlag)=1,Transactions[[#This Row],[CalCashImpact]]+Transactions[[#This Row],[CostImpact]],0)</f>
        <v>0</v>
      </c>
      <c r="W736" s="151">
        <f>Transactions[[#This Row],[Amount]]*INDEX(TransTypes[],Transactions[[#This Row],[TTR]],TT_COL_AmntSign)</f>
        <v>23397.684799999999</v>
      </c>
      <c r="X736" s="151">
        <f>IF(INDEX(TransTypes[],Transactions[[#This Row],[TTR]],TT_COL_LONGORSHORT)="S",
      IF( OR(INDEX(TransTypes[],Transactions[[#This Row],[TTR]],TT_COL_GLFlag)=1, INDEX(TransTypes[], Transactions[[#This Row],[TTR]], TT_COL_ShareTransferFlag)=1),
            Transactions[[#This Row],[CostImpact]]*-1,
            Transactions[[#This Row],[CalCashImpact]]
      ),
     0
)</f>
        <v>0</v>
      </c>
      <c r="Y736" s="152" t="str">
        <f>VLOOKUP(Transactions[[#This Row],[Symbol]],Symbols[], COLUMN(Symbols[Currency])-COLUMN(Symbols[])+1,FALSE)</f>
        <v>CNY</v>
      </c>
    </row>
    <row r="737" spans="1:25">
      <c r="A737" s="138" t="s">
        <v>600</v>
      </c>
      <c r="B737" s="139">
        <v>43032</v>
      </c>
      <c r="C737" s="138" t="s">
        <v>113</v>
      </c>
      <c r="D737" s="138" t="s">
        <v>531</v>
      </c>
      <c r="E737" s="140" t="s">
        <v>611</v>
      </c>
      <c r="F737" s="141">
        <v>19661.919999999998</v>
      </c>
      <c r="G737" s="142">
        <v>1.19</v>
      </c>
      <c r="H737" s="141"/>
      <c r="I737" s="141"/>
      <c r="J737" s="143">
        <v>23397.684799999999</v>
      </c>
      <c r="K737" s="6"/>
      <c r="L737" s="20">
        <f>IF(ISNA(MATCH(Transactions[[#This Row],[TransType]],TransTypes[TransType],0)),1,MATCH(Transactions[[#This Row],[TransType]],TransTypes[TransType],0))</f>
        <v>2</v>
      </c>
      <c r="M737" s="144">
        <f>IF( AND( INDEX(TransTypes[],Transactions[[#This Row],[TTR]],TT_COL_GLFlag)=1, INDEX(TransTypes[],Transactions[[#This Row],[TTR]],TT_COL_LONGORSHORT)="S" ),
      Transactions[[#This Row],[PL]],
      IF(INDEX(TransTypes[],Transactions[[#This Row],[TTR]],TT_COL_LONGORSHORT)="S",0,Transactions[[#This Row],[CalCashImpact]])
)</f>
        <v>-23397.684799999999</v>
      </c>
      <c r="N737" s="145">
        <f>IF(VLOOKUP(Transactions[[#This Row],[Symbol]],Symbols[],COLUMN(Symbols[Currency])-COLUMN(Symbols[])+1,FALSE)=
       VLOOKUP(Transactions[[#This Row],[Account]],Accounts[],COLUMN(Accounts[Currency])-COLUMN(Accounts[])+1,FALSE),
     Transactions[[#This Row],[OrigCashImpact]],
     0
)</f>
        <v>-23397.684799999999</v>
      </c>
      <c r="O73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3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19661.919999999998</v>
      </c>
      <c r="Q73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408640.22</v>
      </c>
      <c r="R737" s="41">
        <f>ROW()</f>
        <v>737</v>
      </c>
      <c r="S7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23397.684799999999</v>
      </c>
      <c r="T7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443397.68479999999</v>
      </c>
      <c r="U73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408640.22</v>
      </c>
      <c r="V737" s="150">
        <f>IF(INDEX(TransTypes[],Transactions[[#This Row],[TTR]],TT_COL_GLFlag)=1,Transactions[[#This Row],[CalCashImpact]]+Transactions[[#This Row],[CostImpact]],0)</f>
        <v>0</v>
      </c>
      <c r="W737" s="151">
        <f>Transactions[[#This Row],[Amount]]*INDEX(TransTypes[],Transactions[[#This Row],[TTR]],TT_COL_AmntSign)</f>
        <v>-23397.684799999999</v>
      </c>
      <c r="X737" s="151">
        <f>IF(INDEX(TransTypes[],Transactions[[#This Row],[TTR]],TT_COL_LONGORSHORT)="S",
      IF( OR(INDEX(TransTypes[],Transactions[[#This Row],[TTR]],TT_COL_GLFlag)=1, INDEX(TransTypes[], Transactions[[#This Row],[TTR]], TT_COL_ShareTransferFlag)=1),
            Transactions[[#This Row],[CostImpact]]*-1,
            Transactions[[#This Row],[CalCashImpact]]
      ),
     0
)</f>
        <v>0</v>
      </c>
      <c r="Y737" s="152" t="str">
        <f>VLOOKUP(Transactions[[#This Row],[Symbol]],Symbols[], COLUMN(Symbols[Currency])-COLUMN(Symbols[])+1,FALSE)</f>
        <v>CNY</v>
      </c>
    </row>
    <row r="738" spans="1:25">
      <c r="A738" s="138" t="s">
        <v>600</v>
      </c>
      <c r="B738" s="139">
        <v>43035</v>
      </c>
      <c r="C738" s="138" t="s">
        <v>118</v>
      </c>
      <c r="D738" s="138"/>
      <c r="E738" s="140" t="s">
        <v>611</v>
      </c>
      <c r="F738" s="141"/>
      <c r="G738" s="142"/>
      <c r="H738" s="141"/>
      <c r="I738" s="141"/>
      <c r="J738" s="143">
        <v>0</v>
      </c>
      <c r="K738" s="6"/>
      <c r="L738" s="20">
        <f>IF(ISNA(MATCH(Transactions[[#This Row],[TransType]],TransTypes[TransType],0)),1,MATCH(Transactions[[#This Row],[TransType]],TransTypes[TransType],0))</f>
        <v>4</v>
      </c>
      <c r="M738" s="144">
        <f>IF( AND( INDEX(TransTypes[],Transactions[[#This Row],[TTR]],TT_COL_GLFlag)=1, INDEX(TransTypes[],Transactions[[#This Row],[TTR]],TT_COL_LONGORSHORT)="S" ),
      Transactions[[#This Row],[PL]],
      IF(INDEX(TransTypes[],Transactions[[#This Row],[TTR]],TT_COL_LONGORSHORT)="S",0,Transactions[[#This Row],[CalCashImpact]])
)</f>
        <v>0</v>
      </c>
      <c r="N738" s="145">
        <f>IF(VLOOKUP(Transactions[[#This Row],[Symbol]],Symbols[],COLUMN(Symbols[Currency])-COLUMN(Symbols[])+1,FALSE)=
       VLOOKUP(Transactions[[#This Row],[Account]],Accounts[],COLUMN(Accounts[Currency])-COLUMN(Accounts[])+1,FALSE),
     Transactions[[#This Row],[OrigCashImpact]],
     0
)</f>
        <v>0</v>
      </c>
      <c r="O73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3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3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408640.22</v>
      </c>
      <c r="R738" s="41">
        <f>ROW()</f>
        <v>738</v>
      </c>
      <c r="S7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443397.68479999999</v>
      </c>
      <c r="U73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408640.22</v>
      </c>
      <c r="V738" s="150">
        <f>IF(INDEX(TransTypes[],Transactions[[#This Row],[TTR]],TT_COL_GLFlag)=1,Transactions[[#This Row],[CalCashImpact]]+Transactions[[#This Row],[CostImpact]],0)</f>
        <v>0</v>
      </c>
      <c r="W738" s="151">
        <f>Transactions[[#This Row],[Amount]]*INDEX(TransTypes[],Transactions[[#This Row],[TTR]],TT_COL_AmntSign)</f>
        <v>0</v>
      </c>
      <c r="X738" s="151">
        <f>IF(INDEX(TransTypes[],Transactions[[#This Row],[TTR]],TT_COL_LONGORSHORT)="S",
      IF( OR(INDEX(TransTypes[],Transactions[[#This Row],[TTR]],TT_COL_GLFlag)=1, INDEX(TransTypes[], Transactions[[#This Row],[TTR]], TT_COL_ShareTransferFlag)=1),
            Transactions[[#This Row],[CostImpact]]*-1,
            Transactions[[#This Row],[CalCashImpact]]
      ),
     0
)</f>
        <v>0</v>
      </c>
      <c r="Y738" s="152" t="str">
        <f>VLOOKUP(Transactions[[#This Row],[Symbol]],Symbols[], COLUMN(Symbols[Currency])-COLUMN(Symbols[])+1,FALSE)</f>
        <v>CNY</v>
      </c>
    </row>
    <row r="739" spans="1:25">
      <c r="A739" s="138" t="s">
        <v>600</v>
      </c>
      <c r="B739" s="139">
        <v>43035</v>
      </c>
      <c r="C739" s="138" t="s">
        <v>113</v>
      </c>
      <c r="D739" s="138" t="s">
        <v>531</v>
      </c>
      <c r="E739" s="140" t="s">
        <v>611</v>
      </c>
      <c r="F739" s="141">
        <v>274.64</v>
      </c>
      <c r="G739" s="142">
        <v>0</v>
      </c>
      <c r="H739" s="141"/>
      <c r="I739" s="141"/>
      <c r="J739" s="143">
        <v>0</v>
      </c>
      <c r="K739" s="6"/>
      <c r="L739" s="20">
        <f>IF(ISNA(MATCH(Transactions[[#This Row],[TransType]],TransTypes[TransType],0)),1,MATCH(Transactions[[#This Row],[TransType]],TransTypes[TransType],0))</f>
        <v>2</v>
      </c>
      <c r="M739" s="144">
        <f>IF( AND( INDEX(TransTypes[],Transactions[[#This Row],[TTR]],TT_COL_GLFlag)=1, INDEX(TransTypes[],Transactions[[#This Row],[TTR]],TT_COL_LONGORSHORT)="S" ),
      Transactions[[#This Row],[PL]],
      IF(INDEX(TransTypes[],Transactions[[#This Row],[TTR]],TT_COL_LONGORSHORT)="S",0,Transactions[[#This Row],[CalCashImpact]])
)</f>
        <v>0</v>
      </c>
      <c r="N739" s="145">
        <f>IF(VLOOKUP(Transactions[[#This Row],[Symbol]],Symbols[],COLUMN(Symbols[Currency])-COLUMN(Symbols[])+1,FALSE)=
       VLOOKUP(Transactions[[#This Row],[Account]],Accounts[],COLUMN(Accounts[Currency])-COLUMN(Accounts[])+1,FALSE),
     Transactions[[#This Row],[OrigCashImpact]],
     0
)</f>
        <v>0</v>
      </c>
      <c r="O73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3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274.64</v>
      </c>
      <c r="Q73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408914.86</v>
      </c>
      <c r="R739" s="41">
        <f>ROW()</f>
        <v>739</v>
      </c>
      <c r="S7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443397.68479999999</v>
      </c>
      <c r="U73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408914.86</v>
      </c>
      <c r="V739" s="150">
        <f>IF(INDEX(TransTypes[],Transactions[[#This Row],[TTR]],TT_COL_GLFlag)=1,Transactions[[#This Row],[CalCashImpact]]+Transactions[[#This Row],[CostImpact]],0)</f>
        <v>0</v>
      </c>
      <c r="W739" s="151">
        <f>Transactions[[#This Row],[Amount]]*INDEX(TransTypes[],Transactions[[#This Row],[TTR]],TT_COL_AmntSign)</f>
        <v>0</v>
      </c>
      <c r="X739" s="151">
        <f>IF(INDEX(TransTypes[],Transactions[[#This Row],[TTR]],TT_COL_LONGORSHORT)="S",
      IF( OR(INDEX(TransTypes[],Transactions[[#This Row],[TTR]],TT_COL_GLFlag)=1, INDEX(TransTypes[], Transactions[[#This Row],[TTR]], TT_COL_ShareTransferFlag)=1),
            Transactions[[#This Row],[CostImpact]]*-1,
            Transactions[[#This Row],[CalCashImpact]]
      ),
     0
)</f>
        <v>0</v>
      </c>
      <c r="Y739" s="152" t="str">
        <f>VLOOKUP(Transactions[[#This Row],[Symbol]],Symbols[], COLUMN(Symbols[Currency])-COLUMN(Symbols[])+1,FALSE)</f>
        <v>CNY</v>
      </c>
    </row>
    <row r="740" spans="1:25">
      <c r="A740" s="138" t="s">
        <v>600</v>
      </c>
      <c r="B740" s="139">
        <v>43056</v>
      </c>
      <c r="C740" s="138" t="s">
        <v>118</v>
      </c>
      <c r="D740" s="138"/>
      <c r="E740" s="140" t="s">
        <v>623</v>
      </c>
      <c r="F740" s="141"/>
      <c r="G740" s="142"/>
      <c r="H740" s="141"/>
      <c r="I740" s="141"/>
      <c r="J740" s="143">
        <v>945.23</v>
      </c>
      <c r="K740" s="6"/>
      <c r="L740" s="20">
        <f>IF(ISNA(MATCH(Transactions[[#This Row],[TransType]],TransTypes[TransType],0)),1,MATCH(Transactions[[#This Row],[TransType]],TransTypes[TransType],0))</f>
        <v>4</v>
      </c>
      <c r="M740" s="144">
        <f>IF( AND( INDEX(TransTypes[],Transactions[[#This Row],[TTR]],TT_COL_GLFlag)=1, INDEX(TransTypes[],Transactions[[#This Row],[TTR]],TT_COL_LONGORSHORT)="S" ),
      Transactions[[#This Row],[PL]],
      IF(INDEX(TransTypes[],Transactions[[#This Row],[TTR]],TT_COL_LONGORSHORT)="S",0,Transactions[[#This Row],[CalCashImpact]])
)</f>
        <v>945.23</v>
      </c>
      <c r="N740" s="145">
        <f>IF(VLOOKUP(Transactions[[#This Row],[Symbol]],Symbols[],COLUMN(Symbols[Currency])-COLUMN(Symbols[])+1,FALSE)=
       VLOOKUP(Transactions[[#This Row],[Account]],Accounts[],COLUMN(Accounts[Currency])-COLUMN(Accounts[])+1,FALSE),
     Transactions[[#This Row],[OrigCashImpact]],
     0
)</f>
        <v>945.23</v>
      </c>
      <c r="O74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922.27999999975555</v>
      </c>
      <c r="P74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4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294463.35999999987</v>
      </c>
      <c r="R740" s="41">
        <f>ROW()</f>
        <v>740</v>
      </c>
      <c r="S7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294460.06797741185</v>
      </c>
      <c r="U74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294463.35999999987</v>
      </c>
      <c r="V740" s="150">
        <f>IF(INDEX(TransTypes[],Transactions[[#This Row],[TTR]],TT_COL_GLFlag)=1,Transactions[[#This Row],[CalCashImpact]]+Transactions[[#This Row],[CostImpact]],0)</f>
        <v>0</v>
      </c>
      <c r="W740" s="151">
        <f>Transactions[[#This Row],[Amount]]*INDEX(TransTypes[],Transactions[[#This Row],[TTR]],TT_COL_AmntSign)</f>
        <v>945.23</v>
      </c>
      <c r="X740" s="151">
        <f>IF(INDEX(TransTypes[],Transactions[[#This Row],[TTR]],TT_COL_LONGORSHORT)="S",
      IF( OR(INDEX(TransTypes[],Transactions[[#This Row],[TTR]],TT_COL_GLFlag)=1, INDEX(TransTypes[], Transactions[[#This Row],[TTR]], TT_COL_ShareTransferFlag)=1),
            Transactions[[#This Row],[CostImpact]]*-1,
            Transactions[[#This Row],[CalCashImpact]]
      ),
     0
)</f>
        <v>0</v>
      </c>
      <c r="Y740" s="152" t="str">
        <f>VLOOKUP(Transactions[[#This Row],[Symbol]],Symbols[], COLUMN(Symbols[Currency])-COLUMN(Symbols[])+1,FALSE)</f>
        <v>CNY</v>
      </c>
    </row>
    <row r="741" spans="1:25">
      <c r="A741" s="138" t="s">
        <v>600</v>
      </c>
      <c r="B741" s="139">
        <v>43056</v>
      </c>
      <c r="C741" s="138" t="s">
        <v>113</v>
      </c>
      <c r="D741" s="138" t="s">
        <v>531</v>
      </c>
      <c r="E741" s="140" t="s">
        <v>623</v>
      </c>
      <c r="F741" s="141">
        <v>945.23</v>
      </c>
      <c r="G741" s="142">
        <v>1</v>
      </c>
      <c r="H741" s="141"/>
      <c r="I741" s="141"/>
      <c r="J741" s="143">
        <v>945.23</v>
      </c>
      <c r="K741" s="6"/>
      <c r="L741" s="20">
        <f>IF(ISNA(MATCH(Transactions[[#This Row],[TransType]],TransTypes[TransType],0)),1,MATCH(Transactions[[#This Row],[TransType]],TransTypes[TransType],0))</f>
        <v>2</v>
      </c>
      <c r="M741" s="144">
        <f>IF( AND( INDEX(TransTypes[],Transactions[[#This Row],[TTR]],TT_COL_GLFlag)=1, INDEX(TransTypes[],Transactions[[#This Row],[TTR]],TT_COL_LONGORSHORT)="S" ),
      Transactions[[#This Row],[PL]],
      IF(INDEX(TransTypes[],Transactions[[#This Row],[TTR]],TT_COL_LONGORSHORT)="S",0,Transactions[[#This Row],[CalCashImpact]])
)</f>
        <v>-945.23</v>
      </c>
      <c r="N741" s="145">
        <f>IF(VLOOKUP(Transactions[[#This Row],[Symbol]],Symbols[],COLUMN(Symbols[Currency])-COLUMN(Symbols[])+1,FALSE)=
       VLOOKUP(Transactions[[#This Row],[Account]],Accounts[],COLUMN(Accounts[Currency])-COLUMN(Accounts[])+1,FALSE),
     Transactions[[#This Row],[OrigCashImpact]],
     0
)</f>
        <v>-945.23</v>
      </c>
      <c r="O74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4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945.23</v>
      </c>
      <c r="Q74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295408.58999999985</v>
      </c>
      <c r="R741" s="41">
        <f>ROW()</f>
        <v>741</v>
      </c>
      <c r="S7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945.23</v>
      </c>
      <c r="T7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295405.29797741183</v>
      </c>
      <c r="U74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295408.58999999985</v>
      </c>
      <c r="V741" s="150">
        <f>IF(INDEX(TransTypes[],Transactions[[#This Row],[TTR]],TT_COL_GLFlag)=1,Transactions[[#This Row],[CalCashImpact]]+Transactions[[#This Row],[CostImpact]],0)</f>
        <v>0</v>
      </c>
      <c r="W741" s="151">
        <f>Transactions[[#This Row],[Amount]]*INDEX(TransTypes[],Transactions[[#This Row],[TTR]],TT_COL_AmntSign)</f>
        <v>-945.23</v>
      </c>
      <c r="X741" s="151">
        <f>IF(INDEX(TransTypes[],Transactions[[#This Row],[TTR]],TT_COL_LONGORSHORT)="S",
      IF( OR(INDEX(TransTypes[],Transactions[[#This Row],[TTR]],TT_COL_GLFlag)=1, INDEX(TransTypes[], Transactions[[#This Row],[TTR]], TT_COL_ShareTransferFlag)=1),
            Transactions[[#This Row],[CostImpact]]*-1,
            Transactions[[#This Row],[CalCashImpact]]
      ),
     0
)</f>
        <v>0</v>
      </c>
      <c r="Y741" s="152" t="str">
        <f>VLOOKUP(Transactions[[#This Row],[Symbol]],Symbols[], COLUMN(Symbols[Currency])-COLUMN(Symbols[])+1,FALSE)</f>
        <v>CNY</v>
      </c>
    </row>
    <row r="742" spans="1:25">
      <c r="A742" s="138" t="s">
        <v>600</v>
      </c>
      <c r="B742" s="139">
        <v>43076</v>
      </c>
      <c r="C742" s="138" t="s">
        <v>113</v>
      </c>
      <c r="D742" s="138"/>
      <c r="E742" s="140" t="s">
        <v>608</v>
      </c>
      <c r="F742" s="141">
        <v>131041.91</v>
      </c>
      <c r="G742" s="142">
        <v>0.76219997098638104</v>
      </c>
      <c r="H742" s="141">
        <v>119.86</v>
      </c>
      <c r="I742" s="141"/>
      <c r="J742" s="143">
        <v>100000</v>
      </c>
      <c r="K742" s="6"/>
      <c r="L742" s="20">
        <f>IF(ISNA(MATCH(Transactions[[#This Row],[TransType]],TransTypes[TransType],0)),1,MATCH(Transactions[[#This Row],[TransType]],TransTypes[TransType],0))</f>
        <v>2</v>
      </c>
      <c r="M742" s="144">
        <f>IF( AND( INDEX(TransTypes[],Transactions[[#This Row],[TTR]],TT_COL_GLFlag)=1, INDEX(TransTypes[],Transactions[[#This Row],[TTR]],TT_COL_LONGORSHORT)="S" ),
      Transactions[[#This Row],[PL]],
      IF(INDEX(TransTypes[],Transactions[[#This Row],[TTR]],TT_COL_LONGORSHORT)="S",0,Transactions[[#This Row],[CalCashImpact]])
)</f>
        <v>-100000</v>
      </c>
      <c r="N742" s="145">
        <f>IF(VLOOKUP(Transactions[[#This Row],[Symbol]],Symbols[],COLUMN(Symbols[Currency])-COLUMN(Symbols[])+1,FALSE)=
       VLOOKUP(Transactions[[#This Row],[Account]],Accounts[],COLUMN(Accounts[Currency])-COLUMN(Accounts[])+1,FALSE),
     Transactions[[#This Row],[OrigCashImpact]],
     0
)</f>
        <v>-100000</v>
      </c>
      <c r="O74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-100022.95000000024</v>
      </c>
      <c r="P74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131041.91</v>
      </c>
      <c r="Q74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131041.91</v>
      </c>
      <c r="R742" s="41">
        <f>ROW()</f>
        <v>742</v>
      </c>
      <c r="S7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100000</v>
      </c>
      <c r="T7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100000</v>
      </c>
      <c r="U74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131041.91</v>
      </c>
      <c r="V742" s="150">
        <f>IF(INDEX(TransTypes[],Transactions[[#This Row],[TTR]],TT_COL_GLFlag)=1,Transactions[[#This Row],[CalCashImpact]]+Transactions[[#This Row],[CostImpact]],0)</f>
        <v>0</v>
      </c>
      <c r="W742" s="151">
        <f>Transactions[[#This Row],[Amount]]*INDEX(TransTypes[],Transactions[[#This Row],[TTR]],TT_COL_AmntSign)</f>
        <v>-100000</v>
      </c>
      <c r="X742" s="151">
        <f>IF(INDEX(TransTypes[],Transactions[[#This Row],[TTR]],TT_COL_LONGORSHORT)="S",
      IF( OR(INDEX(TransTypes[],Transactions[[#This Row],[TTR]],TT_COL_GLFlag)=1, INDEX(TransTypes[], Transactions[[#This Row],[TTR]], TT_COL_ShareTransferFlag)=1),
            Transactions[[#This Row],[CostImpact]]*-1,
            Transactions[[#This Row],[CalCashImpact]]
      ),
     0
)</f>
        <v>0</v>
      </c>
      <c r="Y742" s="152" t="str">
        <f>VLOOKUP(Transactions[[#This Row],[Symbol]],Symbols[], COLUMN(Symbols[Currency])-COLUMN(Symbols[])+1,FALSE)</f>
        <v>CNY</v>
      </c>
    </row>
    <row r="743" spans="1:25">
      <c r="A743" s="138" t="s">
        <v>600</v>
      </c>
      <c r="B743" s="139">
        <v>43076</v>
      </c>
      <c r="C743" s="138" t="s">
        <v>115</v>
      </c>
      <c r="D743" s="138"/>
      <c r="E743" s="140" t="s">
        <v>623</v>
      </c>
      <c r="F743" s="141">
        <v>100000</v>
      </c>
      <c r="G743" s="142">
        <v>1</v>
      </c>
      <c r="H743" s="141">
        <v>0</v>
      </c>
      <c r="I743" s="141"/>
      <c r="J743" s="143">
        <v>100000</v>
      </c>
      <c r="K743" s="6"/>
      <c r="L743" s="20">
        <f>IF(ISNA(MATCH(Transactions[[#This Row],[TransType]],TransTypes[TransType],0)),1,MATCH(Transactions[[#This Row],[TransType]],TransTypes[TransType],0))</f>
        <v>3</v>
      </c>
      <c r="M743" s="144">
        <f>IF( AND( INDEX(TransTypes[],Transactions[[#This Row],[TTR]],TT_COL_GLFlag)=1, INDEX(TransTypes[],Transactions[[#This Row],[TTR]],TT_COL_LONGORSHORT)="S" ),
      Transactions[[#This Row],[PL]],
      IF(INDEX(TransTypes[],Transactions[[#This Row],[TTR]],TT_COL_LONGORSHORT)="S",0,Transactions[[#This Row],[CalCashImpact]])
)</f>
        <v>100000</v>
      </c>
      <c r="N743" s="145">
        <f>IF(VLOOKUP(Transactions[[#This Row],[Symbol]],Symbols[],COLUMN(Symbols[Currency])-COLUMN(Symbols[])+1,FALSE)=
       VLOOKUP(Transactions[[#This Row],[Account]],Accounts[],COLUMN(Accounts[Currency])-COLUMN(Accounts[])+1,FALSE),
     Transactions[[#This Row],[OrigCashImpact]],
     0
)</f>
        <v>100000</v>
      </c>
      <c r="O74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4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74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195408.58999999985</v>
      </c>
      <c r="R743" s="41">
        <f>ROW()</f>
        <v>743</v>
      </c>
      <c r="S7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-99998.885603635281</v>
      </c>
      <c r="T7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195406.41237377655</v>
      </c>
      <c r="U74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295408.58999999985</v>
      </c>
      <c r="V743" s="150">
        <f>IF(INDEX(TransTypes[],Transactions[[#This Row],[TTR]],TT_COL_GLFlag)=1,Transactions[[#This Row],[CalCashImpact]]+Transactions[[#This Row],[CostImpact]],0)</f>
        <v>1.1143963647191413</v>
      </c>
      <c r="W743" s="151">
        <f>Transactions[[#This Row],[Amount]]*INDEX(TransTypes[],Transactions[[#This Row],[TTR]],TT_COL_AmntSign)</f>
        <v>100000</v>
      </c>
      <c r="X743" s="151">
        <f>IF(INDEX(TransTypes[],Transactions[[#This Row],[TTR]],TT_COL_LONGORSHORT)="S",
      IF( OR(INDEX(TransTypes[],Transactions[[#This Row],[TTR]],TT_COL_GLFlag)=1, INDEX(TransTypes[], Transactions[[#This Row],[TTR]], TT_COL_ShareTransferFlag)=1),
            Transactions[[#This Row],[CostImpact]]*-1,
            Transactions[[#This Row],[CalCashImpact]]
      ),
     0
)</f>
        <v>0</v>
      </c>
      <c r="Y743" s="152" t="str">
        <f>VLOOKUP(Transactions[[#This Row],[Symbol]],Symbols[], COLUMN(Symbols[Currency])-COLUMN(Symbols[])+1,FALSE)</f>
        <v>CNY</v>
      </c>
    </row>
    <row r="744" spans="1:25">
      <c r="A744" s="138" t="s">
        <v>600</v>
      </c>
      <c r="B744" s="139">
        <v>43084</v>
      </c>
      <c r="C744" s="138" t="s">
        <v>113</v>
      </c>
      <c r="D744" s="138"/>
      <c r="E744" s="140" t="s">
        <v>608</v>
      </c>
      <c r="F744" s="141">
        <v>57914.080000000002</v>
      </c>
      <c r="G744" s="142">
        <v>0.77429996297964099</v>
      </c>
      <c r="H744" s="141">
        <v>53.81</v>
      </c>
      <c r="I744" s="141"/>
      <c r="J744" s="143">
        <v>44896.68</v>
      </c>
      <c r="K744" s="6"/>
      <c r="L744" s="20">
        <f>IF(ISNA(MATCH(Transactions[[#This Row],[TransType]],TransTypes[TransType],0)),1,MATCH(Transactions[[#This Row],[TransType]],TransTypes[TransType],0))</f>
        <v>2</v>
      </c>
      <c r="M744" s="144">
        <f>IF( AND( INDEX(TransTypes[],Transactions[[#This Row],[TTR]],TT_COL_GLFlag)=1, INDEX(TransTypes[],Transactions[[#This Row],[TTR]],TT_COL_LONGORSHORT)="S" ),
      Transactions[[#This Row],[PL]],
      IF(INDEX(TransTypes[],Transactions[[#This Row],[TTR]],TT_COL_LONGORSHORT)="S",0,Transactions[[#This Row],[CalCashImpact]])
)</f>
        <v>-44896.68</v>
      </c>
      <c r="N744" s="145">
        <f>IF(VLOOKUP(Transactions[[#This Row],[Symbol]],Symbols[],COLUMN(Symbols[Currency])-COLUMN(Symbols[])+1,FALSE)=
       VLOOKUP(Transactions[[#This Row],[Account]],Accounts[],COLUMN(Accounts[Currency])-COLUMN(Accounts[])+1,FALSE),
     Transactions[[#This Row],[OrigCashImpact]],
     0
)</f>
        <v>-44896.68</v>
      </c>
      <c r="O74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-44919.630000000245</v>
      </c>
      <c r="P74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57914.080000000002</v>
      </c>
      <c r="Q74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188955.99</v>
      </c>
      <c r="R744" s="41">
        <f>ROW()</f>
        <v>744</v>
      </c>
      <c r="S7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44896.68</v>
      </c>
      <c r="T7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144896.68</v>
      </c>
      <c r="U74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188955.99</v>
      </c>
      <c r="V744" s="150">
        <f>IF(INDEX(TransTypes[],Transactions[[#This Row],[TTR]],TT_COL_GLFlag)=1,Transactions[[#This Row],[CalCashImpact]]+Transactions[[#This Row],[CostImpact]],0)</f>
        <v>0</v>
      </c>
      <c r="W744" s="151">
        <f>Transactions[[#This Row],[Amount]]*INDEX(TransTypes[],Transactions[[#This Row],[TTR]],TT_COL_AmntSign)</f>
        <v>-44896.68</v>
      </c>
      <c r="X744" s="151">
        <f>IF(INDEX(TransTypes[],Transactions[[#This Row],[TTR]],TT_COL_LONGORSHORT)="S",
      IF( OR(INDEX(TransTypes[],Transactions[[#This Row],[TTR]],TT_COL_GLFlag)=1, INDEX(TransTypes[], Transactions[[#This Row],[TTR]], TT_COL_ShareTransferFlag)=1),
            Transactions[[#This Row],[CostImpact]]*-1,
            Transactions[[#This Row],[CalCashImpact]]
      ),
     0
)</f>
        <v>0</v>
      </c>
      <c r="Y744" s="152" t="str">
        <f>VLOOKUP(Transactions[[#This Row],[Symbol]],Symbols[], COLUMN(Symbols[Currency])-COLUMN(Symbols[])+1,FALSE)</f>
        <v>CNY</v>
      </c>
    </row>
    <row r="745" spans="1:25">
      <c r="A745" s="138" t="s">
        <v>600</v>
      </c>
      <c r="B745" s="139">
        <v>43084</v>
      </c>
      <c r="C745" s="138" t="s">
        <v>115</v>
      </c>
      <c r="D745" s="138"/>
      <c r="E745" s="140" t="s">
        <v>620</v>
      </c>
      <c r="F745" s="141">
        <v>25192</v>
      </c>
      <c r="G745" s="142">
        <v>1.9821999047316601</v>
      </c>
      <c r="H745" s="141">
        <v>124.84</v>
      </c>
      <c r="I745" s="141"/>
      <c r="J745" s="143">
        <v>49810.74</v>
      </c>
      <c r="K745" s="6"/>
      <c r="L745" s="20">
        <f>IF(ISNA(MATCH(Transactions[[#This Row],[TransType]],TransTypes[TransType],0)),1,MATCH(Transactions[[#This Row],[TransType]],TransTypes[TransType],0))</f>
        <v>3</v>
      </c>
      <c r="M745" s="144">
        <f>IF( AND( INDEX(TransTypes[],Transactions[[#This Row],[TTR]],TT_COL_GLFlag)=1, INDEX(TransTypes[],Transactions[[#This Row],[TTR]],TT_COL_LONGORSHORT)="S" ),
      Transactions[[#This Row],[PL]],
      IF(INDEX(TransTypes[],Transactions[[#This Row],[TTR]],TT_COL_LONGORSHORT)="S",0,Transactions[[#This Row],[CalCashImpact]])
)</f>
        <v>49810.74</v>
      </c>
      <c r="N745" s="145">
        <f>IF(VLOOKUP(Transactions[[#This Row],[Symbol]],Symbols[],COLUMN(Symbols[Currency])-COLUMN(Symbols[])+1,FALSE)=
       VLOOKUP(Transactions[[#This Row],[Account]],Accounts[],COLUMN(Accounts[Currency])-COLUMN(Accounts[])+1,FALSE),
     Transactions[[#This Row],[OrigCashImpact]],
     0
)</f>
        <v>49810.74</v>
      </c>
      <c r="O74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4891.1099999997532</v>
      </c>
      <c r="P74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-25192</v>
      </c>
      <c r="Q74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422415.82999999996</v>
      </c>
      <c r="R745" s="41">
        <f>ROW()</f>
        <v>745</v>
      </c>
      <c r="S7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-40279.142141012147</v>
      </c>
      <c r="T7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675394.85785898787</v>
      </c>
      <c r="U74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447607.82999999996</v>
      </c>
      <c r="V745" s="150">
        <f>IF(INDEX(TransTypes[],Transactions[[#This Row],[TTR]],TT_COL_GLFlag)=1,Transactions[[#This Row],[CalCashImpact]]+Transactions[[#This Row],[CostImpact]],0)</f>
        <v>9531.5978589878505</v>
      </c>
      <c r="W745" s="151">
        <f>Transactions[[#This Row],[Amount]]*INDEX(TransTypes[],Transactions[[#This Row],[TTR]],TT_COL_AmntSign)</f>
        <v>49810.74</v>
      </c>
      <c r="X745" s="151">
        <f>IF(INDEX(TransTypes[],Transactions[[#This Row],[TTR]],TT_COL_LONGORSHORT)="S",
      IF( OR(INDEX(TransTypes[],Transactions[[#This Row],[TTR]],TT_COL_GLFlag)=1, INDEX(TransTypes[], Transactions[[#This Row],[TTR]], TT_COL_ShareTransferFlag)=1),
            Transactions[[#This Row],[CostImpact]]*-1,
            Transactions[[#This Row],[CalCashImpact]]
      ),
     0
)</f>
        <v>0</v>
      </c>
      <c r="Y745" s="152" t="str">
        <f>VLOOKUP(Transactions[[#This Row],[Symbol]],Symbols[], COLUMN(Symbols[Currency])-COLUMN(Symbols[])+1,FALSE)</f>
        <v>CNY</v>
      </c>
    </row>
    <row r="746" spans="1:25">
      <c r="A746" s="138" t="s">
        <v>600</v>
      </c>
      <c r="B746" s="139">
        <v>43087</v>
      </c>
      <c r="C746" s="138" t="s">
        <v>118</v>
      </c>
      <c r="D746" s="138"/>
      <c r="E746" s="140" t="s">
        <v>623</v>
      </c>
      <c r="F746" s="141"/>
      <c r="G746" s="142"/>
      <c r="H746" s="141"/>
      <c r="I746" s="141"/>
      <c r="J746" s="143">
        <v>954.77</v>
      </c>
      <c r="K746" s="6"/>
      <c r="L746" s="20">
        <f>IF(ISNA(MATCH(Transactions[[#This Row],[TransType]],TransTypes[TransType],0)),1,MATCH(Transactions[[#This Row],[TransType]],TransTypes[TransType],0))</f>
        <v>4</v>
      </c>
      <c r="M746" s="144">
        <f>IF( AND( INDEX(TransTypes[],Transactions[[#This Row],[TTR]],TT_COL_GLFlag)=1, INDEX(TransTypes[],Transactions[[#This Row],[TTR]],TT_COL_LONGORSHORT)="S" ),
      Transactions[[#This Row],[PL]],
      IF(INDEX(TransTypes[],Transactions[[#This Row],[TTR]],TT_COL_LONGORSHORT)="S",0,Transactions[[#This Row],[CalCashImpact]])
)</f>
        <v>954.77</v>
      </c>
      <c r="N746" s="145">
        <f>IF(VLOOKUP(Transactions[[#This Row],[Symbol]],Symbols[],COLUMN(Symbols[Currency])-COLUMN(Symbols[])+1,FALSE)=
       VLOOKUP(Transactions[[#This Row],[Account]],Accounts[],COLUMN(Accounts[Currency])-COLUMN(Accounts[])+1,FALSE),
     Transactions[[#This Row],[OrigCashImpact]],
     0
)</f>
        <v>954.77</v>
      </c>
      <c r="O74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5845.8799999997536</v>
      </c>
      <c r="P74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4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195408.58999999985</v>
      </c>
      <c r="R746" s="41">
        <f>ROW()</f>
        <v>746</v>
      </c>
      <c r="S7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195406.41237377655</v>
      </c>
      <c r="U74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195408.58999999985</v>
      </c>
      <c r="V746" s="150">
        <f>IF(INDEX(TransTypes[],Transactions[[#This Row],[TTR]],TT_COL_GLFlag)=1,Transactions[[#This Row],[CalCashImpact]]+Transactions[[#This Row],[CostImpact]],0)</f>
        <v>0</v>
      </c>
      <c r="W746" s="151">
        <f>Transactions[[#This Row],[Amount]]*INDEX(TransTypes[],Transactions[[#This Row],[TTR]],TT_COL_AmntSign)</f>
        <v>954.77</v>
      </c>
      <c r="X746" s="151">
        <f>IF(INDEX(TransTypes[],Transactions[[#This Row],[TTR]],TT_COL_LONGORSHORT)="S",
      IF( OR(INDEX(TransTypes[],Transactions[[#This Row],[TTR]],TT_COL_GLFlag)=1, INDEX(TransTypes[], Transactions[[#This Row],[TTR]], TT_COL_ShareTransferFlag)=1),
            Transactions[[#This Row],[CostImpact]]*-1,
            Transactions[[#This Row],[CalCashImpact]]
      ),
     0
)</f>
        <v>0</v>
      </c>
      <c r="Y746" s="152" t="str">
        <f>VLOOKUP(Transactions[[#This Row],[Symbol]],Symbols[], COLUMN(Symbols[Currency])-COLUMN(Symbols[])+1,FALSE)</f>
        <v>CNY</v>
      </c>
    </row>
    <row r="747" spans="1:25">
      <c r="A747" s="138" t="s">
        <v>600</v>
      </c>
      <c r="B747" s="139">
        <v>43087</v>
      </c>
      <c r="C747" s="138" t="s">
        <v>113</v>
      </c>
      <c r="D747" s="138" t="s">
        <v>531</v>
      </c>
      <c r="E747" s="140" t="s">
        <v>623</v>
      </c>
      <c r="F747" s="141">
        <v>954.77</v>
      </c>
      <c r="G747" s="142">
        <v>1</v>
      </c>
      <c r="H747" s="141"/>
      <c r="I747" s="141"/>
      <c r="J747" s="143">
        <v>954.77</v>
      </c>
      <c r="K747" s="6"/>
      <c r="L747" s="20">
        <f>IF(ISNA(MATCH(Transactions[[#This Row],[TransType]],TransTypes[TransType],0)),1,MATCH(Transactions[[#This Row],[TransType]],TransTypes[TransType],0))</f>
        <v>2</v>
      </c>
      <c r="M747" s="144">
        <f>IF( AND( INDEX(TransTypes[],Transactions[[#This Row],[TTR]],TT_COL_GLFlag)=1, INDEX(TransTypes[],Transactions[[#This Row],[TTR]],TT_COL_LONGORSHORT)="S" ),
      Transactions[[#This Row],[PL]],
      IF(INDEX(TransTypes[],Transactions[[#This Row],[TTR]],TT_COL_LONGORSHORT)="S",0,Transactions[[#This Row],[CalCashImpact]])
)</f>
        <v>-954.77</v>
      </c>
      <c r="N747" s="145">
        <f>IF(VLOOKUP(Transactions[[#This Row],[Symbol]],Symbols[],COLUMN(Symbols[Currency])-COLUMN(Symbols[])+1,FALSE)=
       VLOOKUP(Transactions[[#This Row],[Account]],Accounts[],COLUMN(Accounts[Currency])-COLUMN(Accounts[])+1,FALSE),
     Transactions[[#This Row],[OrigCashImpact]],
     0
)</f>
        <v>-954.77</v>
      </c>
      <c r="O74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4891.1099999997532</v>
      </c>
      <c r="P74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954.77</v>
      </c>
      <c r="Q74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196363.35999999984</v>
      </c>
      <c r="R747" s="41">
        <f>ROW()</f>
        <v>747</v>
      </c>
      <c r="S7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954.77</v>
      </c>
      <c r="T7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196361.18237377654</v>
      </c>
      <c r="U74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196363.35999999984</v>
      </c>
      <c r="V747" s="150">
        <f>IF(INDEX(TransTypes[],Transactions[[#This Row],[TTR]],TT_COL_GLFlag)=1,Transactions[[#This Row],[CalCashImpact]]+Transactions[[#This Row],[CostImpact]],0)</f>
        <v>0</v>
      </c>
      <c r="W747" s="151">
        <f>Transactions[[#This Row],[Amount]]*INDEX(TransTypes[],Transactions[[#This Row],[TTR]],TT_COL_AmntSign)</f>
        <v>-954.77</v>
      </c>
      <c r="X747" s="151">
        <f>IF(INDEX(TransTypes[],Transactions[[#This Row],[TTR]],TT_COL_LONGORSHORT)="S",
      IF( OR(INDEX(TransTypes[],Transactions[[#This Row],[TTR]],TT_COL_GLFlag)=1, INDEX(TransTypes[], Transactions[[#This Row],[TTR]], TT_COL_ShareTransferFlag)=1),
            Transactions[[#This Row],[CostImpact]]*-1,
            Transactions[[#This Row],[CalCashImpact]]
      ),
     0
)</f>
        <v>0</v>
      </c>
      <c r="Y747" s="152" t="str">
        <f>VLOOKUP(Transactions[[#This Row],[Symbol]],Symbols[], COLUMN(Symbols[Currency])-COLUMN(Symbols[])+1,FALSE)</f>
        <v>CNY</v>
      </c>
    </row>
    <row r="748" spans="1:25">
      <c r="A748" s="138" t="s">
        <v>600</v>
      </c>
      <c r="B748" s="139">
        <v>43088</v>
      </c>
      <c r="C748" s="138" t="s">
        <v>113</v>
      </c>
      <c r="D748" s="138"/>
      <c r="E748" s="140" t="s">
        <v>623</v>
      </c>
      <c r="F748" s="141">
        <v>4914.0600000000004</v>
      </c>
      <c r="G748" s="142">
        <v>1</v>
      </c>
      <c r="H748" s="141">
        <v>0</v>
      </c>
      <c r="I748" s="141"/>
      <c r="J748" s="143">
        <v>4914.0600000000004</v>
      </c>
      <c r="K748" s="6"/>
      <c r="L748" s="20">
        <f>IF(ISNA(MATCH(Transactions[[#This Row],[TransType]],TransTypes[TransType],0)),1,MATCH(Transactions[[#This Row],[TransType]],TransTypes[TransType],0))</f>
        <v>2</v>
      </c>
      <c r="M748" s="144">
        <f>IF( AND( INDEX(TransTypes[],Transactions[[#This Row],[TTR]],TT_COL_GLFlag)=1, INDEX(TransTypes[],Transactions[[#This Row],[TTR]],TT_COL_LONGORSHORT)="S" ),
      Transactions[[#This Row],[PL]],
      IF(INDEX(TransTypes[],Transactions[[#This Row],[TTR]],TT_COL_LONGORSHORT)="S",0,Transactions[[#This Row],[CalCashImpact]])
)</f>
        <v>-4914.0600000000004</v>
      </c>
      <c r="N748" s="145">
        <f>IF(VLOOKUP(Transactions[[#This Row],[Symbol]],Symbols[],COLUMN(Symbols[Currency])-COLUMN(Symbols[])+1,FALSE)=
       VLOOKUP(Transactions[[#This Row],[Account]],Accounts[],COLUMN(Accounts[Currency])-COLUMN(Accounts[])+1,FALSE),
     Transactions[[#This Row],[OrigCashImpact]],
     0
)</f>
        <v>-4914.0600000000004</v>
      </c>
      <c r="O74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-22.950000000247201</v>
      </c>
      <c r="P74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4914.0600000000004</v>
      </c>
      <c r="Q74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201277.41999999984</v>
      </c>
      <c r="R748" s="41">
        <f>ROW()</f>
        <v>748</v>
      </c>
      <c r="S7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4914.0600000000004</v>
      </c>
      <c r="T7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201275.24237377653</v>
      </c>
      <c r="U74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201277.41999999984</v>
      </c>
      <c r="V748" s="150">
        <f>IF(INDEX(TransTypes[],Transactions[[#This Row],[TTR]],TT_COL_GLFlag)=1,Transactions[[#This Row],[CalCashImpact]]+Transactions[[#This Row],[CostImpact]],0)</f>
        <v>0</v>
      </c>
      <c r="W748" s="151">
        <f>Transactions[[#This Row],[Amount]]*INDEX(TransTypes[],Transactions[[#This Row],[TTR]],TT_COL_AmntSign)</f>
        <v>-4914.0600000000004</v>
      </c>
      <c r="X748" s="151">
        <f>IF(INDEX(TransTypes[],Transactions[[#This Row],[TTR]],TT_COL_LONGORSHORT)="S",
      IF( OR(INDEX(TransTypes[],Transactions[[#This Row],[TTR]],TT_COL_GLFlag)=1, INDEX(TransTypes[], Transactions[[#This Row],[TTR]], TT_COL_ShareTransferFlag)=1),
            Transactions[[#This Row],[CostImpact]]*-1,
            Transactions[[#This Row],[CalCashImpact]]
      ),
     0
)</f>
        <v>0</v>
      </c>
      <c r="Y748" s="152" t="str">
        <f>VLOOKUP(Transactions[[#This Row],[Symbol]],Symbols[], COLUMN(Symbols[Currency])-COLUMN(Symbols[])+1,FALSE)</f>
        <v>CNY</v>
      </c>
    </row>
    <row r="749" spans="1:25">
      <c r="A749" s="138" t="s">
        <v>600</v>
      </c>
      <c r="B749" s="139">
        <v>43116</v>
      </c>
      <c r="C749" s="138" t="s">
        <v>118</v>
      </c>
      <c r="D749" s="138"/>
      <c r="E749" s="140" t="s">
        <v>623</v>
      </c>
      <c r="F749" s="141"/>
      <c r="G749" s="142"/>
      <c r="H749" s="141"/>
      <c r="I749" s="141"/>
      <c r="J749" s="143">
        <v>663.25</v>
      </c>
      <c r="K749" s="6"/>
      <c r="L749" s="20">
        <f>IF(ISNA(MATCH(Transactions[[#This Row],[TransType]],TransTypes[TransType],0)),1,MATCH(Transactions[[#This Row],[TransType]],TransTypes[TransType],0))</f>
        <v>4</v>
      </c>
      <c r="M749" s="144">
        <f>IF( AND( INDEX(TransTypes[],Transactions[[#This Row],[TTR]],TT_COL_GLFlag)=1, INDEX(TransTypes[],Transactions[[#This Row],[TTR]],TT_COL_LONGORSHORT)="S" ),
      Transactions[[#This Row],[PL]],
      IF(INDEX(TransTypes[],Transactions[[#This Row],[TTR]],TT_COL_LONGORSHORT)="S",0,Transactions[[#This Row],[CalCashImpact]])
)</f>
        <v>663.25</v>
      </c>
      <c r="N749" s="145">
        <f>IF(VLOOKUP(Transactions[[#This Row],[Symbol]],Symbols[],COLUMN(Symbols[Currency])-COLUMN(Symbols[])+1,FALSE)=
       VLOOKUP(Transactions[[#This Row],[Account]],Accounts[],COLUMN(Accounts[Currency])-COLUMN(Accounts[])+1,FALSE),
     Transactions[[#This Row],[OrigCashImpact]],
     0
)</f>
        <v>663.25</v>
      </c>
      <c r="O74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640.2999999997528</v>
      </c>
      <c r="P74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4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201277.41999999984</v>
      </c>
      <c r="R749" s="41">
        <f>ROW()</f>
        <v>749</v>
      </c>
      <c r="S7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201275.24237377653</v>
      </c>
      <c r="U74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201277.41999999984</v>
      </c>
      <c r="V749" s="150">
        <f>IF(INDEX(TransTypes[],Transactions[[#This Row],[TTR]],TT_COL_GLFlag)=1,Transactions[[#This Row],[CalCashImpact]]+Transactions[[#This Row],[CostImpact]],0)</f>
        <v>0</v>
      </c>
      <c r="W749" s="151">
        <f>Transactions[[#This Row],[Amount]]*INDEX(TransTypes[],Transactions[[#This Row],[TTR]],TT_COL_AmntSign)</f>
        <v>663.25</v>
      </c>
      <c r="X749" s="151">
        <f>IF(INDEX(TransTypes[],Transactions[[#This Row],[TTR]],TT_COL_LONGORSHORT)="S",
      IF( OR(INDEX(TransTypes[],Transactions[[#This Row],[TTR]],TT_COL_GLFlag)=1, INDEX(TransTypes[], Transactions[[#This Row],[TTR]], TT_COL_ShareTransferFlag)=1),
            Transactions[[#This Row],[CostImpact]]*-1,
            Transactions[[#This Row],[CalCashImpact]]
      ),
     0
)</f>
        <v>0</v>
      </c>
      <c r="Y749" s="152" t="str">
        <f>VLOOKUP(Transactions[[#This Row],[Symbol]],Symbols[], COLUMN(Symbols[Currency])-COLUMN(Symbols[])+1,FALSE)</f>
        <v>CNY</v>
      </c>
    </row>
    <row r="750" spans="1:25">
      <c r="A750" s="138" t="s">
        <v>600</v>
      </c>
      <c r="B750" s="139">
        <v>43116</v>
      </c>
      <c r="C750" s="138" t="s">
        <v>113</v>
      </c>
      <c r="D750" s="138" t="s">
        <v>531</v>
      </c>
      <c r="E750" s="140" t="s">
        <v>623</v>
      </c>
      <c r="F750" s="141">
        <v>663.25</v>
      </c>
      <c r="G750" s="142">
        <v>1</v>
      </c>
      <c r="H750" s="141"/>
      <c r="I750" s="141"/>
      <c r="J750" s="143">
        <v>663.25</v>
      </c>
      <c r="K750" s="6"/>
      <c r="L750" s="20">
        <f>IF(ISNA(MATCH(Transactions[[#This Row],[TransType]],TransTypes[TransType],0)),1,MATCH(Transactions[[#This Row],[TransType]],TransTypes[TransType],0))</f>
        <v>2</v>
      </c>
      <c r="M750" s="144">
        <f>IF( AND( INDEX(TransTypes[],Transactions[[#This Row],[TTR]],TT_COL_GLFlag)=1, INDEX(TransTypes[],Transactions[[#This Row],[TTR]],TT_COL_LONGORSHORT)="S" ),
      Transactions[[#This Row],[PL]],
      IF(INDEX(TransTypes[],Transactions[[#This Row],[TTR]],TT_COL_LONGORSHORT)="S",0,Transactions[[#This Row],[CalCashImpact]])
)</f>
        <v>-663.25</v>
      </c>
      <c r="N750" s="145">
        <f>IF(VLOOKUP(Transactions[[#This Row],[Symbol]],Symbols[],COLUMN(Symbols[Currency])-COLUMN(Symbols[])+1,FALSE)=
       VLOOKUP(Transactions[[#This Row],[Account]],Accounts[],COLUMN(Accounts[Currency])-COLUMN(Accounts[])+1,FALSE),
     Transactions[[#This Row],[OrigCashImpact]],
     0
)</f>
        <v>-663.25</v>
      </c>
      <c r="O75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-22.950000000247201</v>
      </c>
      <c r="P75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663.25</v>
      </c>
      <c r="Q75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201940.66999999984</v>
      </c>
      <c r="R750" s="41">
        <f>ROW()</f>
        <v>750</v>
      </c>
      <c r="S7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663.25</v>
      </c>
      <c r="T7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201938.49237377653</v>
      </c>
      <c r="U75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201940.66999999984</v>
      </c>
      <c r="V750" s="150">
        <f>IF(INDEX(TransTypes[],Transactions[[#This Row],[TTR]],TT_COL_GLFlag)=1,Transactions[[#This Row],[CalCashImpact]]+Transactions[[#This Row],[CostImpact]],0)</f>
        <v>0</v>
      </c>
      <c r="W750" s="151">
        <f>Transactions[[#This Row],[Amount]]*INDEX(TransTypes[],Transactions[[#This Row],[TTR]],TT_COL_AmntSign)</f>
        <v>-663.25</v>
      </c>
      <c r="X750" s="151">
        <f>IF(INDEX(TransTypes[],Transactions[[#This Row],[TTR]],TT_COL_LONGORSHORT)="S",
      IF( OR(INDEX(TransTypes[],Transactions[[#This Row],[TTR]],TT_COL_GLFlag)=1, INDEX(TransTypes[], Transactions[[#This Row],[TTR]], TT_COL_ShareTransferFlag)=1),
            Transactions[[#This Row],[CostImpact]]*-1,
            Transactions[[#This Row],[CalCashImpact]]
      ),
     0
)</f>
        <v>0</v>
      </c>
      <c r="Y750" s="152" t="str">
        <f>VLOOKUP(Transactions[[#This Row],[Symbol]],Symbols[], COLUMN(Symbols[Currency])-COLUMN(Symbols[])+1,FALSE)</f>
        <v>CNY</v>
      </c>
    </row>
    <row r="751" spans="1:25">
      <c r="A751" s="138" t="s">
        <v>600</v>
      </c>
      <c r="B751" s="139">
        <v>43140</v>
      </c>
      <c r="C751" s="138" t="s">
        <v>115</v>
      </c>
      <c r="D751" s="138"/>
      <c r="E751" s="140" t="s">
        <v>620</v>
      </c>
      <c r="F751" s="141">
        <v>100000</v>
      </c>
      <c r="G751" s="142">
        <v>1.8734</v>
      </c>
      <c r="H751" s="141">
        <v>468.35</v>
      </c>
      <c r="I751" s="141"/>
      <c r="J751" s="143">
        <v>186871.65</v>
      </c>
      <c r="K751" s="6"/>
      <c r="L751" s="20">
        <f>IF(ISNA(MATCH(Transactions[[#This Row],[TransType]],TransTypes[TransType],0)),1,MATCH(Transactions[[#This Row],[TransType]],TransTypes[TransType],0))</f>
        <v>3</v>
      </c>
      <c r="M751" s="144">
        <f>IF( AND( INDEX(TransTypes[],Transactions[[#This Row],[TTR]],TT_COL_GLFlag)=1, INDEX(TransTypes[],Transactions[[#This Row],[TTR]],TT_COL_LONGORSHORT)="S" ),
      Transactions[[#This Row],[PL]],
      IF(INDEX(TransTypes[],Transactions[[#This Row],[TTR]],TT_COL_LONGORSHORT)="S",0,Transactions[[#This Row],[CalCashImpact]])
)</f>
        <v>186871.65</v>
      </c>
      <c r="N751" s="145">
        <f>IF(VLOOKUP(Transactions[[#This Row],[Symbol]],Symbols[],COLUMN(Symbols[Currency])-COLUMN(Symbols[])+1,FALSE)=
       VLOOKUP(Transactions[[#This Row],[Account]],Accounts[],COLUMN(Accounts[Currency])-COLUMN(Accounts[])+1,FALSE),
     Transactions[[#This Row],[OrigCashImpact]],
     0
)</f>
        <v>186871.65</v>
      </c>
      <c r="O751"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186848.69999999975</v>
      </c>
      <c r="P751"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751"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322415.82999999996</v>
      </c>
      <c r="R751" s="41">
        <f>ROW()</f>
        <v>751</v>
      </c>
      <c r="S7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-159888.62393224891</v>
      </c>
      <c r="T7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515506.23392673896</v>
      </c>
      <c r="U751"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422415.82999999996</v>
      </c>
      <c r="V751" s="150">
        <f>IF(INDEX(TransTypes[],Transactions[[#This Row],[TTR]],TT_COL_GLFlag)=1,Transactions[[#This Row],[CalCashImpact]]+Transactions[[#This Row],[CostImpact]],0)</f>
        <v>26983.026067751081</v>
      </c>
      <c r="W751" s="151">
        <f>Transactions[[#This Row],[Amount]]*INDEX(TransTypes[],Transactions[[#This Row],[TTR]],TT_COL_AmntSign)</f>
        <v>186871.65</v>
      </c>
      <c r="X751" s="151">
        <f>IF(INDEX(TransTypes[],Transactions[[#This Row],[TTR]],TT_COL_LONGORSHORT)="S",
      IF( OR(INDEX(TransTypes[],Transactions[[#This Row],[TTR]],TT_COL_GLFlag)=1, INDEX(TransTypes[], Transactions[[#This Row],[TTR]], TT_COL_ShareTransferFlag)=1),
            Transactions[[#This Row],[CostImpact]]*-1,
            Transactions[[#This Row],[CalCashImpact]]
      ),
     0
)</f>
        <v>0</v>
      </c>
      <c r="Y751" s="152" t="str">
        <f>VLOOKUP(Transactions[[#This Row],[Symbol]],Symbols[], COLUMN(Symbols[Currency])-COLUMN(Symbols[])+1,FALSE)</f>
        <v>CNY</v>
      </c>
    </row>
    <row r="752" spans="1:25">
      <c r="A752" s="138" t="s">
        <v>600</v>
      </c>
      <c r="B752" s="139">
        <v>43153</v>
      </c>
      <c r="C752" s="138" t="s">
        <v>118</v>
      </c>
      <c r="D752" s="138"/>
      <c r="E752" s="140" t="s">
        <v>623</v>
      </c>
      <c r="F752" s="141"/>
      <c r="G752" s="142"/>
      <c r="H752" s="141"/>
      <c r="I752" s="141"/>
      <c r="J752" s="143">
        <v>861.05</v>
      </c>
      <c r="K752" s="6"/>
      <c r="L752" s="20">
        <f>IF(ISNA(MATCH(Transactions[[#This Row],[TransType]],TransTypes[TransType],0)),1,MATCH(Transactions[[#This Row],[TransType]],TransTypes[TransType],0))</f>
        <v>4</v>
      </c>
      <c r="M752" s="144">
        <f>IF( AND( INDEX(TransTypes[],Transactions[[#This Row],[TTR]],TT_COL_GLFlag)=1, INDEX(TransTypes[],Transactions[[#This Row],[TTR]],TT_COL_LONGORSHORT)="S" ),
      Transactions[[#This Row],[PL]],
      IF(INDEX(TransTypes[],Transactions[[#This Row],[TTR]],TT_COL_LONGORSHORT)="S",0,Transactions[[#This Row],[CalCashImpact]])
)</f>
        <v>861.05</v>
      </c>
      <c r="N752" s="145">
        <f>IF(VLOOKUP(Transactions[[#This Row],[Symbol]],Symbols[],COLUMN(Symbols[Currency])-COLUMN(Symbols[])+1,FALSE)=
       VLOOKUP(Transactions[[#This Row],[Account]],Accounts[],COLUMN(Accounts[Currency])-COLUMN(Accounts[])+1,FALSE),
     Transactions[[#This Row],[OrigCashImpact]],
     0
)</f>
        <v>861.05</v>
      </c>
      <c r="O752"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187709.74999999974</v>
      </c>
      <c r="P752"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52"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201940.66999999984</v>
      </c>
      <c r="R752" s="41">
        <f>ROW()</f>
        <v>752</v>
      </c>
      <c r="S7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201938.49237377653</v>
      </c>
      <c r="U752"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201940.66999999984</v>
      </c>
      <c r="V752" s="150">
        <f>IF(INDEX(TransTypes[],Transactions[[#This Row],[TTR]],TT_COL_GLFlag)=1,Transactions[[#This Row],[CalCashImpact]]+Transactions[[#This Row],[CostImpact]],0)</f>
        <v>0</v>
      </c>
      <c r="W752" s="151">
        <f>Transactions[[#This Row],[Amount]]*INDEX(TransTypes[],Transactions[[#This Row],[TTR]],TT_COL_AmntSign)</f>
        <v>861.05</v>
      </c>
      <c r="X752" s="151">
        <f>IF(INDEX(TransTypes[],Transactions[[#This Row],[TTR]],TT_COL_LONGORSHORT)="S",
      IF( OR(INDEX(TransTypes[],Transactions[[#This Row],[TTR]],TT_COL_GLFlag)=1, INDEX(TransTypes[], Transactions[[#This Row],[TTR]], TT_COL_ShareTransferFlag)=1),
            Transactions[[#This Row],[CostImpact]]*-1,
            Transactions[[#This Row],[CalCashImpact]]
      ),
     0
)</f>
        <v>0</v>
      </c>
      <c r="Y752" s="152" t="str">
        <f>VLOOKUP(Transactions[[#This Row],[Symbol]],Symbols[], COLUMN(Symbols[Currency])-COLUMN(Symbols[])+1,FALSE)</f>
        <v>CNY</v>
      </c>
    </row>
    <row r="753" spans="1:25">
      <c r="A753" s="138" t="s">
        <v>600</v>
      </c>
      <c r="B753" s="139">
        <v>43153</v>
      </c>
      <c r="C753" s="138" t="s">
        <v>113</v>
      </c>
      <c r="D753" s="138" t="s">
        <v>531</v>
      </c>
      <c r="E753" s="140" t="s">
        <v>623</v>
      </c>
      <c r="F753" s="141">
        <v>861.05</v>
      </c>
      <c r="G753" s="142">
        <v>1</v>
      </c>
      <c r="H753" s="141"/>
      <c r="I753" s="141"/>
      <c r="J753" s="143">
        <v>861.05</v>
      </c>
      <c r="K753" s="6"/>
      <c r="L753" s="20">
        <f>IF(ISNA(MATCH(Transactions[[#This Row],[TransType]],TransTypes[TransType],0)),1,MATCH(Transactions[[#This Row],[TransType]],TransTypes[TransType],0))</f>
        <v>2</v>
      </c>
      <c r="M753" s="144">
        <f>IF( AND( INDEX(TransTypes[],Transactions[[#This Row],[TTR]],TT_COL_GLFlag)=1, INDEX(TransTypes[],Transactions[[#This Row],[TTR]],TT_COL_LONGORSHORT)="S" ),
      Transactions[[#This Row],[PL]],
      IF(INDEX(TransTypes[],Transactions[[#This Row],[TTR]],TT_COL_LONGORSHORT)="S",0,Transactions[[#This Row],[CalCashImpact]])
)</f>
        <v>-861.05</v>
      </c>
      <c r="N753" s="145">
        <f>IF(VLOOKUP(Transactions[[#This Row],[Symbol]],Symbols[],COLUMN(Symbols[Currency])-COLUMN(Symbols[])+1,FALSE)=
       VLOOKUP(Transactions[[#This Row],[Account]],Accounts[],COLUMN(Accounts[Currency])-COLUMN(Accounts[])+1,FALSE),
     Transactions[[#This Row],[OrigCashImpact]],
     0
)</f>
        <v>-861.05</v>
      </c>
      <c r="O753"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186848.69999999975</v>
      </c>
      <c r="P753"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861.05</v>
      </c>
      <c r="Q753"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202801.71999999983</v>
      </c>
      <c r="R753" s="41">
        <f>ROW()</f>
        <v>753</v>
      </c>
      <c r="S7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861.05</v>
      </c>
      <c r="T7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202799.54237377652</v>
      </c>
      <c r="U753"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202801.71999999983</v>
      </c>
      <c r="V753" s="150">
        <f>IF(INDEX(TransTypes[],Transactions[[#This Row],[TTR]],TT_COL_GLFlag)=1,Transactions[[#This Row],[CalCashImpact]]+Transactions[[#This Row],[CostImpact]],0)</f>
        <v>0</v>
      </c>
      <c r="W753" s="151">
        <f>Transactions[[#This Row],[Amount]]*INDEX(TransTypes[],Transactions[[#This Row],[TTR]],TT_COL_AmntSign)</f>
        <v>-861.05</v>
      </c>
      <c r="X753" s="151">
        <f>IF(INDEX(TransTypes[],Transactions[[#This Row],[TTR]],TT_COL_LONGORSHORT)="S",
      IF( OR(INDEX(TransTypes[],Transactions[[#This Row],[TTR]],TT_COL_GLFlag)=1, INDEX(TransTypes[], Transactions[[#This Row],[TTR]], TT_COL_ShareTransferFlag)=1),
            Transactions[[#This Row],[CostImpact]]*-1,
            Transactions[[#This Row],[CalCashImpact]]
      ),
     0
)</f>
        <v>0</v>
      </c>
      <c r="Y753" s="152" t="str">
        <f>VLOOKUP(Transactions[[#This Row],[Symbol]],Symbols[], COLUMN(Symbols[Currency])-COLUMN(Symbols[])+1,FALSE)</f>
        <v>CNY</v>
      </c>
    </row>
    <row r="754" spans="1:25">
      <c r="A754" s="138" t="s">
        <v>600</v>
      </c>
      <c r="B754" s="139">
        <v>43159</v>
      </c>
      <c r="C754" s="138" t="s">
        <v>118</v>
      </c>
      <c r="D754" s="138"/>
      <c r="E754" s="140" t="s">
        <v>623</v>
      </c>
      <c r="F754" s="141"/>
      <c r="G754" s="142"/>
      <c r="H754" s="141"/>
      <c r="I754" s="141"/>
      <c r="J754" s="143">
        <v>273.45</v>
      </c>
      <c r="K754" s="6"/>
      <c r="L754" s="20">
        <f>IF(ISNA(MATCH(Transactions[[#This Row],[TransType]],TransTypes[TransType],0)),1,MATCH(Transactions[[#This Row],[TransType]],TransTypes[TransType],0))</f>
        <v>4</v>
      </c>
      <c r="M754" s="144">
        <f>IF( AND( INDEX(TransTypes[],Transactions[[#This Row],[TTR]],TT_COL_GLFlag)=1, INDEX(TransTypes[],Transactions[[#This Row],[TTR]],TT_COL_LONGORSHORT)="S" ),
      Transactions[[#This Row],[PL]],
      IF(INDEX(TransTypes[],Transactions[[#This Row],[TTR]],TT_COL_LONGORSHORT)="S",0,Transactions[[#This Row],[CalCashImpact]])
)</f>
        <v>273.45</v>
      </c>
      <c r="N754" s="145">
        <f>IF(VLOOKUP(Transactions[[#This Row],[Symbol]],Symbols[],COLUMN(Symbols[Currency])-COLUMN(Symbols[])+1,FALSE)=
       VLOOKUP(Transactions[[#This Row],[Account]],Accounts[],COLUMN(Accounts[Currency])-COLUMN(Accounts[])+1,FALSE),
     Transactions[[#This Row],[OrigCashImpact]],
     0
)</f>
        <v>273.45</v>
      </c>
      <c r="O754"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187122.14999999976</v>
      </c>
      <c r="P754"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54"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202801.71999999983</v>
      </c>
      <c r="R754" s="41">
        <f>ROW()</f>
        <v>754</v>
      </c>
      <c r="S7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202799.54237377652</v>
      </c>
      <c r="U754"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202801.71999999983</v>
      </c>
      <c r="V754" s="150">
        <f>IF(INDEX(TransTypes[],Transactions[[#This Row],[TTR]],TT_COL_GLFlag)=1,Transactions[[#This Row],[CalCashImpact]]+Transactions[[#This Row],[CostImpact]],0)</f>
        <v>0</v>
      </c>
      <c r="W754" s="151">
        <f>Transactions[[#This Row],[Amount]]*INDEX(TransTypes[],Transactions[[#This Row],[TTR]],TT_COL_AmntSign)</f>
        <v>273.45</v>
      </c>
      <c r="X754" s="151">
        <f>IF(INDEX(TransTypes[],Transactions[[#This Row],[TTR]],TT_COL_LONGORSHORT)="S",
      IF( OR(INDEX(TransTypes[],Transactions[[#This Row],[TTR]],TT_COL_GLFlag)=1, INDEX(TransTypes[], Transactions[[#This Row],[TTR]], TT_COL_ShareTransferFlag)=1),
            Transactions[[#This Row],[CostImpact]]*-1,
            Transactions[[#This Row],[CalCashImpact]]
      ),
     0
)</f>
        <v>0</v>
      </c>
      <c r="Y754" s="152" t="str">
        <f>VLOOKUP(Transactions[[#This Row],[Symbol]],Symbols[], COLUMN(Symbols[Currency])-COLUMN(Symbols[])+1,FALSE)</f>
        <v>CNY</v>
      </c>
    </row>
    <row r="755" spans="1:25">
      <c r="A755" s="138" t="s">
        <v>600</v>
      </c>
      <c r="B755" s="139">
        <v>43173</v>
      </c>
      <c r="C755" s="138" t="s">
        <v>113</v>
      </c>
      <c r="D755" s="138"/>
      <c r="E755" s="140" t="s">
        <v>623</v>
      </c>
      <c r="F755" s="141">
        <v>187145.1</v>
      </c>
      <c r="G755" s="142">
        <v>1</v>
      </c>
      <c r="H755" s="141">
        <v>0</v>
      </c>
      <c r="I755" s="141"/>
      <c r="J755" s="143">
        <v>187145.1</v>
      </c>
      <c r="K755" s="6"/>
      <c r="L755" s="20">
        <f>IF(ISNA(MATCH(Transactions[[#This Row],[TransType]],TransTypes[TransType],0)),1,MATCH(Transactions[[#This Row],[TransType]],TransTypes[TransType],0))</f>
        <v>2</v>
      </c>
      <c r="M755" s="144">
        <f>IF( AND( INDEX(TransTypes[],Transactions[[#This Row],[TTR]],TT_COL_GLFlag)=1, INDEX(TransTypes[],Transactions[[#This Row],[TTR]],TT_COL_LONGORSHORT)="S" ),
      Transactions[[#This Row],[PL]],
      IF(INDEX(TransTypes[],Transactions[[#This Row],[TTR]],TT_COL_LONGORSHORT)="S",0,Transactions[[#This Row],[CalCashImpact]])
)</f>
        <v>-187145.1</v>
      </c>
      <c r="N755" s="145">
        <f>IF(VLOOKUP(Transactions[[#This Row],[Symbol]],Symbols[],COLUMN(Symbols[Currency])-COLUMN(Symbols[])+1,FALSE)=
       VLOOKUP(Transactions[[#This Row],[Account]],Accounts[],COLUMN(Accounts[Currency])-COLUMN(Accounts[])+1,FALSE),
     Transactions[[#This Row],[OrigCashImpact]],
     0
)</f>
        <v>-187145.1</v>
      </c>
      <c r="O755"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55"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187145.1</v>
      </c>
      <c r="Q755"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389946.81999999983</v>
      </c>
      <c r="R755" s="41">
        <f>ROW()</f>
        <v>755</v>
      </c>
      <c r="S7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187145.1</v>
      </c>
      <c r="T7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389944.64237377653</v>
      </c>
      <c r="U755"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389946.81999999983</v>
      </c>
      <c r="V755" s="150">
        <f>IF(INDEX(TransTypes[],Transactions[[#This Row],[TTR]],TT_COL_GLFlag)=1,Transactions[[#This Row],[CalCashImpact]]+Transactions[[#This Row],[CostImpact]],0)</f>
        <v>0</v>
      </c>
      <c r="W755" s="151">
        <f>Transactions[[#This Row],[Amount]]*INDEX(TransTypes[],Transactions[[#This Row],[TTR]],TT_COL_AmntSign)</f>
        <v>-187145.1</v>
      </c>
      <c r="X755" s="151">
        <f>IF(INDEX(TransTypes[],Transactions[[#This Row],[TTR]],TT_COL_LONGORSHORT)="S",
      IF( OR(INDEX(TransTypes[],Transactions[[#This Row],[TTR]],TT_COL_GLFlag)=1, INDEX(TransTypes[], Transactions[[#This Row],[TTR]], TT_COL_ShareTransferFlag)=1),
            Transactions[[#This Row],[CostImpact]]*-1,
            Transactions[[#This Row],[CalCashImpact]]
      ),
     0
)</f>
        <v>0</v>
      </c>
      <c r="Y755" s="152" t="str">
        <f>VLOOKUP(Transactions[[#This Row],[Symbol]],Symbols[], COLUMN(Symbols[Currency])-COLUMN(Symbols[])+1,FALSE)</f>
        <v>CNY</v>
      </c>
    </row>
    <row r="756" spans="1:25">
      <c r="A756" s="138" t="s">
        <v>600</v>
      </c>
      <c r="B756" s="139">
        <v>43175</v>
      </c>
      <c r="C756" s="138" t="s">
        <v>118</v>
      </c>
      <c r="D756" s="138"/>
      <c r="E756" s="140" t="s">
        <v>623</v>
      </c>
      <c r="F756" s="141"/>
      <c r="G756" s="142"/>
      <c r="H756" s="141"/>
      <c r="I756" s="141"/>
      <c r="J756" s="143">
        <v>536.91</v>
      </c>
      <c r="K756" s="6"/>
      <c r="L756" s="20">
        <f>IF(ISNA(MATCH(Transactions[[#This Row],[TransType]],TransTypes[TransType],0)),1,MATCH(Transactions[[#This Row],[TransType]],TransTypes[TransType],0))</f>
        <v>4</v>
      </c>
      <c r="M756" s="144">
        <f>IF( AND( INDEX(TransTypes[],Transactions[[#This Row],[TTR]],TT_COL_GLFlag)=1, INDEX(TransTypes[],Transactions[[#This Row],[TTR]],TT_COL_LONGORSHORT)="S" ),
      Transactions[[#This Row],[PL]],
      IF(INDEX(TransTypes[],Transactions[[#This Row],[TTR]],TT_COL_LONGORSHORT)="S",0,Transactions[[#This Row],[CalCashImpact]])
)</f>
        <v>536.91</v>
      </c>
      <c r="N756" s="145">
        <f>IF(VLOOKUP(Transactions[[#This Row],[Symbol]],Symbols[],COLUMN(Symbols[Currency])-COLUMN(Symbols[])+1,FALSE)=
       VLOOKUP(Transactions[[#This Row],[Account]],Accounts[],COLUMN(Accounts[Currency])-COLUMN(Accounts[])+1,FALSE),
     Transactions[[#This Row],[OrigCashImpact]],
     0
)</f>
        <v>536.91</v>
      </c>
      <c r="O756"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513.9599999997555</v>
      </c>
      <c r="P756"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56"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389946.81999999983</v>
      </c>
      <c r="R756" s="41">
        <f>ROW()</f>
        <v>756</v>
      </c>
      <c r="S7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389944.64237377653</v>
      </c>
      <c r="U756"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389946.81999999983</v>
      </c>
      <c r="V756" s="150">
        <f>IF(INDEX(TransTypes[],Transactions[[#This Row],[TTR]],TT_COL_GLFlag)=1,Transactions[[#This Row],[CalCashImpact]]+Transactions[[#This Row],[CostImpact]],0)</f>
        <v>0</v>
      </c>
      <c r="W756" s="151">
        <f>Transactions[[#This Row],[Amount]]*INDEX(TransTypes[],Transactions[[#This Row],[TTR]],TT_COL_AmntSign)</f>
        <v>536.91</v>
      </c>
      <c r="X756" s="151">
        <f>IF(INDEX(TransTypes[],Transactions[[#This Row],[TTR]],TT_COL_LONGORSHORT)="S",
      IF( OR(INDEX(TransTypes[],Transactions[[#This Row],[TTR]],TT_COL_GLFlag)=1, INDEX(TransTypes[], Transactions[[#This Row],[TTR]], TT_COL_ShareTransferFlag)=1),
            Transactions[[#This Row],[CostImpact]]*-1,
            Transactions[[#This Row],[CalCashImpact]]
      ),
     0
)</f>
        <v>0</v>
      </c>
      <c r="Y756" s="152" t="str">
        <f>VLOOKUP(Transactions[[#This Row],[Symbol]],Symbols[], COLUMN(Symbols[Currency])-COLUMN(Symbols[])+1,FALSE)</f>
        <v>CNY</v>
      </c>
    </row>
    <row r="757" spans="1:25">
      <c r="A757" s="138" t="s">
        <v>600</v>
      </c>
      <c r="B757" s="139">
        <v>43175</v>
      </c>
      <c r="C757" s="138" t="s">
        <v>113</v>
      </c>
      <c r="D757" s="138" t="s">
        <v>531</v>
      </c>
      <c r="E757" s="140" t="s">
        <v>623</v>
      </c>
      <c r="F757" s="141">
        <v>536.91</v>
      </c>
      <c r="G757" s="142">
        <v>1</v>
      </c>
      <c r="H757" s="141"/>
      <c r="I757" s="141"/>
      <c r="J757" s="143">
        <v>536.91</v>
      </c>
      <c r="K757" s="6"/>
      <c r="L757" s="20">
        <f>IF(ISNA(MATCH(Transactions[[#This Row],[TransType]],TransTypes[TransType],0)),1,MATCH(Transactions[[#This Row],[TransType]],TransTypes[TransType],0))</f>
        <v>2</v>
      </c>
      <c r="M757" s="144">
        <f>IF( AND( INDEX(TransTypes[],Transactions[[#This Row],[TTR]],TT_COL_GLFlag)=1, INDEX(TransTypes[],Transactions[[#This Row],[TTR]],TT_COL_LONGORSHORT)="S" ),
      Transactions[[#This Row],[PL]],
      IF(INDEX(TransTypes[],Transactions[[#This Row],[TTR]],TT_COL_LONGORSHORT)="S",0,Transactions[[#This Row],[CalCashImpact]])
)</f>
        <v>-536.91</v>
      </c>
      <c r="N757" s="145">
        <f>IF(VLOOKUP(Transactions[[#This Row],[Symbol]],Symbols[],COLUMN(Symbols[Currency])-COLUMN(Symbols[])+1,FALSE)=
       VLOOKUP(Transactions[[#This Row],[Account]],Accounts[],COLUMN(Accounts[Currency])-COLUMN(Accounts[])+1,FALSE),
     Transactions[[#This Row],[OrigCashImpact]],
     0
)</f>
        <v>-536.91</v>
      </c>
      <c r="O757"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57"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536.91</v>
      </c>
      <c r="Q757"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390483.72999999981</v>
      </c>
      <c r="R757" s="41">
        <f>ROW()</f>
        <v>757</v>
      </c>
      <c r="S7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536.91</v>
      </c>
      <c r="T7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390481.5523737765</v>
      </c>
      <c r="U757"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390483.72999999981</v>
      </c>
      <c r="V757" s="150">
        <f>IF(INDEX(TransTypes[],Transactions[[#This Row],[TTR]],TT_COL_GLFlag)=1,Transactions[[#This Row],[CalCashImpact]]+Transactions[[#This Row],[CostImpact]],0)</f>
        <v>0</v>
      </c>
      <c r="W757" s="151">
        <f>Transactions[[#This Row],[Amount]]*INDEX(TransTypes[],Transactions[[#This Row],[TTR]],TT_COL_AmntSign)</f>
        <v>-536.91</v>
      </c>
      <c r="X757" s="151">
        <f>IF(INDEX(TransTypes[],Transactions[[#This Row],[TTR]],TT_COL_LONGORSHORT)="S",
      IF( OR(INDEX(TransTypes[],Transactions[[#This Row],[TTR]],TT_COL_GLFlag)=1, INDEX(TransTypes[], Transactions[[#This Row],[TTR]], TT_COL_ShareTransferFlag)=1),
            Transactions[[#This Row],[CostImpact]]*-1,
            Transactions[[#This Row],[CalCashImpact]]
      ),
     0
)</f>
        <v>0</v>
      </c>
      <c r="Y757" s="152" t="str">
        <f>VLOOKUP(Transactions[[#This Row],[Symbol]],Symbols[], COLUMN(Symbols[Currency])-COLUMN(Symbols[])+1,FALSE)</f>
        <v>CNY</v>
      </c>
    </row>
    <row r="758" spans="1:25">
      <c r="A758" s="138" t="s">
        <v>600</v>
      </c>
      <c r="B758" s="139">
        <v>43187</v>
      </c>
      <c r="C758" s="138" t="s">
        <v>118</v>
      </c>
      <c r="D758" s="138"/>
      <c r="E758" s="140" t="s">
        <v>623</v>
      </c>
      <c r="F758" s="141"/>
      <c r="G758" s="142"/>
      <c r="H758" s="141"/>
      <c r="I758" s="141"/>
      <c r="J758" s="143">
        <v>348.49</v>
      </c>
      <c r="K758" s="6"/>
      <c r="L758" s="20">
        <f>IF(ISNA(MATCH(Transactions[[#This Row],[TransType]],TransTypes[TransType],0)),1,MATCH(Transactions[[#This Row],[TransType]],TransTypes[TransType],0))</f>
        <v>4</v>
      </c>
      <c r="M758" s="144">
        <f>IF( AND( INDEX(TransTypes[],Transactions[[#This Row],[TTR]],TT_COL_GLFlag)=1, INDEX(TransTypes[],Transactions[[#This Row],[TTR]],TT_COL_LONGORSHORT)="S" ),
      Transactions[[#This Row],[PL]],
      IF(INDEX(TransTypes[],Transactions[[#This Row],[TTR]],TT_COL_LONGORSHORT)="S",0,Transactions[[#This Row],[CalCashImpact]])
)</f>
        <v>348.49</v>
      </c>
      <c r="N758" s="145">
        <f>IF(VLOOKUP(Transactions[[#This Row],[Symbol]],Symbols[],COLUMN(Symbols[Currency])-COLUMN(Symbols[])+1,FALSE)=
       VLOOKUP(Transactions[[#This Row],[Account]],Accounts[],COLUMN(Accounts[Currency])-COLUMN(Accounts[])+1,FALSE),
     Transactions[[#This Row],[OrigCashImpact]],
     0
)</f>
        <v>348.49</v>
      </c>
      <c r="O758"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325.53999999975554</v>
      </c>
      <c r="P758"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58"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390483.72999999981</v>
      </c>
      <c r="R758" s="41">
        <f>ROW()</f>
        <v>758</v>
      </c>
      <c r="S7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390481.5523737765</v>
      </c>
      <c r="U758"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390483.72999999981</v>
      </c>
      <c r="V758" s="150">
        <f>IF(INDEX(TransTypes[],Transactions[[#This Row],[TTR]],TT_COL_GLFlag)=1,Transactions[[#This Row],[CalCashImpact]]+Transactions[[#This Row],[CostImpact]],0)</f>
        <v>0</v>
      </c>
      <c r="W758" s="151">
        <f>Transactions[[#This Row],[Amount]]*INDEX(TransTypes[],Transactions[[#This Row],[TTR]],TT_COL_AmntSign)</f>
        <v>348.49</v>
      </c>
      <c r="X758" s="151">
        <f>IF(INDEX(TransTypes[],Transactions[[#This Row],[TTR]],TT_COL_LONGORSHORT)="S",
      IF( OR(INDEX(TransTypes[],Transactions[[#This Row],[TTR]],TT_COL_GLFlag)=1, INDEX(TransTypes[], Transactions[[#This Row],[TTR]], TT_COL_ShareTransferFlag)=1),
            Transactions[[#This Row],[CostImpact]]*-1,
            Transactions[[#This Row],[CalCashImpact]]
      ),
     0
)</f>
        <v>0</v>
      </c>
      <c r="Y758" s="152" t="str">
        <f>VLOOKUP(Transactions[[#This Row],[Symbol]],Symbols[], COLUMN(Symbols[Currency])-COLUMN(Symbols[])+1,FALSE)</f>
        <v>CNY</v>
      </c>
    </row>
    <row r="759" spans="1:25">
      <c r="A759" s="138" t="s">
        <v>600</v>
      </c>
      <c r="B759" s="139">
        <v>43187</v>
      </c>
      <c r="C759" s="138" t="s">
        <v>113</v>
      </c>
      <c r="D759" s="138" t="s">
        <v>531</v>
      </c>
      <c r="E759" s="140" t="s">
        <v>623</v>
      </c>
      <c r="F759" s="141">
        <v>348.49</v>
      </c>
      <c r="G759" s="142">
        <v>1</v>
      </c>
      <c r="H759" s="141"/>
      <c r="I759" s="141"/>
      <c r="J759" s="143">
        <v>348.49</v>
      </c>
      <c r="K759" s="6"/>
      <c r="L759" s="20">
        <f>IF(ISNA(MATCH(Transactions[[#This Row],[TransType]],TransTypes[TransType],0)),1,MATCH(Transactions[[#This Row],[TransType]],TransTypes[TransType],0))</f>
        <v>2</v>
      </c>
      <c r="M759" s="144">
        <f>IF( AND( INDEX(TransTypes[],Transactions[[#This Row],[TTR]],TT_COL_GLFlag)=1, INDEX(TransTypes[],Transactions[[#This Row],[TTR]],TT_COL_LONGORSHORT)="S" ),
      Transactions[[#This Row],[PL]],
      IF(INDEX(TransTypes[],Transactions[[#This Row],[TTR]],TT_COL_LONGORSHORT)="S",0,Transactions[[#This Row],[CalCashImpact]])
)</f>
        <v>-348.49</v>
      </c>
      <c r="N759" s="145">
        <f>IF(VLOOKUP(Transactions[[#This Row],[Symbol]],Symbols[],COLUMN(Symbols[Currency])-COLUMN(Symbols[])+1,FALSE)=
       VLOOKUP(Transactions[[#This Row],[Account]],Accounts[],COLUMN(Accounts[Currency])-COLUMN(Accounts[])+1,FALSE),
     Transactions[[#This Row],[OrigCashImpact]],
     0
)</f>
        <v>-348.49</v>
      </c>
      <c r="O759"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-22.950000000244472</v>
      </c>
      <c r="P759"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348.49</v>
      </c>
      <c r="Q759"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390832.2199999998</v>
      </c>
      <c r="R759" s="41">
        <f>ROW()</f>
        <v>759</v>
      </c>
      <c r="S7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348.49</v>
      </c>
      <c r="T7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390830.04237377649</v>
      </c>
      <c r="U759"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390832.2199999998</v>
      </c>
      <c r="V759" s="150">
        <f>IF(INDEX(TransTypes[],Transactions[[#This Row],[TTR]],TT_COL_GLFlag)=1,Transactions[[#This Row],[CalCashImpact]]+Transactions[[#This Row],[CostImpact]],0)</f>
        <v>0</v>
      </c>
      <c r="W759" s="151">
        <f>Transactions[[#This Row],[Amount]]*INDEX(TransTypes[],Transactions[[#This Row],[TTR]],TT_COL_AmntSign)</f>
        <v>-348.49</v>
      </c>
      <c r="X759" s="151">
        <f>IF(INDEX(TransTypes[],Transactions[[#This Row],[TTR]],TT_COL_LONGORSHORT)="S",
      IF( OR(INDEX(TransTypes[],Transactions[[#This Row],[TTR]],TT_COL_GLFlag)=1, INDEX(TransTypes[], Transactions[[#This Row],[TTR]], TT_COL_ShareTransferFlag)=1),
            Transactions[[#This Row],[CostImpact]]*-1,
            Transactions[[#This Row],[CalCashImpact]]
      ),
     0
)</f>
        <v>0</v>
      </c>
      <c r="Y759" s="152" t="str">
        <f>VLOOKUP(Transactions[[#This Row],[Symbol]],Symbols[], COLUMN(Symbols[Currency])-COLUMN(Symbols[])+1,FALSE)</f>
        <v>CNY</v>
      </c>
    </row>
    <row r="760" spans="1:25">
      <c r="A760" s="138" t="s">
        <v>600</v>
      </c>
      <c r="B760" s="139">
        <v>43187</v>
      </c>
      <c r="C760" s="138" t="s">
        <v>112</v>
      </c>
      <c r="D760" s="138" t="s">
        <v>639</v>
      </c>
      <c r="E760" s="138" t="s">
        <v>211</v>
      </c>
      <c r="F760" s="141"/>
      <c r="G760" s="142"/>
      <c r="H760" s="141"/>
      <c r="I760" s="141"/>
      <c r="J760" s="143">
        <v>22.95</v>
      </c>
      <c r="K760" s="6"/>
      <c r="L760" s="20">
        <f>IF(ISNA(MATCH(Transactions[[#This Row],[TransType]],TransTypes[TransType],0)),1,MATCH(Transactions[[#This Row],[TransType]],TransTypes[TransType],0))</f>
        <v>1</v>
      </c>
      <c r="M760" s="144">
        <f>IF( AND( INDEX(TransTypes[],Transactions[[#This Row],[TTR]],TT_COL_GLFlag)=1, INDEX(TransTypes[],Transactions[[#This Row],[TTR]],TT_COL_LONGORSHORT)="S" ),
      Transactions[[#This Row],[PL]],
      IF(INDEX(TransTypes[],Transactions[[#This Row],[TTR]],TT_COL_LONGORSHORT)="S",0,Transactions[[#This Row],[CalCashImpact]])
)</f>
        <v>22.95</v>
      </c>
      <c r="N760" s="145">
        <f>IF(VLOOKUP(Transactions[[#This Row],[Symbol]],Symbols[],COLUMN(Symbols[Currency])-COLUMN(Symbols[])+1,FALSE)=
       VLOOKUP(Transactions[[#This Row],[Account]],Accounts[],COLUMN(Accounts[Currency])-COLUMN(Accounts[])+1,FALSE),
     Transactions[[#This Row],[OrigCashImpact]],
     0
)</f>
        <v>22.95</v>
      </c>
      <c r="O760" s="14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-2.4447288637929887E-10</v>
      </c>
      <c r="P760" s="14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60" s="14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60" s="41">
        <f>ROW()</f>
        <v>760</v>
      </c>
      <c r="S7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60" s="14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60" s="150">
        <f>IF(INDEX(TransTypes[],Transactions[[#This Row],[TTR]],TT_COL_GLFlag)=1,Transactions[[#This Row],[CalCashImpact]]+Transactions[[#This Row],[CostImpact]],0)</f>
        <v>0</v>
      </c>
      <c r="W760" s="151">
        <f>Transactions[[#This Row],[Amount]]*INDEX(TransTypes[],Transactions[[#This Row],[TTR]],TT_COL_AmntSign)</f>
        <v>22.95</v>
      </c>
      <c r="X760" s="151">
        <f>IF(INDEX(TransTypes[],Transactions[[#This Row],[TTR]],TT_COL_LONGORSHORT)="S",
      IF( OR(INDEX(TransTypes[],Transactions[[#This Row],[TTR]],TT_COL_GLFlag)=1, INDEX(TransTypes[], Transactions[[#This Row],[TTR]], TT_COL_ShareTransferFlag)=1),
            Transactions[[#This Row],[CostImpact]]*-1,
            Transactions[[#This Row],[CalCashImpact]]
      ),
     0
)</f>
        <v>0</v>
      </c>
      <c r="Y760" s="152" t="str">
        <f>VLOOKUP(Transactions[[#This Row],[Symbol]],Symbols[], COLUMN(Symbols[Currency])-COLUMN(Symbols[])+1,FALSE)</f>
        <v>CNY</v>
      </c>
    </row>
    <row r="761" spans="1:25">
      <c r="A761" s="155" t="s">
        <v>82</v>
      </c>
      <c r="B761" s="156">
        <v>42247</v>
      </c>
      <c r="C761" s="155" t="s">
        <v>112</v>
      </c>
      <c r="D761" s="155"/>
      <c r="E761" s="155" t="s">
        <v>211</v>
      </c>
      <c r="F761" s="157"/>
      <c r="G761" s="158"/>
      <c r="H761" s="157"/>
      <c r="I761" s="157"/>
      <c r="J761" s="159">
        <v>1000000</v>
      </c>
      <c r="K761" s="6" t="s">
        <v>641</v>
      </c>
      <c r="L761" s="20">
        <f>IF(ISNA(MATCH(Transactions[[#This Row],[TransType]],TransTypes[TransType],0)),1,MATCH(Transactions[[#This Row],[TransType]],TransTypes[TransType],0))</f>
        <v>1</v>
      </c>
      <c r="M761" s="160">
        <f>IF( AND( INDEX(TransTypes[],Transactions[[#This Row],[TTR]],TT_COL_GLFlag)=1, INDEX(TransTypes[],Transactions[[#This Row],[TTR]],TT_COL_LONGORSHORT)="S" ),
      Transactions[[#This Row],[PL]],
      IF(INDEX(TransTypes[],Transactions[[#This Row],[TTR]],TT_COL_LONGORSHORT)="S",0,Transactions[[#This Row],[CalCashImpact]])
)</f>
        <v>1000000</v>
      </c>
      <c r="N761" s="161">
        <f>IF(VLOOKUP(Transactions[[#This Row],[Symbol]],Symbols[],COLUMN(Symbols[Currency])-COLUMN(Symbols[])+1,FALSE)=
       VLOOKUP(Transactions[[#This Row],[Account]],Accounts[],COLUMN(Accounts[Currency])-COLUMN(Accounts[])+1,FALSE),
     Transactions[[#This Row],[OrigCashImpact]],
     0
)</f>
        <v>1000000</v>
      </c>
      <c r="O7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1000000</v>
      </c>
      <c r="P7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61" s="41">
        <f>ROW()</f>
        <v>761</v>
      </c>
      <c r="S7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61" s="166">
        <f>IF(INDEX(TransTypes[],Transactions[[#This Row],[TTR]],TT_COL_GLFlag)=1,Transactions[[#This Row],[CalCashImpact]]+Transactions[[#This Row],[CostImpact]],0)</f>
        <v>0</v>
      </c>
      <c r="W761" s="167">
        <f>Transactions[[#This Row],[Amount]]*INDEX(TransTypes[],Transactions[[#This Row],[TTR]],TT_COL_AmntSign)</f>
        <v>1000000</v>
      </c>
      <c r="X761" s="167">
        <f>IF(INDEX(TransTypes[],Transactions[[#This Row],[TTR]],TT_COL_LONGORSHORT)="S",
      IF( OR(INDEX(TransTypes[],Transactions[[#This Row],[TTR]],TT_COL_GLFlag)=1, INDEX(TransTypes[], Transactions[[#This Row],[TTR]], TT_COL_ShareTransferFlag)=1),
            Transactions[[#This Row],[CostImpact]]*-1,
            Transactions[[#This Row],[CalCashImpact]]
      ),
     0
)</f>
        <v>0</v>
      </c>
      <c r="Y761" s="168" t="str">
        <f>VLOOKUP(Transactions[[#This Row],[Symbol]],Symbols[], COLUMN(Symbols[Currency])-COLUMN(Symbols[])+1,FALSE)</f>
        <v>CNY</v>
      </c>
    </row>
    <row r="762" spans="1:25">
      <c r="A762" s="155" t="s">
        <v>82</v>
      </c>
      <c r="B762" s="156">
        <v>42247</v>
      </c>
      <c r="C762" s="155" t="s">
        <v>113</v>
      </c>
      <c r="D762" s="155"/>
      <c r="E762" s="155" t="s">
        <v>642</v>
      </c>
      <c r="F762" s="157">
        <v>1000</v>
      </c>
      <c r="G762" s="158">
        <v>24.45</v>
      </c>
      <c r="H762" s="157">
        <v>0</v>
      </c>
      <c r="I762" s="157"/>
      <c r="J762" s="159">
        <v>24450</v>
      </c>
      <c r="K762" s="6" t="s">
        <v>641</v>
      </c>
      <c r="L762" s="20">
        <f>IF(ISNA(MATCH(Transactions[[#This Row],[TransType]],TransTypes[TransType],0)),1,MATCH(Transactions[[#This Row],[TransType]],TransTypes[TransType],0))</f>
        <v>2</v>
      </c>
      <c r="M762" s="160">
        <f>IF( AND( INDEX(TransTypes[],Transactions[[#This Row],[TTR]],TT_COL_GLFlag)=1, INDEX(TransTypes[],Transactions[[#This Row],[TTR]],TT_COL_LONGORSHORT)="S" ),
      Transactions[[#This Row],[PL]],
      IF(INDEX(TransTypes[],Transactions[[#This Row],[TTR]],TT_COL_LONGORSHORT)="S",0,Transactions[[#This Row],[CalCashImpact]])
)</f>
        <v>-24450</v>
      </c>
      <c r="N762" s="161">
        <f>IF(VLOOKUP(Transactions[[#This Row],[Symbol]],Symbols[],COLUMN(Symbols[Currency])-COLUMN(Symbols[])+1,FALSE)=
       VLOOKUP(Transactions[[#This Row],[Account]],Accounts[],COLUMN(Accounts[Currency])-COLUMN(Accounts[])+1,FALSE),
     Transactions[[#This Row],[OrigCashImpact]],
     0
)</f>
        <v>-24450</v>
      </c>
      <c r="O7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975550</v>
      </c>
      <c r="P7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762" s="41">
        <f>ROW()</f>
        <v>762</v>
      </c>
      <c r="S7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24450</v>
      </c>
      <c r="T7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24450</v>
      </c>
      <c r="U7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762" s="166">
        <f>IF(INDEX(TransTypes[],Transactions[[#This Row],[TTR]],TT_COL_GLFlag)=1,Transactions[[#This Row],[CalCashImpact]]+Transactions[[#This Row],[CostImpact]],0)</f>
        <v>0</v>
      </c>
      <c r="W762" s="167">
        <f>Transactions[[#This Row],[Amount]]*INDEX(TransTypes[],Transactions[[#This Row],[TTR]],TT_COL_AmntSign)</f>
        <v>-24450</v>
      </c>
      <c r="X762" s="167">
        <f>IF(INDEX(TransTypes[],Transactions[[#This Row],[TTR]],TT_COL_LONGORSHORT)="S",
      IF( OR(INDEX(TransTypes[],Transactions[[#This Row],[TTR]],TT_COL_GLFlag)=1, INDEX(TransTypes[], Transactions[[#This Row],[TTR]], TT_COL_ShareTransferFlag)=1),
            Transactions[[#This Row],[CostImpact]]*-1,
            Transactions[[#This Row],[CalCashImpact]]
      ),
     0
)</f>
        <v>0</v>
      </c>
      <c r="Y762" s="168" t="str">
        <f>VLOOKUP(Transactions[[#This Row],[Symbol]],Symbols[], COLUMN(Symbols[Currency])-COLUMN(Symbols[])+1,FALSE)</f>
        <v>CNY</v>
      </c>
    </row>
    <row r="763" spans="1:25">
      <c r="A763" s="155" t="s">
        <v>82</v>
      </c>
      <c r="B763" s="156">
        <v>42248</v>
      </c>
      <c r="C763" s="155" t="s">
        <v>113</v>
      </c>
      <c r="D763" s="155"/>
      <c r="E763" s="155" t="s">
        <v>468</v>
      </c>
      <c r="F763" s="157">
        <v>2000</v>
      </c>
      <c r="G763" s="158">
        <v>29.88</v>
      </c>
      <c r="H763" s="157">
        <v>0</v>
      </c>
      <c r="I763" s="157"/>
      <c r="J763" s="159">
        <v>59760</v>
      </c>
      <c r="K763" s="6" t="s">
        <v>641</v>
      </c>
      <c r="L763" s="20">
        <f>IF(ISNA(MATCH(Transactions[[#This Row],[TransType]],TransTypes[TransType],0)),1,MATCH(Transactions[[#This Row],[TransType]],TransTypes[TransType],0))</f>
        <v>2</v>
      </c>
      <c r="M763" s="160">
        <f>IF( AND( INDEX(TransTypes[],Transactions[[#This Row],[TTR]],TT_COL_GLFlag)=1, INDEX(TransTypes[],Transactions[[#This Row],[TTR]],TT_COL_LONGORSHORT)="S" ),
      Transactions[[#This Row],[PL]],
      IF(INDEX(TransTypes[],Transactions[[#This Row],[TTR]],TT_COL_LONGORSHORT)="S",0,Transactions[[#This Row],[CalCashImpact]])
)</f>
        <v>-59760</v>
      </c>
      <c r="N763" s="161">
        <f>IF(VLOOKUP(Transactions[[#This Row],[Symbol]],Symbols[],COLUMN(Symbols[Currency])-COLUMN(Symbols[])+1,FALSE)=
       VLOOKUP(Transactions[[#This Row],[Account]],Accounts[],COLUMN(Accounts[Currency])-COLUMN(Accounts[])+1,FALSE),
     Transactions[[#This Row],[OrigCashImpact]],
     0
)</f>
        <v>-59760</v>
      </c>
      <c r="O7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915790</v>
      </c>
      <c r="P7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7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63" s="41">
        <f>ROW()</f>
        <v>763</v>
      </c>
      <c r="S7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59760</v>
      </c>
      <c r="T7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59760</v>
      </c>
      <c r="U7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63" s="166">
        <f>IF(INDEX(TransTypes[],Transactions[[#This Row],[TTR]],TT_COL_GLFlag)=1,Transactions[[#This Row],[CalCashImpact]]+Transactions[[#This Row],[CostImpact]],0)</f>
        <v>0</v>
      </c>
      <c r="W763" s="167">
        <f>Transactions[[#This Row],[Amount]]*INDEX(TransTypes[],Transactions[[#This Row],[TTR]],TT_COL_AmntSign)</f>
        <v>-59760</v>
      </c>
      <c r="X763" s="167">
        <f>IF(INDEX(TransTypes[],Transactions[[#This Row],[TTR]],TT_COL_LONGORSHORT)="S",
      IF( OR(INDEX(TransTypes[],Transactions[[#This Row],[TTR]],TT_COL_GLFlag)=1, INDEX(TransTypes[], Transactions[[#This Row],[TTR]], TT_COL_ShareTransferFlag)=1),
            Transactions[[#This Row],[CostImpact]]*-1,
            Transactions[[#This Row],[CalCashImpact]]
      ),
     0
)</f>
        <v>0</v>
      </c>
      <c r="Y763" s="168" t="str">
        <f>VLOOKUP(Transactions[[#This Row],[Symbol]],Symbols[], COLUMN(Symbols[Currency])-COLUMN(Symbols[])+1,FALSE)</f>
        <v>CNY</v>
      </c>
    </row>
    <row r="764" spans="1:25">
      <c r="A764" s="155" t="s">
        <v>82</v>
      </c>
      <c r="B764" s="156">
        <v>42248</v>
      </c>
      <c r="C764" s="155" t="s">
        <v>113</v>
      </c>
      <c r="D764" s="155"/>
      <c r="E764" s="155" t="s">
        <v>464</v>
      </c>
      <c r="F764" s="157">
        <v>300</v>
      </c>
      <c r="G764" s="158">
        <v>190.7</v>
      </c>
      <c r="H764" s="157">
        <v>0</v>
      </c>
      <c r="I764" s="157"/>
      <c r="J764" s="159">
        <v>57210</v>
      </c>
      <c r="K764" s="6" t="s">
        <v>641</v>
      </c>
      <c r="L764" s="20">
        <f>IF(ISNA(MATCH(Transactions[[#This Row],[TransType]],TransTypes[TransType],0)),1,MATCH(Transactions[[#This Row],[TransType]],TransTypes[TransType],0))</f>
        <v>2</v>
      </c>
      <c r="M764" s="160">
        <f>IF( AND( INDEX(TransTypes[],Transactions[[#This Row],[TTR]],TT_COL_GLFlag)=1, INDEX(TransTypes[],Transactions[[#This Row],[TTR]],TT_COL_LONGORSHORT)="S" ),
      Transactions[[#This Row],[PL]],
      IF(INDEX(TransTypes[],Transactions[[#This Row],[TTR]],TT_COL_LONGORSHORT)="S",0,Transactions[[#This Row],[CalCashImpact]])
)</f>
        <v>-57210</v>
      </c>
      <c r="N764" s="161">
        <f>IF(VLOOKUP(Transactions[[#This Row],[Symbol]],Symbols[],COLUMN(Symbols[Currency])-COLUMN(Symbols[])+1,FALSE)=
       VLOOKUP(Transactions[[#This Row],[Account]],Accounts[],COLUMN(Accounts[Currency])-COLUMN(Accounts[])+1,FALSE),
     Transactions[[#This Row],[OrigCashImpact]],
     0
)</f>
        <v>-57210</v>
      </c>
      <c r="O7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858580</v>
      </c>
      <c r="P7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7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764" s="41">
        <f>ROW()</f>
        <v>764</v>
      </c>
      <c r="S7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57210</v>
      </c>
      <c r="T7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57210</v>
      </c>
      <c r="U7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764" s="166">
        <f>IF(INDEX(TransTypes[],Transactions[[#This Row],[TTR]],TT_COL_GLFlag)=1,Transactions[[#This Row],[CalCashImpact]]+Transactions[[#This Row],[CostImpact]],0)</f>
        <v>0</v>
      </c>
      <c r="W764" s="167">
        <f>Transactions[[#This Row],[Amount]]*INDEX(TransTypes[],Transactions[[#This Row],[TTR]],TT_COL_AmntSign)</f>
        <v>-57210</v>
      </c>
      <c r="X764" s="167">
        <f>IF(INDEX(TransTypes[],Transactions[[#This Row],[TTR]],TT_COL_LONGORSHORT)="S",
      IF( OR(INDEX(TransTypes[],Transactions[[#This Row],[TTR]],TT_COL_GLFlag)=1, INDEX(TransTypes[], Transactions[[#This Row],[TTR]], TT_COL_ShareTransferFlag)=1),
            Transactions[[#This Row],[CostImpact]]*-1,
            Transactions[[#This Row],[CalCashImpact]]
      ),
     0
)</f>
        <v>0</v>
      </c>
      <c r="Y764" s="168" t="str">
        <f>VLOOKUP(Transactions[[#This Row],[Symbol]],Symbols[], COLUMN(Symbols[Currency])-COLUMN(Symbols[])+1,FALSE)</f>
        <v>CNY</v>
      </c>
    </row>
    <row r="765" spans="1:25">
      <c r="A765" s="155" t="s">
        <v>82</v>
      </c>
      <c r="B765" s="156">
        <v>42261</v>
      </c>
      <c r="C765" s="155" t="s">
        <v>113</v>
      </c>
      <c r="D765" s="155"/>
      <c r="E765" s="155" t="s">
        <v>643</v>
      </c>
      <c r="F765" s="157">
        <v>2000</v>
      </c>
      <c r="G765" s="158">
        <v>7.96</v>
      </c>
      <c r="H765" s="157">
        <v>0</v>
      </c>
      <c r="I765" s="157"/>
      <c r="J765" s="159">
        <v>15920</v>
      </c>
      <c r="K765" s="6" t="s">
        <v>641</v>
      </c>
      <c r="L765" s="20">
        <f>IF(ISNA(MATCH(Transactions[[#This Row],[TransType]],TransTypes[TransType],0)),1,MATCH(Transactions[[#This Row],[TransType]],TransTypes[TransType],0))</f>
        <v>2</v>
      </c>
      <c r="M765" s="160">
        <f>IF( AND( INDEX(TransTypes[],Transactions[[#This Row],[TTR]],TT_COL_GLFlag)=1, INDEX(TransTypes[],Transactions[[#This Row],[TTR]],TT_COL_LONGORSHORT)="S" ),
      Transactions[[#This Row],[PL]],
      IF(INDEX(TransTypes[],Transactions[[#This Row],[TTR]],TT_COL_LONGORSHORT)="S",0,Transactions[[#This Row],[CalCashImpact]])
)</f>
        <v>-15920</v>
      </c>
      <c r="N765" s="161">
        <f>IF(VLOOKUP(Transactions[[#This Row],[Symbol]],Symbols[],COLUMN(Symbols[Currency])-COLUMN(Symbols[])+1,FALSE)=
       VLOOKUP(Transactions[[#This Row],[Account]],Accounts[],COLUMN(Accounts[Currency])-COLUMN(Accounts[])+1,FALSE),
     Transactions[[#This Row],[OrigCashImpact]],
     0
)</f>
        <v>-15920</v>
      </c>
      <c r="O7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842660</v>
      </c>
      <c r="P7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7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65" s="41">
        <f>ROW()</f>
        <v>765</v>
      </c>
      <c r="S7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15920</v>
      </c>
      <c r="T7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15920</v>
      </c>
      <c r="U7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65" s="166">
        <f>IF(INDEX(TransTypes[],Transactions[[#This Row],[TTR]],TT_COL_GLFlag)=1,Transactions[[#This Row],[CalCashImpact]]+Transactions[[#This Row],[CostImpact]],0)</f>
        <v>0</v>
      </c>
      <c r="W765" s="167">
        <f>Transactions[[#This Row],[Amount]]*INDEX(TransTypes[],Transactions[[#This Row],[TTR]],TT_COL_AmntSign)</f>
        <v>-15920</v>
      </c>
      <c r="X765" s="167">
        <f>IF(INDEX(TransTypes[],Transactions[[#This Row],[TTR]],TT_COL_LONGORSHORT)="S",
      IF( OR(INDEX(TransTypes[],Transactions[[#This Row],[TTR]],TT_COL_GLFlag)=1, INDEX(TransTypes[], Transactions[[#This Row],[TTR]], TT_COL_ShareTransferFlag)=1),
            Transactions[[#This Row],[CostImpact]]*-1,
            Transactions[[#This Row],[CalCashImpact]]
      ),
     0
)</f>
        <v>0</v>
      </c>
      <c r="Y765" s="168" t="str">
        <f>VLOOKUP(Transactions[[#This Row],[Symbol]],Symbols[], COLUMN(Symbols[Currency])-COLUMN(Symbols[])+1,FALSE)</f>
        <v>CNY</v>
      </c>
    </row>
    <row r="766" spans="1:25">
      <c r="A766" s="155" t="s">
        <v>82</v>
      </c>
      <c r="B766" s="156">
        <v>42261</v>
      </c>
      <c r="C766" s="155" t="s">
        <v>113</v>
      </c>
      <c r="D766" s="155"/>
      <c r="E766" s="155" t="s">
        <v>467</v>
      </c>
      <c r="F766" s="157">
        <v>1000</v>
      </c>
      <c r="G766" s="158">
        <v>31.57</v>
      </c>
      <c r="H766" s="157">
        <v>0</v>
      </c>
      <c r="I766" s="157"/>
      <c r="J766" s="159">
        <v>31570</v>
      </c>
      <c r="K766" s="6" t="s">
        <v>641</v>
      </c>
      <c r="L766" s="20">
        <f>IF(ISNA(MATCH(Transactions[[#This Row],[TransType]],TransTypes[TransType],0)),1,MATCH(Transactions[[#This Row],[TransType]],TransTypes[TransType],0))</f>
        <v>2</v>
      </c>
      <c r="M766" s="160">
        <f>IF( AND( INDEX(TransTypes[],Transactions[[#This Row],[TTR]],TT_COL_GLFlag)=1, INDEX(TransTypes[],Transactions[[#This Row],[TTR]],TT_COL_LONGORSHORT)="S" ),
      Transactions[[#This Row],[PL]],
      IF(INDEX(TransTypes[],Transactions[[#This Row],[TTR]],TT_COL_LONGORSHORT)="S",0,Transactions[[#This Row],[CalCashImpact]])
)</f>
        <v>-31570</v>
      </c>
      <c r="N766" s="161">
        <f>IF(VLOOKUP(Transactions[[#This Row],[Symbol]],Symbols[],COLUMN(Symbols[Currency])-COLUMN(Symbols[])+1,FALSE)=
       VLOOKUP(Transactions[[#This Row],[Account]],Accounts[],COLUMN(Accounts[Currency])-COLUMN(Accounts[])+1,FALSE),
     Transactions[[#This Row],[OrigCashImpact]],
     0
)</f>
        <v>-31570</v>
      </c>
      <c r="O7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811090</v>
      </c>
      <c r="P7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766" s="41">
        <f>ROW()</f>
        <v>766</v>
      </c>
      <c r="S7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31570</v>
      </c>
      <c r="T7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31570</v>
      </c>
      <c r="U7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766" s="166">
        <f>IF(INDEX(TransTypes[],Transactions[[#This Row],[TTR]],TT_COL_GLFlag)=1,Transactions[[#This Row],[CalCashImpact]]+Transactions[[#This Row],[CostImpact]],0)</f>
        <v>0</v>
      </c>
      <c r="W766" s="167">
        <f>Transactions[[#This Row],[Amount]]*INDEX(TransTypes[],Transactions[[#This Row],[TTR]],TT_COL_AmntSign)</f>
        <v>-31570</v>
      </c>
      <c r="X766" s="167">
        <f>IF(INDEX(TransTypes[],Transactions[[#This Row],[TTR]],TT_COL_LONGORSHORT)="S",
      IF( OR(INDEX(TransTypes[],Transactions[[#This Row],[TTR]],TT_COL_GLFlag)=1, INDEX(TransTypes[], Transactions[[#This Row],[TTR]], TT_COL_ShareTransferFlag)=1),
            Transactions[[#This Row],[CostImpact]]*-1,
            Transactions[[#This Row],[CalCashImpact]]
      ),
     0
)</f>
        <v>0</v>
      </c>
      <c r="Y766" s="168" t="str">
        <f>VLOOKUP(Transactions[[#This Row],[Symbol]],Symbols[], COLUMN(Symbols[Currency])-COLUMN(Symbols[])+1,FALSE)</f>
        <v>CNY</v>
      </c>
    </row>
    <row r="767" spans="1:25">
      <c r="A767" s="155" t="s">
        <v>82</v>
      </c>
      <c r="B767" s="156">
        <v>42261</v>
      </c>
      <c r="C767" s="155" t="s">
        <v>113</v>
      </c>
      <c r="D767" s="155"/>
      <c r="E767" s="155" t="s">
        <v>644</v>
      </c>
      <c r="F767" s="157">
        <v>1000</v>
      </c>
      <c r="G767" s="158">
        <v>41.17</v>
      </c>
      <c r="H767" s="157">
        <v>0</v>
      </c>
      <c r="I767" s="157"/>
      <c r="J767" s="159">
        <v>41170</v>
      </c>
      <c r="K767" s="6" t="s">
        <v>641</v>
      </c>
      <c r="L767" s="20">
        <f>IF(ISNA(MATCH(Transactions[[#This Row],[TransType]],TransTypes[TransType],0)),1,MATCH(Transactions[[#This Row],[TransType]],TransTypes[TransType],0))</f>
        <v>2</v>
      </c>
      <c r="M767" s="160">
        <f>IF( AND( INDEX(TransTypes[],Transactions[[#This Row],[TTR]],TT_COL_GLFlag)=1, INDEX(TransTypes[],Transactions[[#This Row],[TTR]],TT_COL_LONGORSHORT)="S" ),
      Transactions[[#This Row],[PL]],
      IF(INDEX(TransTypes[],Transactions[[#This Row],[TTR]],TT_COL_LONGORSHORT)="S",0,Transactions[[#This Row],[CalCashImpact]])
)</f>
        <v>-41170</v>
      </c>
      <c r="N767" s="161">
        <f>IF(VLOOKUP(Transactions[[#This Row],[Symbol]],Symbols[],COLUMN(Symbols[Currency])-COLUMN(Symbols[])+1,FALSE)=
       VLOOKUP(Transactions[[#This Row],[Account]],Accounts[],COLUMN(Accounts[Currency])-COLUMN(Accounts[])+1,FALSE),
     Transactions[[#This Row],[OrigCashImpact]],
     0
)</f>
        <v>-41170</v>
      </c>
      <c r="O7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769920</v>
      </c>
      <c r="P7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767" s="41">
        <f>ROW()</f>
        <v>767</v>
      </c>
      <c r="S7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41170</v>
      </c>
      <c r="T7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41170</v>
      </c>
      <c r="U7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767" s="166">
        <f>IF(INDEX(TransTypes[],Transactions[[#This Row],[TTR]],TT_COL_GLFlag)=1,Transactions[[#This Row],[CalCashImpact]]+Transactions[[#This Row],[CostImpact]],0)</f>
        <v>0</v>
      </c>
      <c r="W767" s="167">
        <f>Transactions[[#This Row],[Amount]]*INDEX(TransTypes[],Transactions[[#This Row],[TTR]],TT_COL_AmntSign)</f>
        <v>-41170</v>
      </c>
      <c r="X767" s="167">
        <f>IF(INDEX(TransTypes[],Transactions[[#This Row],[TTR]],TT_COL_LONGORSHORT)="S",
      IF( OR(INDEX(TransTypes[],Transactions[[#This Row],[TTR]],TT_COL_GLFlag)=1, INDEX(TransTypes[], Transactions[[#This Row],[TTR]], TT_COL_ShareTransferFlag)=1),
            Transactions[[#This Row],[CostImpact]]*-1,
            Transactions[[#This Row],[CalCashImpact]]
      ),
     0
)</f>
        <v>0</v>
      </c>
      <c r="Y767" s="168" t="str">
        <f>VLOOKUP(Transactions[[#This Row],[Symbol]],Symbols[], COLUMN(Symbols[Currency])-COLUMN(Symbols[])+1,FALSE)</f>
        <v>CNY</v>
      </c>
    </row>
    <row r="768" spans="1:25">
      <c r="A768" s="155" t="s">
        <v>82</v>
      </c>
      <c r="B768" s="156">
        <v>42262</v>
      </c>
      <c r="C768" s="155" t="s">
        <v>118</v>
      </c>
      <c r="D768" s="155"/>
      <c r="E768" s="155" t="s">
        <v>468</v>
      </c>
      <c r="F768" s="157"/>
      <c r="G768" s="158"/>
      <c r="H768" s="157"/>
      <c r="I768" s="157"/>
      <c r="J768" s="159">
        <v>360</v>
      </c>
      <c r="K768" s="6" t="s">
        <v>641</v>
      </c>
      <c r="L768" s="20">
        <f>IF(ISNA(MATCH(Transactions[[#This Row],[TransType]],TransTypes[TransType],0)),1,MATCH(Transactions[[#This Row],[TransType]],TransTypes[TransType],0))</f>
        <v>4</v>
      </c>
      <c r="M768" s="160">
        <f>IF( AND( INDEX(TransTypes[],Transactions[[#This Row],[TTR]],TT_COL_GLFlag)=1, INDEX(TransTypes[],Transactions[[#This Row],[TTR]],TT_COL_LONGORSHORT)="S" ),
      Transactions[[#This Row],[PL]],
      IF(INDEX(TransTypes[],Transactions[[#This Row],[TTR]],TT_COL_LONGORSHORT)="S",0,Transactions[[#This Row],[CalCashImpact]])
)</f>
        <v>360</v>
      </c>
      <c r="N768" s="161">
        <f>IF(VLOOKUP(Transactions[[#This Row],[Symbol]],Symbols[],COLUMN(Symbols[Currency])-COLUMN(Symbols[])+1,FALSE)=
       VLOOKUP(Transactions[[#This Row],[Account]],Accounts[],COLUMN(Accounts[Currency])-COLUMN(Accounts[])+1,FALSE),
     Transactions[[#This Row],[OrigCashImpact]],
     0
)</f>
        <v>360</v>
      </c>
      <c r="O7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770280</v>
      </c>
      <c r="P7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68" s="41">
        <f>ROW()</f>
        <v>768</v>
      </c>
      <c r="S7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59760</v>
      </c>
      <c r="U7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68" s="166">
        <f>IF(INDEX(TransTypes[],Transactions[[#This Row],[TTR]],TT_COL_GLFlag)=1,Transactions[[#This Row],[CalCashImpact]]+Transactions[[#This Row],[CostImpact]],0)</f>
        <v>0</v>
      </c>
      <c r="W768" s="167">
        <f>Transactions[[#This Row],[Amount]]*INDEX(TransTypes[],Transactions[[#This Row],[TTR]],TT_COL_AmntSign)</f>
        <v>360</v>
      </c>
      <c r="X768" s="167">
        <f>IF(INDEX(TransTypes[],Transactions[[#This Row],[TTR]],TT_COL_LONGORSHORT)="S",
      IF( OR(INDEX(TransTypes[],Transactions[[#This Row],[TTR]],TT_COL_GLFlag)=1, INDEX(TransTypes[], Transactions[[#This Row],[TTR]], TT_COL_ShareTransferFlag)=1),
            Transactions[[#This Row],[CostImpact]]*-1,
            Transactions[[#This Row],[CalCashImpact]]
      ),
     0
)</f>
        <v>0</v>
      </c>
      <c r="Y768" s="168" t="str">
        <f>VLOOKUP(Transactions[[#This Row],[Symbol]],Symbols[], COLUMN(Symbols[Currency])-COLUMN(Symbols[])+1,FALSE)</f>
        <v>CNY</v>
      </c>
    </row>
    <row r="769" spans="1:25">
      <c r="A769" s="155" t="s">
        <v>82</v>
      </c>
      <c r="B769" s="156">
        <v>42262</v>
      </c>
      <c r="C769" s="155" t="s">
        <v>156</v>
      </c>
      <c r="D769" s="155"/>
      <c r="E769" s="155" t="s">
        <v>211</v>
      </c>
      <c r="F769" s="157">
        <v>271654</v>
      </c>
      <c r="G769" s="158">
        <f>Transactions[[#This Row],[Amount]]/Transactions[[#This Row],[Qty]]</f>
        <v>0.80513380991997174</v>
      </c>
      <c r="H769" s="157"/>
      <c r="I769" s="157"/>
      <c r="J769" s="159">
        <v>218717.82</v>
      </c>
      <c r="K769" s="6" t="s">
        <v>641</v>
      </c>
      <c r="L769" s="20">
        <f>IF(ISNA(MATCH(Transactions[[#This Row],[TransType]],TransTypes[TransType],0)),1,MATCH(Transactions[[#This Row],[TransType]],TransTypes[TransType],0))</f>
        <v>17</v>
      </c>
      <c r="M769" s="160">
        <f>IF( AND( INDEX(TransTypes[],Transactions[[#This Row],[TTR]],TT_COL_GLFlag)=1, INDEX(TransTypes[],Transactions[[#This Row],[TTR]],TT_COL_LONGORSHORT)="S" ),
      Transactions[[#This Row],[PL]],
      IF(INDEX(TransTypes[],Transactions[[#This Row],[TTR]],TT_COL_LONGORSHORT)="S",0,Transactions[[#This Row],[CalCashImpact]])
)</f>
        <v>-218717.82</v>
      </c>
      <c r="N769" s="161">
        <f>IF(VLOOKUP(Transactions[[#This Row],[Symbol]],Symbols[],COLUMN(Symbols[Currency])-COLUMN(Symbols[])+1,FALSE)=
       VLOOKUP(Transactions[[#This Row],[Account]],Accounts[],COLUMN(Accounts[Currency])-COLUMN(Accounts[])+1,FALSE),
     Transactions[[#This Row],[OrigCashImpact]],
     0
)</f>
        <v>-218717.82</v>
      </c>
      <c r="O7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551562.17999999993</v>
      </c>
      <c r="P7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69" s="41">
        <f>ROW()</f>
        <v>769</v>
      </c>
      <c r="S7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69" s="166">
        <f>IF(INDEX(TransTypes[],Transactions[[#This Row],[TTR]],TT_COL_GLFlag)=1,Transactions[[#This Row],[CalCashImpact]]+Transactions[[#This Row],[CostImpact]],0)</f>
        <v>0</v>
      </c>
      <c r="W769" s="167">
        <f>Transactions[[#This Row],[Amount]]*INDEX(TransTypes[],Transactions[[#This Row],[TTR]],TT_COL_AmntSign)</f>
        <v>-218717.82</v>
      </c>
      <c r="X769" s="167">
        <f>IF(INDEX(TransTypes[],Transactions[[#This Row],[TTR]],TT_COL_LONGORSHORT)="S",
      IF( OR(INDEX(TransTypes[],Transactions[[#This Row],[TTR]],TT_COL_GLFlag)=1, INDEX(TransTypes[], Transactions[[#This Row],[TTR]], TT_COL_ShareTransferFlag)=1),
            Transactions[[#This Row],[CostImpact]]*-1,
            Transactions[[#This Row],[CalCashImpact]]
      ),
     0
)</f>
        <v>0</v>
      </c>
      <c r="Y769" s="168" t="str">
        <f>VLOOKUP(Transactions[[#This Row],[Symbol]],Symbols[], COLUMN(Symbols[Currency])-COLUMN(Symbols[])+1,FALSE)</f>
        <v>CNY</v>
      </c>
    </row>
    <row r="770" spans="1:25">
      <c r="A770" s="155" t="s">
        <v>82</v>
      </c>
      <c r="B770" s="156">
        <v>42262</v>
      </c>
      <c r="C770" s="155" t="s">
        <v>239</v>
      </c>
      <c r="D770" s="155"/>
      <c r="E770" s="155" t="s">
        <v>210</v>
      </c>
      <c r="F770" s="157">
        <v>271654</v>
      </c>
      <c r="G770" s="158">
        <v>1</v>
      </c>
      <c r="H770" s="157"/>
      <c r="I770" s="157"/>
      <c r="J770" s="159">
        <v>271654</v>
      </c>
      <c r="K770" s="6" t="s">
        <v>641</v>
      </c>
      <c r="L770" s="20">
        <f>IF(ISNA(MATCH(Transactions[[#This Row],[TransType]],TransTypes[TransType],0)),1,MATCH(Transactions[[#This Row],[TransType]],TransTypes[TransType],0))</f>
        <v>18</v>
      </c>
      <c r="M770" s="160">
        <f>IF( AND( INDEX(TransTypes[],Transactions[[#This Row],[TTR]],TT_COL_GLFlag)=1, INDEX(TransTypes[],Transactions[[#This Row],[TTR]],TT_COL_LONGORSHORT)="S" ),
      Transactions[[#This Row],[PL]],
      IF(INDEX(TransTypes[],Transactions[[#This Row],[TTR]],TT_COL_LONGORSHORT)="S",0,Transactions[[#This Row],[CalCashImpact]])
)</f>
        <v>271654</v>
      </c>
      <c r="N770" s="161">
        <f>IF(VLOOKUP(Transactions[[#This Row],[Symbol]],Symbols[],COLUMN(Symbols[Currency])-COLUMN(Symbols[])+1,FALSE)=
       VLOOKUP(Transactions[[#This Row],[Account]],Accounts[],COLUMN(Accounts[Currency])-COLUMN(Accounts[])+1,FALSE),
     Transactions[[#This Row],[OrigCashImpact]],
     0
)</f>
        <v>0</v>
      </c>
      <c r="O7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551562.17999999993</v>
      </c>
      <c r="P7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70" s="41">
        <f>ROW()</f>
        <v>770</v>
      </c>
      <c r="S7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70" s="166">
        <f>IF(INDEX(TransTypes[],Transactions[[#This Row],[TTR]],TT_COL_GLFlag)=1,Transactions[[#This Row],[CalCashImpact]]+Transactions[[#This Row],[CostImpact]],0)</f>
        <v>0</v>
      </c>
      <c r="W770" s="167">
        <f>Transactions[[#This Row],[Amount]]*INDEX(TransTypes[],Transactions[[#This Row],[TTR]],TT_COL_AmntSign)</f>
        <v>271654</v>
      </c>
      <c r="X770" s="167">
        <f>IF(INDEX(TransTypes[],Transactions[[#This Row],[TTR]],TT_COL_LONGORSHORT)="S",
      IF( OR(INDEX(TransTypes[],Transactions[[#This Row],[TTR]],TT_COL_GLFlag)=1, INDEX(TransTypes[], Transactions[[#This Row],[TTR]], TT_COL_ShareTransferFlag)=1),
            Transactions[[#This Row],[CostImpact]]*-1,
            Transactions[[#This Row],[CalCashImpact]]
      ),
     0
)</f>
        <v>0</v>
      </c>
      <c r="Y770" s="168" t="str">
        <f>VLOOKUP(Transactions[[#This Row],[Symbol]],Symbols[], COLUMN(Symbols[Currency])-COLUMN(Symbols[])+1,FALSE)</f>
        <v>HKD</v>
      </c>
    </row>
    <row r="771" spans="1:25">
      <c r="A771" s="155" t="s">
        <v>82</v>
      </c>
      <c r="B771" s="156">
        <v>42262</v>
      </c>
      <c r="C771" s="155" t="s">
        <v>113</v>
      </c>
      <c r="D771" s="155"/>
      <c r="E771" s="155" t="s">
        <v>645</v>
      </c>
      <c r="F771" s="157">
        <v>10000</v>
      </c>
      <c r="G771" s="158">
        <v>13.773</v>
      </c>
      <c r="H771" s="157">
        <v>0</v>
      </c>
      <c r="I771" s="157"/>
      <c r="J771" s="159">
        <v>137730</v>
      </c>
      <c r="K771" s="6" t="s">
        <v>641</v>
      </c>
      <c r="L771" s="20">
        <f>IF(ISNA(MATCH(Transactions[[#This Row],[TransType]],TransTypes[TransType],0)),1,MATCH(Transactions[[#This Row],[TransType]],TransTypes[TransType],0))</f>
        <v>2</v>
      </c>
      <c r="M771" s="160">
        <f>IF( AND( INDEX(TransTypes[],Transactions[[#This Row],[TTR]],TT_COL_GLFlag)=1, INDEX(TransTypes[],Transactions[[#This Row],[TTR]],TT_COL_LONGORSHORT)="S" ),
      Transactions[[#This Row],[PL]],
      IF(INDEX(TransTypes[],Transactions[[#This Row],[TTR]],TT_COL_LONGORSHORT)="S",0,Transactions[[#This Row],[CalCashImpact]])
)</f>
        <v>-137730</v>
      </c>
      <c r="N771" s="161">
        <f>IF(VLOOKUP(Transactions[[#This Row],[Symbol]],Symbols[],COLUMN(Symbols[Currency])-COLUMN(Symbols[])+1,FALSE)=
       VLOOKUP(Transactions[[#This Row],[Account]],Accounts[],COLUMN(Accounts[Currency])-COLUMN(Accounts[])+1,FALSE),
     Transactions[[#This Row],[OrigCashImpact]],
     0
)</f>
        <v>0</v>
      </c>
      <c r="O7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551562.17999999993</v>
      </c>
      <c r="P7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7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771" s="41">
        <f>ROW()</f>
        <v>771</v>
      </c>
      <c r="S7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137730</v>
      </c>
      <c r="T7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137730</v>
      </c>
      <c r="U7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771" s="166">
        <f>IF(INDEX(TransTypes[],Transactions[[#This Row],[TTR]],TT_COL_GLFlag)=1,Transactions[[#This Row],[CalCashImpact]]+Transactions[[#This Row],[CostImpact]],0)</f>
        <v>0</v>
      </c>
      <c r="W771" s="167">
        <f>Transactions[[#This Row],[Amount]]*INDEX(TransTypes[],Transactions[[#This Row],[TTR]],TT_COL_AmntSign)</f>
        <v>-137730</v>
      </c>
      <c r="X771" s="167">
        <f>IF(INDEX(TransTypes[],Transactions[[#This Row],[TTR]],TT_COL_LONGORSHORT)="S",
      IF( OR(INDEX(TransTypes[],Transactions[[#This Row],[TTR]],TT_COL_GLFlag)=1, INDEX(TransTypes[], Transactions[[#This Row],[TTR]], TT_COL_ShareTransferFlag)=1),
            Transactions[[#This Row],[CostImpact]]*-1,
            Transactions[[#This Row],[CalCashImpact]]
      ),
     0
)</f>
        <v>0</v>
      </c>
      <c r="Y771" s="168" t="str">
        <f>VLOOKUP(Transactions[[#This Row],[Symbol]],Symbols[], COLUMN(Symbols[Currency])-COLUMN(Symbols[])+1,FALSE)</f>
        <v>HKD</v>
      </c>
    </row>
    <row r="772" spans="1:25">
      <c r="A772" s="155" t="s">
        <v>82</v>
      </c>
      <c r="B772" s="156">
        <v>42262</v>
      </c>
      <c r="C772" s="155" t="s">
        <v>113</v>
      </c>
      <c r="D772" s="155"/>
      <c r="E772" s="155" t="s">
        <v>646</v>
      </c>
      <c r="F772" s="157">
        <v>1000</v>
      </c>
      <c r="G772" s="158">
        <v>133.92400000000001</v>
      </c>
      <c r="H772" s="157">
        <v>0</v>
      </c>
      <c r="I772" s="157"/>
      <c r="J772" s="159">
        <v>133924</v>
      </c>
      <c r="K772" s="6" t="s">
        <v>641</v>
      </c>
      <c r="L772" s="20">
        <f>IF(ISNA(MATCH(Transactions[[#This Row],[TransType]],TransTypes[TransType],0)),1,MATCH(Transactions[[#This Row],[TransType]],TransTypes[TransType],0))</f>
        <v>2</v>
      </c>
      <c r="M772" s="160">
        <f>IF( AND( INDEX(TransTypes[],Transactions[[#This Row],[TTR]],TT_COL_GLFlag)=1, INDEX(TransTypes[],Transactions[[#This Row],[TTR]],TT_COL_LONGORSHORT)="S" ),
      Transactions[[#This Row],[PL]],
      IF(INDEX(TransTypes[],Transactions[[#This Row],[TTR]],TT_COL_LONGORSHORT)="S",0,Transactions[[#This Row],[CalCashImpact]])
)</f>
        <v>-133924</v>
      </c>
      <c r="N772" s="161">
        <f>IF(VLOOKUP(Transactions[[#This Row],[Symbol]],Symbols[],COLUMN(Symbols[Currency])-COLUMN(Symbols[])+1,FALSE)=
       VLOOKUP(Transactions[[#This Row],[Account]],Accounts[],COLUMN(Accounts[Currency])-COLUMN(Accounts[])+1,FALSE),
     Transactions[[#This Row],[OrigCashImpact]],
     0
)</f>
        <v>0</v>
      </c>
      <c r="O7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551562.17999999993</v>
      </c>
      <c r="P7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772" s="41">
        <f>ROW()</f>
        <v>772</v>
      </c>
      <c r="S7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133924</v>
      </c>
      <c r="T7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133924</v>
      </c>
      <c r="U7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772" s="166">
        <f>IF(INDEX(TransTypes[],Transactions[[#This Row],[TTR]],TT_COL_GLFlag)=1,Transactions[[#This Row],[CalCashImpact]]+Transactions[[#This Row],[CostImpact]],0)</f>
        <v>0</v>
      </c>
      <c r="W772" s="167">
        <f>Transactions[[#This Row],[Amount]]*INDEX(TransTypes[],Transactions[[#This Row],[TTR]],TT_COL_AmntSign)</f>
        <v>-133924</v>
      </c>
      <c r="X772" s="167">
        <f>IF(INDEX(TransTypes[],Transactions[[#This Row],[TTR]],TT_COL_LONGORSHORT)="S",
      IF( OR(INDEX(TransTypes[],Transactions[[#This Row],[TTR]],TT_COL_GLFlag)=1, INDEX(TransTypes[], Transactions[[#This Row],[TTR]], TT_COL_ShareTransferFlag)=1),
            Transactions[[#This Row],[CostImpact]]*-1,
            Transactions[[#This Row],[CalCashImpact]]
      ),
     0
)</f>
        <v>0</v>
      </c>
      <c r="Y772" s="168" t="str">
        <f>VLOOKUP(Transactions[[#This Row],[Symbol]],Symbols[], COLUMN(Symbols[Currency])-COLUMN(Symbols[])+1,FALSE)</f>
        <v>HKD</v>
      </c>
    </row>
    <row r="773" spans="1:25">
      <c r="A773" s="155" t="s">
        <v>82</v>
      </c>
      <c r="B773" s="156">
        <v>42263</v>
      </c>
      <c r="C773" s="155" t="s">
        <v>113</v>
      </c>
      <c r="D773" s="155"/>
      <c r="E773" s="155" t="s">
        <v>467</v>
      </c>
      <c r="F773" s="157">
        <v>1000</v>
      </c>
      <c r="G773" s="158">
        <v>32.69</v>
      </c>
      <c r="H773" s="157">
        <v>0</v>
      </c>
      <c r="I773" s="157"/>
      <c r="J773" s="159">
        <v>32690</v>
      </c>
      <c r="K773" s="6" t="s">
        <v>641</v>
      </c>
      <c r="L773" s="20">
        <f>IF(ISNA(MATCH(Transactions[[#This Row],[TransType]],TransTypes[TransType],0)),1,MATCH(Transactions[[#This Row],[TransType]],TransTypes[TransType],0))</f>
        <v>2</v>
      </c>
      <c r="M773" s="160">
        <f>IF( AND( INDEX(TransTypes[],Transactions[[#This Row],[TTR]],TT_COL_GLFlag)=1, INDEX(TransTypes[],Transactions[[#This Row],[TTR]],TT_COL_LONGORSHORT)="S" ),
      Transactions[[#This Row],[PL]],
      IF(INDEX(TransTypes[],Transactions[[#This Row],[TTR]],TT_COL_LONGORSHORT)="S",0,Transactions[[#This Row],[CalCashImpact]])
)</f>
        <v>-32690</v>
      </c>
      <c r="N773" s="161">
        <f>IF(VLOOKUP(Transactions[[#This Row],[Symbol]],Symbols[],COLUMN(Symbols[Currency])-COLUMN(Symbols[])+1,FALSE)=
       VLOOKUP(Transactions[[#This Row],[Account]],Accounts[],COLUMN(Accounts[Currency])-COLUMN(Accounts[])+1,FALSE),
     Transactions[[#This Row],[OrigCashImpact]],
     0
)</f>
        <v>-32690</v>
      </c>
      <c r="O7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518872.17999999993</v>
      </c>
      <c r="P7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73" s="41">
        <f>ROW()</f>
        <v>773</v>
      </c>
      <c r="S7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32690</v>
      </c>
      <c r="T7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64260</v>
      </c>
      <c r="U7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73" s="166">
        <f>IF(INDEX(TransTypes[],Transactions[[#This Row],[TTR]],TT_COL_GLFlag)=1,Transactions[[#This Row],[CalCashImpact]]+Transactions[[#This Row],[CostImpact]],0)</f>
        <v>0</v>
      </c>
      <c r="W773" s="167">
        <f>Transactions[[#This Row],[Amount]]*INDEX(TransTypes[],Transactions[[#This Row],[TTR]],TT_COL_AmntSign)</f>
        <v>-32690</v>
      </c>
      <c r="X773" s="167">
        <f>IF(INDEX(TransTypes[],Transactions[[#This Row],[TTR]],TT_COL_LONGORSHORT)="S",
      IF( OR(INDEX(TransTypes[],Transactions[[#This Row],[TTR]],TT_COL_GLFlag)=1, INDEX(TransTypes[], Transactions[[#This Row],[TTR]], TT_COL_ShareTransferFlag)=1),
            Transactions[[#This Row],[CostImpact]]*-1,
            Transactions[[#This Row],[CalCashImpact]]
      ),
     0
)</f>
        <v>0</v>
      </c>
      <c r="Y773" s="168" t="str">
        <f>VLOOKUP(Transactions[[#This Row],[Symbol]],Symbols[], COLUMN(Symbols[Currency])-COLUMN(Symbols[])+1,FALSE)</f>
        <v>CNY</v>
      </c>
    </row>
    <row r="774" spans="1:25">
      <c r="A774" s="155" t="s">
        <v>82</v>
      </c>
      <c r="B774" s="156">
        <v>42267</v>
      </c>
      <c r="C774" s="155" t="s">
        <v>156</v>
      </c>
      <c r="D774" s="155"/>
      <c r="E774" s="155" t="s">
        <v>211</v>
      </c>
      <c r="F774" s="157">
        <v>270600</v>
      </c>
      <c r="G774" s="158">
        <f>Transactions[[#This Row],[Amount]]/Transactions[[#This Row],[Qty]]</f>
        <v>0.85395365853658534</v>
      </c>
      <c r="H774" s="157"/>
      <c r="I774" s="157"/>
      <c r="J774" s="159">
        <v>231079.86</v>
      </c>
      <c r="K774" s="6" t="s">
        <v>641</v>
      </c>
      <c r="L774" s="20">
        <f>IF(ISNA(MATCH(Transactions[[#This Row],[TransType]],TransTypes[TransType],0)),1,MATCH(Transactions[[#This Row],[TransType]],TransTypes[TransType],0))</f>
        <v>17</v>
      </c>
      <c r="M774" s="160">
        <f>IF( AND( INDEX(TransTypes[],Transactions[[#This Row],[TTR]],TT_COL_GLFlag)=1, INDEX(TransTypes[],Transactions[[#This Row],[TTR]],TT_COL_LONGORSHORT)="S" ),
      Transactions[[#This Row],[PL]],
      IF(INDEX(TransTypes[],Transactions[[#This Row],[TTR]],TT_COL_LONGORSHORT)="S",0,Transactions[[#This Row],[CalCashImpact]])
)</f>
        <v>-231079.86</v>
      </c>
      <c r="N774" s="161">
        <f>IF(VLOOKUP(Transactions[[#This Row],[Symbol]],Symbols[],COLUMN(Symbols[Currency])-COLUMN(Symbols[])+1,FALSE)=
       VLOOKUP(Transactions[[#This Row],[Account]],Accounts[],COLUMN(Accounts[Currency])-COLUMN(Accounts[])+1,FALSE),
     Transactions[[#This Row],[OrigCashImpact]],
     0
)</f>
        <v>-231079.86</v>
      </c>
      <c r="O7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287792.31999999995</v>
      </c>
      <c r="P7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74" s="41">
        <f>ROW()</f>
        <v>774</v>
      </c>
      <c r="S7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74" s="166">
        <f>IF(INDEX(TransTypes[],Transactions[[#This Row],[TTR]],TT_COL_GLFlag)=1,Transactions[[#This Row],[CalCashImpact]]+Transactions[[#This Row],[CostImpact]],0)</f>
        <v>0</v>
      </c>
      <c r="W774" s="167">
        <f>Transactions[[#This Row],[Amount]]*INDEX(TransTypes[],Transactions[[#This Row],[TTR]],TT_COL_AmntSign)</f>
        <v>-231079.86</v>
      </c>
      <c r="X774" s="167">
        <f>IF(INDEX(TransTypes[],Transactions[[#This Row],[TTR]],TT_COL_LONGORSHORT)="S",
      IF( OR(INDEX(TransTypes[],Transactions[[#This Row],[TTR]],TT_COL_GLFlag)=1, INDEX(TransTypes[], Transactions[[#This Row],[TTR]], TT_COL_ShareTransferFlag)=1),
            Transactions[[#This Row],[CostImpact]]*-1,
            Transactions[[#This Row],[CalCashImpact]]
      ),
     0
)</f>
        <v>0</v>
      </c>
      <c r="Y774" s="168" t="str">
        <f>VLOOKUP(Transactions[[#This Row],[Symbol]],Symbols[], COLUMN(Symbols[Currency])-COLUMN(Symbols[])+1,FALSE)</f>
        <v>CNY</v>
      </c>
    </row>
    <row r="775" spans="1:25">
      <c r="A775" s="155" t="s">
        <v>82</v>
      </c>
      <c r="B775" s="156">
        <v>42267</v>
      </c>
      <c r="C775" s="155" t="s">
        <v>239</v>
      </c>
      <c r="D775" s="155"/>
      <c r="E775" s="155" t="s">
        <v>210</v>
      </c>
      <c r="F775" s="157">
        <v>270600</v>
      </c>
      <c r="G775" s="158">
        <v>1</v>
      </c>
      <c r="H775" s="157"/>
      <c r="I775" s="157"/>
      <c r="J775" s="159">
        <v>270600</v>
      </c>
      <c r="K775" s="6" t="s">
        <v>641</v>
      </c>
      <c r="L775" s="20">
        <f>IF(ISNA(MATCH(Transactions[[#This Row],[TransType]],TransTypes[TransType],0)),1,MATCH(Transactions[[#This Row],[TransType]],TransTypes[TransType],0))</f>
        <v>18</v>
      </c>
      <c r="M775" s="160">
        <f>IF( AND( INDEX(TransTypes[],Transactions[[#This Row],[TTR]],TT_COL_GLFlag)=1, INDEX(TransTypes[],Transactions[[#This Row],[TTR]],TT_COL_LONGORSHORT)="S" ),
      Transactions[[#This Row],[PL]],
      IF(INDEX(TransTypes[],Transactions[[#This Row],[TTR]],TT_COL_LONGORSHORT)="S",0,Transactions[[#This Row],[CalCashImpact]])
)</f>
        <v>270600</v>
      </c>
      <c r="N775" s="161">
        <f>IF(VLOOKUP(Transactions[[#This Row],[Symbol]],Symbols[],COLUMN(Symbols[Currency])-COLUMN(Symbols[])+1,FALSE)=
       VLOOKUP(Transactions[[#This Row],[Account]],Accounts[],COLUMN(Accounts[Currency])-COLUMN(Accounts[])+1,FALSE),
     Transactions[[#This Row],[OrigCashImpact]],
     0
)</f>
        <v>0</v>
      </c>
      <c r="O7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287792.31999999995</v>
      </c>
      <c r="P7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75" s="41">
        <f>ROW()</f>
        <v>775</v>
      </c>
      <c r="S7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75" s="166">
        <f>IF(INDEX(TransTypes[],Transactions[[#This Row],[TTR]],TT_COL_GLFlag)=1,Transactions[[#This Row],[CalCashImpact]]+Transactions[[#This Row],[CostImpact]],0)</f>
        <v>0</v>
      </c>
      <c r="W775" s="167">
        <f>Transactions[[#This Row],[Amount]]*INDEX(TransTypes[],Transactions[[#This Row],[TTR]],TT_COL_AmntSign)</f>
        <v>270600</v>
      </c>
      <c r="X775" s="167">
        <f>IF(INDEX(TransTypes[],Transactions[[#This Row],[TTR]],TT_COL_LONGORSHORT)="S",
      IF( OR(INDEX(TransTypes[],Transactions[[#This Row],[TTR]],TT_COL_GLFlag)=1, INDEX(TransTypes[], Transactions[[#This Row],[TTR]], TT_COL_ShareTransferFlag)=1),
            Transactions[[#This Row],[CostImpact]]*-1,
            Transactions[[#This Row],[CalCashImpact]]
      ),
     0
)</f>
        <v>0</v>
      </c>
      <c r="Y775" s="168" t="str">
        <f>VLOOKUP(Transactions[[#This Row],[Symbol]],Symbols[], COLUMN(Symbols[Currency])-COLUMN(Symbols[])+1,FALSE)</f>
        <v>HKD</v>
      </c>
    </row>
    <row r="776" spans="1:25">
      <c r="A776" s="155" t="s">
        <v>82</v>
      </c>
      <c r="B776" s="156">
        <v>42268</v>
      </c>
      <c r="C776" s="155" t="s">
        <v>113</v>
      </c>
      <c r="D776" s="155"/>
      <c r="E776" s="155" t="s">
        <v>647</v>
      </c>
      <c r="F776" s="157">
        <v>2000</v>
      </c>
      <c r="G776" s="158">
        <v>31.11</v>
      </c>
      <c r="H776" s="157">
        <v>0</v>
      </c>
      <c r="I776" s="157"/>
      <c r="J776" s="159">
        <v>62220</v>
      </c>
      <c r="K776" s="6" t="s">
        <v>641</v>
      </c>
      <c r="L776" s="20">
        <f>IF(ISNA(MATCH(Transactions[[#This Row],[TransType]],TransTypes[TransType],0)),1,MATCH(Transactions[[#This Row],[TransType]],TransTypes[TransType],0))</f>
        <v>2</v>
      </c>
      <c r="M776" s="160">
        <f>IF( AND( INDEX(TransTypes[],Transactions[[#This Row],[TTR]],TT_COL_GLFlag)=1, INDEX(TransTypes[],Transactions[[#This Row],[TTR]],TT_COL_LONGORSHORT)="S" ),
      Transactions[[#This Row],[PL]],
      IF(INDEX(TransTypes[],Transactions[[#This Row],[TTR]],TT_COL_LONGORSHORT)="S",0,Transactions[[#This Row],[CalCashImpact]])
)</f>
        <v>-62220</v>
      </c>
      <c r="N776" s="161">
        <f>IF(VLOOKUP(Transactions[[#This Row],[Symbol]],Symbols[],COLUMN(Symbols[Currency])-COLUMN(Symbols[])+1,FALSE)=
       VLOOKUP(Transactions[[#This Row],[Account]],Accounts[],COLUMN(Accounts[Currency])-COLUMN(Accounts[])+1,FALSE),
     Transactions[[#This Row],[OrigCashImpact]],
     0
)</f>
        <v>-62220</v>
      </c>
      <c r="O7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225572.31999999995</v>
      </c>
      <c r="P7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7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76" s="41">
        <f>ROW()</f>
        <v>776</v>
      </c>
      <c r="S7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62220</v>
      </c>
      <c r="T7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62220</v>
      </c>
      <c r="U7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76" s="166">
        <f>IF(INDEX(TransTypes[],Transactions[[#This Row],[TTR]],TT_COL_GLFlag)=1,Transactions[[#This Row],[CalCashImpact]]+Transactions[[#This Row],[CostImpact]],0)</f>
        <v>0</v>
      </c>
      <c r="W776" s="167">
        <f>Transactions[[#This Row],[Amount]]*INDEX(TransTypes[],Transactions[[#This Row],[TTR]],TT_COL_AmntSign)</f>
        <v>-62220</v>
      </c>
      <c r="X776" s="167">
        <f>IF(INDEX(TransTypes[],Transactions[[#This Row],[TTR]],TT_COL_LONGORSHORT)="S",
      IF( OR(INDEX(TransTypes[],Transactions[[#This Row],[TTR]],TT_COL_GLFlag)=1, INDEX(TransTypes[], Transactions[[#This Row],[TTR]], TT_COL_ShareTransferFlag)=1),
            Transactions[[#This Row],[CostImpact]]*-1,
            Transactions[[#This Row],[CalCashImpact]]
      ),
     0
)</f>
        <v>0</v>
      </c>
      <c r="Y776" s="168" t="str">
        <f>VLOOKUP(Transactions[[#This Row],[Symbol]],Symbols[], COLUMN(Symbols[Currency])-COLUMN(Symbols[])+1,FALSE)</f>
        <v>CNY</v>
      </c>
    </row>
    <row r="777" spans="1:25">
      <c r="A777" s="155" t="s">
        <v>82</v>
      </c>
      <c r="B777" s="156">
        <v>42268</v>
      </c>
      <c r="C777" s="155" t="s">
        <v>115</v>
      </c>
      <c r="D777" s="155"/>
      <c r="E777" s="155" t="s">
        <v>643</v>
      </c>
      <c r="F777" s="157">
        <v>2000</v>
      </c>
      <c r="G777" s="158">
        <v>9.17</v>
      </c>
      <c r="H777" s="157">
        <v>0</v>
      </c>
      <c r="I777" s="157"/>
      <c r="J777" s="159">
        <v>18340</v>
      </c>
      <c r="K777" s="6" t="s">
        <v>641</v>
      </c>
      <c r="L777" s="20">
        <f>IF(ISNA(MATCH(Transactions[[#This Row],[TransType]],TransTypes[TransType],0)),1,MATCH(Transactions[[#This Row],[TransType]],TransTypes[TransType],0))</f>
        <v>3</v>
      </c>
      <c r="M777" s="160">
        <f>IF( AND( INDEX(TransTypes[],Transactions[[#This Row],[TTR]],TT_COL_GLFlag)=1, INDEX(TransTypes[],Transactions[[#This Row],[TTR]],TT_COL_LONGORSHORT)="S" ),
      Transactions[[#This Row],[PL]],
      IF(INDEX(TransTypes[],Transactions[[#This Row],[TTR]],TT_COL_LONGORSHORT)="S",0,Transactions[[#This Row],[CalCashImpact]])
)</f>
        <v>18340</v>
      </c>
      <c r="N777" s="161">
        <f>IF(VLOOKUP(Transactions[[#This Row],[Symbol]],Symbols[],COLUMN(Symbols[Currency])-COLUMN(Symbols[])+1,FALSE)=
       VLOOKUP(Transactions[[#This Row],[Account]],Accounts[],COLUMN(Accounts[Currency])-COLUMN(Accounts[])+1,FALSE),
     Transactions[[#This Row],[OrigCashImpact]],
     0
)</f>
        <v>18340</v>
      </c>
      <c r="O7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243912.31999999995</v>
      </c>
      <c r="P7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7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77" s="41">
        <f>ROW()</f>
        <v>777</v>
      </c>
      <c r="S7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-15920</v>
      </c>
      <c r="T7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77" s="166">
        <f>IF(INDEX(TransTypes[],Transactions[[#This Row],[TTR]],TT_COL_GLFlag)=1,Transactions[[#This Row],[CalCashImpact]]+Transactions[[#This Row],[CostImpact]],0)</f>
        <v>2420</v>
      </c>
      <c r="W777" s="167">
        <f>Transactions[[#This Row],[Amount]]*INDEX(TransTypes[],Transactions[[#This Row],[TTR]],TT_COL_AmntSign)</f>
        <v>18340</v>
      </c>
      <c r="X777" s="167">
        <f>IF(INDEX(TransTypes[],Transactions[[#This Row],[TTR]],TT_COL_LONGORSHORT)="S",
      IF( OR(INDEX(TransTypes[],Transactions[[#This Row],[TTR]],TT_COL_GLFlag)=1, INDEX(TransTypes[], Transactions[[#This Row],[TTR]], TT_COL_ShareTransferFlag)=1),
            Transactions[[#This Row],[CostImpact]]*-1,
            Transactions[[#This Row],[CalCashImpact]]
      ),
     0
)</f>
        <v>0</v>
      </c>
      <c r="Y777" s="168" t="str">
        <f>VLOOKUP(Transactions[[#This Row],[Symbol]],Symbols[], COLUMN(Symbols[Currency])-COLUMN(Symbols[])+1,FALSE)</f>
        <v>CNY</v>
      </c>
    </row>
    <row r="778" spans="1:25">
      <c r="A778" s="155" t="s">
        <v>82</v>
      </c>
      <c r="B778" s="156">
        <v>42268</v>
      </c>
      <c r="C778" s="155" t="s">
        <v>113</v>
      </c>
      <c r="D778" s="155"/>
      <c r="E778" s="155" t="s">
        <v>646</v>
      </c>
      <c r="F778" s="157">
        <v>1000</v>
      </c>
      <c r="G778" s="158">
        <v>132.80000000000001</v>
      </c>
      <c r="H778" s="157">
        <v>0</v>
      </c>
      <c r="I778" s="157"/>
      <c r="J778" s="159">
        <v>132800</v>
      </c>
      <c r="K778" s="6" t="s">
        <v>641</v>
      </c>
      <c r="L778" s="20">
        <f>IF(ISNA(MATCH(Transactions[[#This Row],[TransType]],TransTypes[TransType],0)),1,MATCH(Transactions[[#This Row],[TransType]],TransTypes[TransType],0))</f>
        <v>2</v>
      </c>
      <c r="M778" s="160">
        <f>IF( AND( INDEX(TransTypes[],Transactions[[#This Row],[TTR]],TT_COL_GLFlag)=1, INDEX(TransTypes[],Transactions[[#This Row],[TTR]],TT_COL_LONGORSHORT)="S" ),
      Transactions[[#This Row],[PL]],
      IF(INDEX(TransTypes[],Transactions[[#This Row],[TTR]],TT_COL_LONGORSHORT)="S",0,Transactions[[#This Row],[CalCashImpact]])
)</f>
        <v>-132800</v>
      </c>
      <c r="N778" s="161">
        <f>IF(VLOOKUP(Transactions[[#This Row],[Symbol]],Symbols[],COLUMN(Symbols[Currency])-COLUMN(Symbols[])+1,FALSE)=
       VLOOKUP(Transactions[[#This Row],[Account]],Accounts[],COLUMN(Accounts[Currency])-COLUMN(Accounts[])+1,FALSE),
     Transactions[[#This Row],[OrigCashImpact]],
     0
)</f>
        <v>0</v>
      </c>
      <c r="O7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243912.31999999995</v>
      </c>
      <c r="P7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78" s="41">
        <f>ROW()</f>
        <v>778</v>
      </c>
      <c r="S7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132800</v>
      </c>
      <c r="T7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266724</v>
      </c>
      <c r="U7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78" s="166">
        <f>IF(INDEX(TransTypes[],Transactions[[#This Row],[TTR]],TT_COL_GLFlag)=1,Transactions[[#This Row],[CalCashImpact]]+Transactions[[#This Row],[CostImpact]],0)</f>
        <v>0</v>
      </c>
      <c r="W778" s="167">
        <f>Transactions[[#This Row],[Amount]]*INDEX(TransTypes[],Transactions[[#This Row],[TTR]],TT_COL_AmntSign)</f>
        <v>-132800</v>
      </c>
      <c r="X778" s="167">
        <f>IF(INDEX(TransTypes[],Transactions[[#This Row],[TTR]],TT_COL_LONGORSHORT)="S",
      IF( OR(INDEX(TransTypes[],Transactions[[#This Row],[TTR]],TT_COL_GLFlag)=1, INDEX(TransTypes[], Transactions[[#This Row],[TTR]], TT_COL_ShareTransferFlag)=1),
            Transactions[[#This Row],[CostImpact]]*-1,
            Transactions[[#This Row],[CalCashImpact]]
      ),
     0
)</f>
        <v>0</v>
      </c>
      <c r="Y778" s="168" t="str">
        <f>VLOOKUP(Transactions[[#This Row],[Symbol]],Symbols[], COLUMN(Symbols[Currency])-COLUMN(Symbols[])+1,FALSE)</f>
        <v>HKD</v>
      </c>
    </row>
    <row r="779" spans="1:25">
      <c r="A779" s="155" t="s">
        <v>82</v>
      </c>
      <c r="B779" s="156">
        <v>42268</v>
      </c>
      <c r="C779" s="155" t="s">
        <v>113</v>
      </c>
      <c r="D779" s="155"/>
      <c r="E779" s="155" t="s">
        <v>645</v>
      </c>
      <c r="F779" s="157">
        <v>10000</v>
      </c>
      <c r="G779" s="158">
        <v>13.82</v>
      </c>
      <c r="H779" s="157">
        <v>0</v>
      </c>
      <c r="I779" s="157"/>
      <c r="J779" s="159">
        <v>138200</v>
      </c>
      <c r="K779" s="6" t="s">
        <v>641</v>
      </c>
      <c r="L779" s="20">
        <f>IF(ISNA(MATCH(Transactions[[#This Row],[TransType]],TransTypes[TransType],0)),1,MATCH(Transactions[[#This Row],[TransType]],TransTypes[TransType],0))</f>
        <v>2</v>
      </c>
      <c r="M779" s="160">
        <f>IF( AND( INDEX(TransTypes[],Transactions[[#This Row],[TTR]],TT_COL_GLFlag)=1, INDEX(TransTypes[],Transactions[[#This Row],[TTR]],TT_COL_LONGORSHORT)="S" ),
      Transactions[[#This Row],[PL]],
      IF(INDEX(TransTypes[],Transactions[[#This Row],[TTR]],TT_COL_LONGORSHORT)="S",0,Transactions[[#This Row],[CalCashImpact]])
)</f>
        <v>-138200</v>
      </c>
      <c r="N779" s="161">
        <f>IF(VLOOKUP(Transactions[[#This Row],[Symbol]],Symbols[],COLUMN(Symbols[Currency])-COLUMN(Symbols[])+1,FALSE)=
       VLOOKUP(Transactions[[#This Row],[Account]],Accounts[],COLUMN(Accounts[Currency])-COLUMN(Accounts[])+1,FALSE),
     Transactions[[#This Row],[OrigCashImpact]],
     0
)</f>
        <v>0</v>
      </c>
      <c r="O7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243912.31999999995</v>
      </c>
      <c r="P7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7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779" s="41">
        <f>ROW()</f>
        <v>779</v>
      </c>
      <c r="S7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138200</v>
      </c>
      <c r="T7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275930</v>
      </c>
      <c r="U7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779" s="166">
        <f>IF(INDEX(TransTypes[],Transactions[[#This Row],[TTR]],TT_COL_GLFlag)=1,Transactions[[#This Row],[CalCashImpact]]+Transactions[[#This Row],[CostImpact]],0)</f>
        <v>0</v>
      </c>
      <c r="W779" s="167">
        <f>Transactions[[#This Row],[Amount]]*INDEX(TransTypes[],Transactions[[#This Row],[TTR]],TT_COL_AmntSign)</f>
        <v>-138200</v>
      </c>
      <c r="X779" s="167">
        <f>IF(INDEX(TransTypes[],Transactions[[#This Row],[TTR]],TT_COL_LONGORSHORT)="S",
      IF( OR(INDEX(TransTypes[],Transactions[[#This Row],[TTR]],TT_COL_GLFlag)=1, INDEX(TransTypes[], Transactions[[#This Row],[TTR]], TT_COL_ShareTransferFlag)=1),
            Transactions[[#This Row],[CostImpact]]*-1,
            Transactions[[#This Row],[CalCashImpact]]
      ),
     0
)</f>
        <v>0</v>
      </c>
      <c r="Y779" s="168" t="str">
        <f>VLOOKUP(Transactions[[#This Row],[Symbol]],Symbols[], COLUMN(Symbols[Currency])-COLUMN(Symbols[])+1,FALSE)</f>
        <v>HKD</v>
      </c>
    </row>
    <row r="780" spans="1:25">
      <c r="A780" s="155" t="s">
        <v>82</v>
      </c>
      <c r="B780" s="156">
        <v>42270</v>
      </c>
      <c r="C780" s="155" t="s">
        <v>113</v>
      </c>
      <c r="D780" s="155"/>
      <c r="E780" s="155" t="s">
        <v>642</v>
      </c>
      <c r="F780" s="157">
        <v>1100</v>
      </c>
      <c r="G780" s="158">
        <v>25.83</v>
      </c>
      <c r="H780" s="157">
        <v>0</v>
      </c>
      <c r="I780" s="157"/>
      <c r="J780" s="159">
        <v>28413</v>
      </c>
      <c r="K780" s="6" t="s">
        <v>641</v>
      </c>
      <c r="L780" s="20">
        <f>IF(ISNA(MATCH(Transactions[[#This Row],[TransType]],TransTypes[TransType],0)),1,MATCH(Transactions[[#This Row],[TransType]],TransTypes[TransType],0))</f>
        <v>2</v>
      </c>
      <c r="M780" s="160">
        <f>IF( AND( INDEX(TransTypes[],Transactions[[#This Row],[TTR]],TT_COL_GLFlag)=1, INDEX(TransTypes[],Transactions[[#This Row],[TTR]],TT_COL_LONGORSHORT)="S" ),
      Transactions[[#This Row],[PL]],
      IF(INDEX(TransTypes[],Transactions[[#This Row],[TTR]],TT_COL_LONGORSHORT)="S",0,Transactions[[#This Row],[CalCashImpact]])
)</f>
        <v>-28413</v>
      </c>
      <c r="N780" s="161">
        <f>IF(VLOOKUP(Transactions[[#This Row],[Symbol]],Symbols[],COLUMN(Symbols[Currency])-COLUMN(Symbols[])+1,FALSE)=
       VLOOKUP(Transactions[[#This Row],[Account]],Accounts[],COLUMN(Accounts[Currency])-COLUMN(Accounts[])+1,FALSE),
     Transactions[[#This Row],[OrigCashImpact]],
     0
)</f>
        <v>-28413</v>
      </c>
      <c r="O7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215499.31999999995</v>
      </c>
      <c r="P7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1100</v>
      </c>
      <c r="Q7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2100</v>
      </c>
      <c r="R780" s="41">
        <f>ROW()</f>
        <v>780</v>
      </c>
      <c r="S7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28413</v>
      </c>
      <c r="T7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52863</v>
      </c>
      <c r="U7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2100</v>
      </c>
      <c r="V780" s="166">
        <f>IF(INDEX(TransTypes[],Transactions[[#This Row],[TTR]],TT_COL_GLFlag)=1,Transactions[[#This Row],[CalCashImpact]]+Transactions[[#This Row],[CostImpact]],0)</f>
        <v>0</v>
      </c>
      <c r="W780" s="167">
        <f>Transactions[[#This Row],[Amount]]*INDEX(TransTypes[],Transactions[[#This Row],[TTR]],TT_COL_AmntSign)</f>
        <v>-28413</v>
      </c>
      <c r="X780" s="167">
        <f>IF(INDEX(TransTypes[],Transactions[[#This Row],[TTR]],TT_COL_LONGORSHORT)="S",
      IF( OR(INDEX(TransTypes[],Transactions[[#This Row],[TTR]],TT_COL_GLFlag)=1, INDEX(TransTypes[], Transactions[[#This Row],[TTR]], TT_COL_ShareTransferFlag)=1),
            Transactions[[#This Row],[CostImpact]]*-1,
            Transactions[[#This Row],[CalCashImpact]]
      ),
     0
)</f>
        <v>0</v>
      </c>
      <c r="Y780" s="168" t="str">
        <f>VLOOKUP(Transactions[[#This Row],[Symbol]],Symbols[], COLUMN(Symbols[Currency])-COLUMN(Symbols[])+1,FALSE)</f>
        <v>CNY</v>
      </c>
    </row>
    <row r="781" spans="1:25">
      <c r="A781" s="155" t="s">
        <v>82</v>
      </c>
      <c r="B781" s="156">
        <v>42270</v>
      </c>
      <c r="C781" s="155" t="s">
        <v>113</v>
      </c>
      <c r="D781" s="155"/>
      <c r="E781" s="155" t="s">
        <v>642</v>
      </c>
      <c r="F781" s="157">
        <v>900</v>
      </c>
      <c r="G781" s="158">
        <v>25.84</v>
      </c>
      <c r="H781" s="157">
        <v>0</v>
      </c>
      <c r="I781" s="157"/>
      <c r="J781" s="159">
        <v>23256</v>
      </c>
      <c r="K781" s="6" t="s">
        <v>641</v>
      </c>
      <c r="L781" s="20">
        <f>IF(ISNA(MATCH(Transactions[[#This Row],[TransType]],TransTypes[TransType],0)),1,MATCH(Transactions[[#This Row],[TransType]],TransTypes[TransType],0))</f>
        <v>2</v>
      </c>
      <c r="M781" s="160">
        <f>IF( AND( INDEX(TransTypes[],Transactions[[#This Row],[TTR]],TT_COL_GLFlag)=1, INDEX(TransTypes[],Transactions[[#This Row],[TTR]],TT_COL_LONGORSHORT)="S" ),
      Transactions[[#This Row],[PL]],
      IF(INDEX(TransTypes[],Transactions[[#This Row],[TTR]],TT_COL_LONGORSHORT)="S",0,Transactions[[#This Row],[CalCashImpact]])
)</f>
        <v>-23256</v>
      </c>
      <c r="N781" s="161">
        <f>IF(VLOOKUP(Transactions[[#This Row],[Symbol]],Symbols[],COLUMN(Symbols[Currency])-COLUMN(Symbols[])+1,FALSE)=
       VLOOKUP(Transactions[[#This Row],[Account]],Accounts[],COLUMN(Accounts[Currency])-COLUMN(Accounts[])+1,FALSE),
     Transactions[[#This Row],[OrigCashImpact]],
     0
)</f>
        <v>-23256</v>
      </c>
      <c r="O7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192243.31999999995</v>
      </c>
      <c r="P7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900</v>
      </c>
      <c r="Q7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781" s="41">
        <f>ROW()</f>
        <v>781</v>
      </c>
      <c r="S7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23256</v>
      </c>
      <c r="T7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76119</v>
      </c>
      <c r="U7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781" s="166">
        <f>IF(INDEX(TransTypes[],Transactions[[#This Row],[TTR]],TT_COL_GLFlag)=1,Transactions[[#This Row],[CalCashImpact]]+Transactions[[#This Row],[CostImpact]],0)</f>
        <v>0</v>
      </c>
      <c r="W781" s="167">
        <f>Transactions[[#This Row],[Amount]]*INDEX(TransTypes[],Transactions[[#This Row],[TTR]],TT_COL_AmntSign)</f>
        <v>-23256</v>
      </c>
      <c r="X781" s="167">
        <f>IF(INDEX(TransTypes[],Transactions[[#This Row],[TTR]],TT_COL_LONGORSHORT)="S",
      IF( OR(INDEX(TransTypes[],Transactions[[#This Row],[TTR]],TT_COL_GLFlag)=1, INDEX(TransTypes[], Transactions[[#This Row],[TTR]], TT_COL_ShareTransferFlag)=1),
            Transactions[[#This Row],[CostImpact]]*-1,
            Transactions[[#This Row],[CalCashImpact]]
      ),
     0
)</f>
        <v>0</v>
      </c>
      <c r="Y781" s="168" t="str">
        <f>VLOOKUP(Transactions[[#This Row],[Symbol]],Symbols[], COLUMN(Symbols[Currency])-COLUMN(Symbols[])+1,FALSE)</f>
        <v>CNY</v>
      </c>
    </row>
    <row r="782" spans="1:25">
      <c r="A782" s="172" t="s">
        <v>82</v>
      </c>
      <c r="B782" s="173">
        <v>42270</v>
      </c>
      <c r="C782" s="172" t="s">
        <v>112</v>
      </c>
      <c r="D782" s="172"/>
      <c r="E782" s="172" t="s">
        <v>211</v>
      </c>
      <c r="F782" s="174"/>
      <c r="G782" s="175"/>
      <c r="H782" s="174"/>
      <c r="I782" s="174"/>
      <c r="J782" s="176">
        <v>1000000</v>
      </c>
      <c r="K782" s="6"/>
      <c r="L782" s="20">
        <f>IF(ISNA(MATCH(Transactions[[#This Row],[TransType]],TransTypes[TransType],0)),1,MATCH(Transactions[[#This Row],[TransType]],TransTypes[TransType],0))</f>
        <v>1</v>
      </c>
      <c r="M782" s="177">
        <f>IF( AND( INDEX(TransTypes[],Transactions[[#This Row],[TTR]],TT_COL_GLFlag)=1, INDEX(TransTypes[],Transactions[[#This Row],[TTR]],TT_COL_LONGORSHORT)="S" ),
      Transactions[[#This Row],[PL]],
      IF(INDEX(TransTypes[],Transactions[[#This Row],[TTR]],TT_COL_LONGORSHORT)="S",0,Transactions[[#This Row],[CalCashImpact]])
)</f>
        <v>1000000</v>
      </c>
      <c r="N782" s="178">
        <f>IF(VLOOKUP(Transactions[[#This Row],[Symbol]],Symbols[],COLUMN(Symbols[Currency])-COLUMN(Symbols[])+1,FALSE)=
       VLOOKUP(Transactions[[#This Row],[Account]],Accounts[],COLUMN(Accounts[Currency])-COLUMN(Accounts[])+1,FALSE),
     Transactions[[#This Row],[OrigCashImpact]],
     0
)</f>
        <v>1000000</v>
      </c>
      <c r="O782" s="17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1192243.3199999998</v>
      </c>
      <c r="P782" s="180">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82" s="181">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82" s="41">
        <f>ROW()</f>
        <v>782</v>
      </c>
      <c r="S7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82" s="182">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82" s="183">
        <f>IF(INDEX(TransTypes[],Transactions[[#This Row],[TTR]],TT_COL_GLFlag)=1,Transactions[[#This Row],[CalCashImpact]]+Transactions[[#This Row],[CostImpact]],0)</f>
        <v>0</v>
      </c>
      <c r="W782" s="184">
        <f>Transactions[[#This Row],[Amount]]*INDEX(TransTypes[],Transactions[[#This Row],[TTR]],TT_COL_AmntSign)</f>
        <v>1000000</v>
      </c>
      <c r="X782" s="184">
        <f>IF(INDEX(TransTypes[],Transactions[[#This Row],[TTR]],TT_COL_LONGORSHORT)="S",
      IF( OR(INDEX(TransTypes[],Transactions[[#This Row],[TTR]],TT_COL_GLFlag)=1, INDEX(TransTypes[], Transactions[[#This Row],[TTR]], TT_COL_ShareTransferFlag)=1),
            Transactions[[#This Row],[CostImpact]]*-1,
            Transactions[[#This Row],[CalCashImpact]]
      ),
     0
)</f>
        <v>0</v>
      </c>
      <c r="Y782" s="185" t="str">
        <f>VLOOKUP(Transactions[[#This Row],[Symbol]],Symbols[], COLUMN(Symbols[Currency])-COLUMN(Symbols[])+1,FALSE)</f>
        <v>CNY</v>
      </c>
    </row>
    <row r="783" spans="1:25">
      <c r="A783" s="155" t="s">
        <v>82</v>
      </c>
      <c r="B783" s="156">
        <v>42272</v>
      </c>
      <c r="C783" s="155" t="s">
        <v>113</v>
      </c>
      <c r="D783" s="155"/>
      <c r="E783" s="155" t="s">
        <v>642</v>
      </c>
      <c r="F783" s="157">
        <v>5000</v>
      </c>
      <c r="G783" s="158">
        <v>25.469000000000001</v>
      </c>
      <c r="H783" s="157">
        <v>127.35</v>
      </c>
      <c r="I783" s="157"/>
      <c r="J783" s="159">
        <v>127472.35</v>
      </c>
      <c r="K783" s="6" t="s">
        <v>641</v>
      </c>
      <c r="L783" s="20">
        <f>IF(ISNA(MATCH(Transactions[[#This Row],[TransType]],TransTypes[TransType],0)),1,MATCH(Transactions[[#This Row],[TransType]],TransTypes[TransType],0))</f>
        <v>2</v>
      </c>
      <c r="M783" s="160">
        <f>IF( AND( INDEX(TransTypes[],Transactions[[#This Row],[TTR]],TT_COL_GLFlag)=1, INDEX(TransTypes[],Transactions[[#This Row],[TTR]],TT_COL_LONGORSHORT)="S" ),
      Transactions[[#This Row],[PL]],
      IF(INDEX(TransTypes[],Transactions[[#This Row],[TTR]],TT_COL_LONGORSHORT)="S",0,Transactions[[#This Row],[CalCashImpact]])
)</f>
        <v>-127472.35</v>
      </c>
      <c r="N783" s="161">
        <f>IF(VLOOKUP(Transactions[[#This Row],[Symbol]],Symbols[],COLUMN(Symbols[Currency])-COLUMN(Symbols[])+1,FALSE)=
       VLOOKUP(Transactions[[#This Row],[Account]],Accounts[],COLUMN(Accounts[Currency])-COLUMN(Accounts[])+1,FALSE),
     Transactions[[#This Row],[OrigCashImpact]],
     0
)</f>
        <v>-127472.35</v>
      </c>
      <c r="O7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1064770.9699999997</v>
      </c>
      <c r="P7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7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783" s="41">
        <f>ROW()</f>
        <v>783</v>
      </c>
      <c r="S7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127472.35</v>
      </c>
      <c r="T7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203591.35</v>
      </c>
      <c r="U7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783" s="166">
        <f>IF(INDEX(TransTypes[],Transactions[[#This Row],[TTR]],TT_COL_GLFlag)=1,Transactions[[#This Row],[CalCashImpact]]+Transactions[[#This Row],[CostImpact]],0)</f>
        <v>0</v>
      </c>
      <c r="W783" s="167">
        <f>Transactions[[#This Row],[Amount]]*INDEX(TransTypes[],Transactions[[#This Row],[TTR]],TT_COL_AmntSign)</f>
        <v>-127472.35</v>
      </c>
      <c r="X783" s="167">
        <f>IF(INDEX(TransTypes[],Transactions[[#This Row],[TTR]],TT_COL_LONGORSHORT)="S",
      IF( OR(INDEX(TransTypes[],Transactions[[#This Row],[TTR]],TT_COL_GLFlag)=1, INDEX(TransTypes[], Transactions[[#This Row],[TTR]], TT_COL_ShareTransferFlag)=1),
            Transactions[[#This Row],[CostImpact]]*-1,
            Transactions[[#This Row],[CalCashImpact]]
      ),
     0
)</f>
        <v>0</v>
      </c>
      <c r="Y783" s="168" t="str">
        <f>VLOOKUP(Transactions[[#This Row],[Symbol]],Symbols[], COLUMN(Symbols[Currency])-COLUMN(Symbols[])+1,FALSE)</f>
        <v>CNY</v>
      </c>
    </row>
    <row r="784" spans="1:25">
      <c r="A784" s="155" t="s">
        <v>82</v>
      </c>
      <c r="B784" s="156">
        <v>42272</v>
      </c>
      <c r="C784" s="155" t="s">
        <v>113</v>
      </c>
      <c r="D784" s="155"/>
      <c r="E784" s="155" t="s">
        <v>644</v>
      </c>
      <c r="F784" s="157">
        <v>3000</v>
      </c>
      <c r="G784" s="158">
        <v>47.097000000000001</v>
      </c>
      <c r="H784" s="157">
        <v>141.29</v>
      </c>
      <c r="I784" s="157"/>
      <c r="J784" s="159">
        <v>141432.29</v>
      </c>
      <c r="K784" s="6" t="s">
        <v>641</v>
      </c>
      <c r="L784" s="20">
        <f>IF(ISNA(MATCH(Transactions[[#This Row],[TransType]],TransTypes[TransType],0)),1,MATCH(Transactions[[#This Row],[TransType]],TransTypes[TransType],0))</f>
        <v>2</v>
      </c>
      <c r="M784" s="160">
        <f>IF( AND( INDEX(TransTypes[],Transactions[[#This Row],[TTR]],TT_COL_GLFlag)=1, INDEX(TransTypes[],Transactions[[#This Row],[TTR]],TT_COL_LONGORSHORT)="S" ),
      Transactions[[#This Row],[PL]],
      IF(INDEX(TransTypes[],Transactions[[#This Row],[TTR]],TT_COL_LONGORSHORT)="S",0,Transactions[[#This Row],[CalCashImpact]])
)</f>
        <v>-141432.29</v>
      </c>
      <c r="N784" s="161">
        <f>IF(VLOOKUP(Transactions[[#This Row],[Symbol]],Symbols[],COLUMN(Symbols[Currency])-COLUMN(Symbols[])+1,FALSE)=
       VLOOKUP(Transactions[[#This Row],[Account]],Accounts[],COLUMN(Accounts[Currency])-COLUMN(Accounts[])+1,FALSE),
     Transactions[[#This Row],[OrigCashImpact]],
     0
)</f>
        <v>-141432.29</v>
      </c>
      <c r="O7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923338.67999999982</v>
      </c>
      <c r="P7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7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784" s="41">
        <f>ROW()</f>
        <v>784</v>
      </c>
      <c r="S7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141432.29</v>
      </c>
      <c r="T7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182602.29</v>
      </c>
      <c r="U7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784" s="166">
        <f>IF(INDEX(TransTypes[],Transactions[[#This Row],[TTR]],TT_COL_GLFlag)=1,Transactions[[#This Row],[CalCashImpact]]+Transactions[[#This Row],[CostImpact]],0)</f>
        <v>0</v>
      </c>
      <c r="W784" s="167">
        <f>Transactions[[#This Row],[Amount]]*INDEX(TransTypes[],Transactions[[#This Row],[TTR]],TT_COL_AmntSign)</f>
        <v>-141432.29</v>
      </c>
      <c r="X784" s="167">
        <f>IF(INDEX(TransTypes[],Transactions[[#This Row],[TTR]],TT_COL_LONGORSHORT)="S",
      IF( OR(INDEX(TransTypes[],Transactions[[#This Row],[TTR]],TT_COL_GLFlag)=1, INDEX(TransTypes[], Transactions[[#This Row],[TTR]], TT_COL_ShareTransferFlag)=1),
            Transactions[[#This Row],[CostImpact]]*-1,
            Transactions[[#This Row],[CalCashImpact]]
      ),
     0
)</f>
        <v>0</v>
      </c>
      <c r="Y784" s="168" t="str">
        <f>VLOOKUP(Transactions[[#This Row],[Symbol]],Symbols[], COLUMN(Symbols[Currency])-COLUMN(Symbols[])+1,FALSE)</f>
        <v>CNY</v>
      </c>
    </row>
    <row r="785" spans="1:25">
      <c r="A785" s="155" t="s">
        <v>82</v>
      </c>
      <c r="B785" s="156">
        <v>42272</v>
      </c>
      <c r="C785" s="155" t="s">
        <v>113</v>
      </c>
      <c r="D785" s="155"/>
      <c r="E785" s="155" t="s">
        <v>647</v>
      </c>
      <c r="F785" s="157">
        <v>4000</v>
      </c>
      <c r="G785" s="158">
        <v>30.922999999999998</v>
      </c>
      <c r="H785" s="157">
        <v>123.69</v>
      </c>
      <c r="I785" s="157"/>
      <c r="J785" s="159">
        <v>123815.69</v>
      </c>
      <c r="K785" s="6" t="s">
        <v>641</v>
      </c>
      <c r="L785" s="20">
        <f>IF(ISNA(MATCH(Transactions[[#This Row],[TransType]],TransTypes[TransType],0)),1,MATCH(Transactions[[#This Row],[TransType]],TransTypes[TransType],0))</f>
        <v>2</v>
      </c>
      <c r="M785" s="160">
        <f>IF( AND( INDEX(TransTypes[],Transactions[[#This Row],[TTR]],TT_COL_GLFlag)=1, INDEX(TransTypes[],Transactions[[#This Row],[TTR]],TT_COL_LONGORSHORT)="S" ),
      Transactions[[#This Row],[PL]],
      IF(INDEX(TransTypes[],Transactions[[#This Row],[TTR]],TT_COL_LONGORSHORT)="S",0,Transactions[[#This Row],[CalCashImpact]])
)</f>
        <v>-123815.69</v>
      </c>
      <c r="N785" s="161">
        <f>IF(VLOOKUP(Transactions[[#This Row],[Symbol]],Symbols[],COLUMN(Symbols[Currency])-COLUMN(Symbols[])+1,FALSE)=
       VLOOKUP(Transactions[[#This Row],[Account]],Accounts[],COLUMN(Accounts[Currency])-COLUMN(Accounts[])+1,FALSE),
     Transactions[[#This Row],[OrigCashImpact]],
     0
)</f>
        <v>-123815.69</v>
      </c>
      <c r="O7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799522.98999999976</v>
      </c>
      <c r="P7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7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785" s="41">
        <f>ROW()</f>
        <v>785</v>
      </c>
      <c r="S7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123815.69</v>
      </c>
      <c r="T7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186035.69</v>
      </c>
      <c r="U7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785" s="166">
        <f>IF(INDEX(TransTypes[],Transactions[[#This Row],[TTR]],TT_COL_GLFlag)=1,Transactions[[#This Row],[CalCashImpact]]+Transactions[[#This Row],[CostImpact]],0)</f>
        <v>0</v>
      </c>
      <c r="W785" s="167">
        <f>Transactions[[#This Row],[Amount]]*INDEX(TransTypes[],Transactions[[#This Row],[TTR]],TT_COL_AmntSign)</f>
        <v>-123815.69</v>
      </c>
      <c r="X785" s="167">
        <f>IF(INDEX(TransTypes[],Transactions[[#This Row],[TTR]],TT_COL_LONGORSHORT)="S",
      IF( OR(INDEX(TransTypes[],Transactions[[#This Row],[TTR]],TT_COL_GLFlag)=1, INDEX(TransTypes[], Transactions[[#This Row],[TTR]], TT_COL_ShareTransferFlag)=1),
            Transactions[[#This Row],[CostImpact]]*-1,
            Transactions[[#This Row],[CalCashImpact]]
      ),
     0
)</f>
        <v>0</v>
      </c>
      <c r="Y785" s="168" t="str">
        <f>VLOOKUP(Transactions[[#This Row],[Symbol]],Symbols[], COLUMN(Symbols[Currency])-COLUMN(Symbols[])+1,FALSE)</f>
        <v>CNY</v>
      </c>
    </row>
    <row r="786" spans="1:25">
      <c r="A786" s="155" t="s">
        <v>82</v>
      </c>
      <c r="B786" s="156">
        <v>42274</v>
      </c>
      <c r="C786" s="155" t="s">
        <v>113</v>
      </c>
      <c r="D786" s="155"/>
      <c r="E786" s="155" t="s">
        <v>648</v>
      </c>
      <c r="F786" s="157">
        <v>5000</v>
      </c>
      <c r="G786" s="158">
        <v>9.06</v>
      </c>
      <c r="H786" s="157">
        <v>0</v>
      </c>
      <c r="I786" s="157"/>
      <c r="J786" s="159">
        <v>45300</v>
      </c>
      <c r="K786" s="6" t="s">
        <v>641</v>
      </c>
      <c r="L786" s="20">
        <f>IF(ISNA(MATCH(Transactions[[#This Row],[TransType]],TransTypes[TransType],0)),1,MATCH(Transactions[[#This Row],[TransType]],TransTypes[TransType],0))</f>
        <v>2</v>
      </c>
      <c r="M786" s="160">
        <f>IF( AND( INDEX(TransTypes[],Transactions[[#This Row],[TTR]],TT_COL_GLFlag)=1, INDEX(TransTypes[],Transactions[[#This Row],[TTR]],TT_COL_LONGORSHORT)="S" ),
      Transactions[[#This Row],[PL]],
      IF(INDEX(TransTypes[],Transactions[[#This Row],[TTR]],TT_COL_LONGORSHORT)="S",0,Transactions[[#This Row],[CalCashImpact]])
)</f>
        <v>-45300</v>
      </c>
      <c r="N786" s="161">
        <f>IF(VLOOKUP(Transactions[[#This Row],[Symbol]],Symbols[],COLUMN(Symbols[Currency])-COLUMN(Symbols[])+1,FALSE)=
       VLOOKUP(Transactions[[#This Row],[Account]],Accounts[],COLUMN(Accounts[Currency])-COLUMN(Accounts[])+1,FALSE),
     Transactions[[#This Row],[OrigCashImpact]],
     0
)</f>
        <v>-45300</v>
      </c>
      <c r="O7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754222.98999999976</v>
      </c>
      <c r="P7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7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786" s="41">
        <f>ROW()</f>
        <v>786</v>
      </c>
      <c r="S7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45300</v>
      </c>
      <c r="T7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45300</v>
      </c>
      <c r="U7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786" s="166">
        <f>IF(INDEX(TransTypes[],Transactions[[#This Row],[TTR]],TT_COL_GLFlag)=1,Transactions[[#This Row],[CalCashImpact]]+Transactions[[#This Row],[CostImpact]],0)</f>
        <v>0</v>
      </c>
      <c r="W786" s="167">
        <f>Transactions[[#This Row],[Amount]]*INDEX(TransTypes[],Transactions[[#This Row],[TTR]],TT_COL_AmntSign)</f>
        <v>-45300</v>
      </c>
      <c r="X786" s="167">
        <f>IF(INDEX(TransTypes[],Transactions[[#This Row],[TTR]],TT_COL_LONGORSHORT)="S",
      IF( OR(INDEX(TransTypes[],Transactions[[#This Row],[TTR]],TT_COL_GLFlag)=1, INDEX(TransTypes[], Transactions[[#This Row],[TTR]], TT_COL_ShareTransferFlag)=1),
            Transactions[[#This Row],[CostImpact]]*-1,
            Transactions[[#This Row],[CalCashImpact]]
      ),
     0
)</f>
        <v>0</v>
      </c>
      <c r="Y786" s="168" t="str">
        <f>VLOOKUP(Transactions[[#This Row],[Symbol]],Symbols[], COLUMN(Symbols[Currency])-COLUMN(Symbols[])+1,FALSE)</f>
        <v>CNY</v>
      </c>
    </row>
    <row r="787" spans="1:25">
      <c r="A787" s="155" t="s">
        <v>82</v>
      </c>
      <c r="B787" s="156">
        <v>42275</v>
      </c>
      <c r="C787" s="155" t="s">
        <v>115</v>
      </c>
      <c r="D787" s="155"/>
      <c r="E787" s="155" t="s">
        <v>647</v>
      </c>
      <c r="F787" s="157">
        <v>2000</v>
      </c>
      <c r="G787" s="158">
        <v>32.146000000000001</v>
      </c>
      <c r="H787" s="157">
        <v>0</v>
      </c>
      <c r="I787" s="157"/>
      <c r="J787" s="159">
        <v>64292</v>
      </c>
      <c r="K787" s="6" t="s">
        <v>641</v>
      </c>
      <c r="L787" s="20">
        <f>IF(ISNA(MATCH(Transactions[[#This Row],[TransType]],TransTypes[TransType],0)),1,MATCH(Transactions[[#This Row],[TransType]],TransTypes[TransType],0))</f>
        <v>3</v>
      </c>
      <c r="M787" s="160">
        <f>IF( AND( INDEX(TransTypes[],Transactions[[#This Row],[TTR]],TT_COL_GLFlag)=1, INDEX(TransTypes[],Transactions[[#This Row],[TTR]],TT_COL_LONGORSHORT)="S" ),
      Transactions[[#This Row],[PL]],
      IF(INDEX(TransTypes[],Transactions[[#This Row],[TTR]],TT_COL_LONGORSHORT)="S",0,Transactions[[#This Row],[CalCashImpact]])
)</f>
        <v>64292</v>
      </c>
      <c r="N787" s="161">
        <f>IF(VLOOKUP(Transactions[[#This Row],[Symbol]],Symbols[],COLUMN(Symbols[Currency])-COLUMN(Symbols[])+1,FALSE)=
       VLOOKUP(Transactions[[#This Row],[Account]],Accounts[],COLUMN(Accounts[Currency])-COLUMN(Accounts[])+1,FALSE),
     Transactions[[#This Row],[OrigCashImpact]],
     0
)</f>
        <v>64292</v>
      </c>
      <c r="O7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818514.98999999976</v>
      </c>
      <c r="P7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7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787" s="41">
        <f>ROW()</f>
        <v>787</v>
      </c>
      <c r="S7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-62011.896666666667</v>
      </c>
      <c r="T7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124023.79333333333</v>
      </c>
      <c r="U7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787" s="166">
        <f>IF(INDEX(TransTypes[],Transactions[[#This Row],[TTR]],TT_COL_GLFlag)=1,Transactions[[#This Row],[CalCashImpact]]+Transactions[[#This Row],[CostImpact]],0)</f>
        <v>2280.1033333333326</v>
      </c>
      <c r="W787" s="167">
        <f>Transactions[[#This Row],[Amount]]*INDEX(TransTypes[],Transactions[[#This Row],[TTR]],TT_COL_AmntSign)</f>
        <v>64292</v>
      </c>
      <c r="X787" s="167">
        <f>IF(INDEX(TransTypes[],Transactions[[#This Row],[TTR]],TT_COL_LONGORSHORT)="S",
      IF( OR(INDEX(TransTypes[],Transactions[[#This Row],[TTR]],TT_COL_GLFlag)=1, INDEX(TransTypes[], Transactions[[#This Row],[TTR]], TT_COL_ShareTransferFlag)=1),
            Transactions[[#This Row],[CostImpact]]*-1,
            Transactions[[#This Row],[CalCashImpact]]
      ),
     0
)</f>
        <v>0</v>
      </c>
      <c r="Y787" s="168" t="str">
        <f>VLOOKUP(Transactions[[#This Row],[Symbol]],Symbols[], COLUMN(Symbols[Currency])-COLUMN(Symbols[])+1,FALSE)</f>
        <v>CNY</v>
      </c>
    </row>
    <row r="788" spans="1:25">
      <c r="A788" s="155" t="s">
        <v>82</v>
      </c>
      <c r="B788" s="156">
        <v>42275</v>
      </c>
      <c r="C788" s="155" t="s">
        <v>115</v>
      </c>
      <c r="D788" s="155"/>
      <c r="E788" s="155" t="s">
        <v>642</v>
      </c>
      <c r="F788" s="157">
        <v>4000</v>
      </c>
      <c r="G788" s="158">
        <v>25.183</v>
      </c>
      <c r="H788" s="157">
        <v>0</v>
      </c>
      <c r="I788" s="157"/>
      <c r="J788" s="159">
        <v>100732</v>
      </c>
      <c r="K788" s="6" t="s">
        <v>641</v>
      </c>
      <c r="L788" s="20">
        <f>IF(ISNA(MATCH(Transactions[[#This Row],[TransType]],TransTypes[TransType],0)),1,MATCH(Transactions[[#This Row],[TransType]],TransTypes[TransType],0))</f>
        <v>3</v>
      </c>
      <c r="M788" s="160">
        <f>IF( AND( INDEX(TransTypes[],Transactions[[#This Row],[TTR]],TT_COL_GLFlag)=1, INDEX(TransTypes[],Transactions[[#This Row],[TTR]],TT_COL_LONGORSHORT)="S" ),
      Transactions[[#This Row],[PL]],
      IF(INDEX(TransTypes[],Transactions[[#This Row],[TTR]],TT_COL_LONGORSHORT)="S",0,Transactions[[#This Row],[CalCashImpact]])
)</f>
        <v>100732</v>
      </c>
      <c r="N788" s="161">
        <f>IF(VLOOKUP(Transactions[[#This Row],[Symbol]],Symbols[],COLUMN(Symbols[Currency])-COLUMN(Symbols[])+1,FALSE)=
       VLOOKUP(Transactions[[#This Row],[Account]],Accounts[],COLUMN(Accounts[Currency])-COLUMN(Accounts[])+1,FALSE),
     Transactions[[#This Row],[OrigCashImpact]],
     0
)</f>
        <v>100732</v>
      </c>
      <c r="O7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919246.98999999976</v>
      </c>
      <c r="P7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7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788" s="41">
        <f>ROW()</f>
        <v>788</v>
      </c>
      <c r="S7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-101795.675</v>
      </c>
      <c r="T7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101795.675</v>
      </c>
      <c r="U7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788" s="166">
        <f>IF(INDEX(TransTypes[],Transactions[[#This Row],[TTR]],TT_COL_GLFlag)=1,Transactions[[#This Row],[CalCashImpact]]+Transactions[[#This Row],[CostImpact]],0)</f>
        <v>-1063.6750000000029</v>
      </c>
      <c r="W788" s="167">
        <f>Transactions[[#This Row],[Amount]]*INDEX(TransTypes[],Transactions[[#This Row],[TTR]],TT_COL_AmntSign)</f>
        <v>100732</v>
      </c>
      <c r="X788" s="167">
        <f>IF(INDEX(TransTypes[],Transactions[[#This Row],[TTR]],TT_COL_LONGORSHORT)="S",
      IF( OR(INDEX(TransTypes[],Transactions[[#This Row],[TTR]],TT_COL_GLFlag)=1, INDEX(TransTypes[], Transactions[[#This Row],[TTR]], TT_COL_ShareTransferFlag)=1),
            Transactions[[#This Row],[CostImpact]]*-1,
            Transactions[[#This Row],[CalCashImpact]]
      ),
     0
)</f>
        <v>0</v>
      </c>
      <c r="Y788" s="168" t="str">
        <f>VLOOKUP(Transactions[[#This Row],[Symbol]],Symbols[], COLUMN(Symbols[Currency])-COLUMN(Symbols[])+1,FALSE)</f>
        <v>CNY</v>
      </c>
    </row>
    <row r="789" spans="1:25">
      <c r="A789" s="155" t="s">
        <v>82</v>
      </c>
      <c r="B789" s="156">
        <v>42275</v>
      </c>
      <c r="C789" s="155" t="s">
        <v>115</v>
      </c>
      <c r="D789" s="155"/>
      <c r="E789" s="155" t="s">
        <v>644</v>
      </c>
      <c r="F789" s="157">
        <v>2000</v>
      </c>
      <c r="G789" s="158">
        <v>52.13</v>
      </c>
      <c r="H789" s="157">
        <v>0</v>
      </c>
      <c r="I789" s="157"/>
      <c r="J789" s="159">
        <v>104260</v>
      </c>
      <c r="K789" s="6" t="s">
        <v>641</v>
      </c>
      <c r="L789" s="20">
        <f>IF(ISNA(MATCH(Transactions[[#This Row],[TransType]],TransTypes[TransType],0)),1,MATCH(Transactions[[#This Row],[TransType]],TransTypes[TransType],0))</f>
        <v>3</v>
      </c>
      <c r="M789" s="160">
        <f>IF( AND( INDEX(TransTypes[],Transactions[[#This Row],[TTR]],TT_COL_GLFlag)=1, INDEX(TransTypes[],Transactions[[#This Row],[TTR]],TT_COL_LONGORSHORT)="S" ),
      Transactions[[#This Row],[PL]],
      IF(INDEX(TransTypes[],Transactions[[#This Row],[TTR]],TT_COL_LONGORSHORT)="S",0,Transactions[[#This Row],[CalCashImpact]])
)</f>
        <v>104260</v>
      </c>
      <c r="N789" s="161">
        <f>IF(VLOOKUP(Transactions[[#This Row],[Symbol]],Symbols[],COLUMN(Symbols[Currency])-COLUMN(Symbols[])+1,FALSE)=
       VLOOKUP(Transactions[[#This Row],[Account]],Accounts[],COLUMN(Accounts[Currency])-COLUMN(Accounts[])+1,FALSE),
     Transactions[[#This Row],[OrigCashImpact]],
     0
)</f>
        <v>104260</v>
      </c>
      <c r="O7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1023506.9899999998</v>
      </c>
      <c r="P7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7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89" s="41">
        <f>ROW()</f>
        <v>789</v>
      </c>
      <c r="S7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-91301.145000000004</v>
      </c>
      <c r="T7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91301.145000000004</v>
      </c>
      <c r="U7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789" s="166">
        <f>IF(INDEX(TransTypes[],Transactions[[#This Row],[TTR]],TT_COL_GLFlag)=1,Transactions[[#This Row],[CalCashImpact]]+Transactions[[#This Row],[CostImpact]],0)</f>
        <v>12958.854999999996</v>
      </c>
      <c r="W789" s="167">
        <f>Transactions[[#This Row],[Amount]]*INDEX(TransTypes[],Transactions[[#This Row],[TTR]],TT_COL_AmntSign)</f>
        <v>104260</v>
      </c>
      <c r="X789" s="167">
        <f>IF(INDEX(TransTypes[],Transactions[[#This Row],[TTR]],TT_COL_LONGORSHORT)="S",
      IF( OR(INDEX(TransTypes[],Transactions[[#This Row],[TTR]],TT_COL_GLFlag)=1, INDEX(TransTypes[], Transactions[[#This Row],[TTR]], TT_COL_ShareTransferFlag)=1),
            Transactions[[#This Row],[CostImpact]]*-1,
            Transactions[[#This Row],[CalCashImpact]]
      ),
     0
)</f>
        <v>0</v>
      </c>
      <c r="Y789" s="168" t="str">
        <f>VLOOKUP(Transactions[[#This Row],[Symbol]],Symbols[], COLUMN(Symbols[Currency])-COLUMN(Symbols[])+1,FALSE)</f>
        <v>CNY</v>
      </c>
    </row>
    <row r="790" spans="1:25">
      <c r="A790" s="155" t="s">
        <v>82</v>
      </c>
      <c r="B790" s="156">
        <v>42285</v>
      </c>
      <c r="C790" s="155" t="s">
        <v>113</v>
      </c>
      <c r="D790" s="155"/>
      <c r="E790" s="155" t="s">
        <v>649</v>
      </c>
      <c r="F790" s="157">
        <v>3000</v>
      </c>
      <c r="G790" s="158">
        <v>44.01</v>
      </c>
      <c r="H790" s="157">
        <v>0</v>
      </c>
      <c r="I790" s="157"/>
      <c r="J790" s="159">
        <v>132030</v>
      </c>
      <c r="K790" s="6" t="s">
        <v>641</v>
      </c>
      <c r="L790" s="20">
        <f>IF(ISNA(MATCH(Transactions[[#This Row],[TransType]],TransTypes[TransType],0)),1,MATCH(Transactions[[#This Row],[TransType]],TransTypes[TransType],0))</f>
        <v>2</v>
      </c>
      <c r="M790" s="160">
        <f>IF( AND( INDEX(TransTypes[],Transactions[[#This Row],[TTR]],TT_COL_GLFlag)=1, INDEX(TransTypes[],Transactions[[#This Row],[TTR]],TT_COL_LONGORSHORT)="S" ),
      Transactions[[#This Row],[PL]],
      IF(INDEX(TransTypes[],Transactions[[#This Row],[TTR]],TT_COL_LONGORSHORT)="S",0,Transactions[[#This Row],[CalCashImpact]])
)</f>
        <v>-132030</v>
      </c>
      <c r="N790" s="161">
        <f>IF(VLOOKUP(Transactions[[#This Row],[Symbol]],Symbols[],COLUMN(Symbols[Currency])-COLUMN(Symbols[])+1,FALSE)=
       VLOOKUP(Transactions[[#This Row],[Account]],Accounts[],COLUMN(Accounts[Currency])-COLUMN(Accounts[])+1,FALSE),
     Transactions[[#This Row],[OrigCashImpact]],
     0
)</f>
        <v>-132030</v>
      </c>
      <c r="O7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891476.98999999976</v>
      </c>
      <c r="P7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7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790" s="41">
        <f>ROW()</f>
        <v>790</v>
      </c>
      <c r="S7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132030</v>
      </c>
      <c r="T7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132030</v>
      </c>
      <c r="U7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790" s="166">
        <f>IF(INDEX(TransTypes[],Transactions[[#This Row],[TTR]],TT_COL_GLFlag)=1,Transactions[[#This Row],[CalCashImpact]]+Transactions[[#This Row],[CostImpact]],0)</f>
        <v>0</v>
      </c>
      <c r="W790" s="167">
        <f>Transactions[[#This Row],[Amount]]*INDEX(TransTypes[],Transactions[[#This Row],[TTR]],TT_COL_AmntSign)</f>
        <v>-132030</v>
      </c>
      <c r="X790" s="167">
        <f>IF(INDEX(TransTypes[],Transactions[[#This Row],[TTR]],TT_COL_LONGORSHORT)="S",
      IF( OR(INDEX(TransTypes[],Transactions[[#This Row],[TTR]],TT_COL_GLFlag)=1, INDEX(TransTypes[], Transactions[[#This Row],[TTR]], TT_COL_ShareTransferFlag)=1),
            Transactions[[#This Row],[CostImpact]]*-1,
            Transactions[[#This Row],[CalCashImpact]]
      ),
     0
)</f>
        <v>0</v>
      </c>
      <c r="Y790" s="168" t="str">
        <f>VLOOKUP(Transactions[[#This Row],[Symbol]],Symbols[], COLUMN(Symbols[Currency])-COLUMN(Symbols[])+1,FALSE)</f>
        <v>CNY</v>
      </c>
    </row>
    <row r="791" spans="1:25">
      <c r="A791" s="155" t="s">
        <v>82</v>
      </c>
      <c r="B791" s="156">
        <v>42292</v>
      </c>
      <c r="C791" s="155" t="s">
        <v>113</v>
      </c>
      <c r="D791" s="155"/>
      <c r="E791" s="155" t="s">
        <v>650</v>
      </c>
      <c r="F791" s="157">
        <v>2000</v>
      </c>
      <c r="G791" s="158">
        <v>27.51</v>
      </c>
      <c r="H791" s="157">
        <v>0</v>
      </c>
      <c r="I791" s="157"/>
      <c r="J791" s="159">
        <v>55020</v>
      </c>
      <c r="K791" s="6" t="s">
        <v>641</v>
      </c>
      <c r="L791" s="20">
        <f>IF(ISNA(MATCH(Transactions[[#This Row],[TransType]],TransTypes[TransType],0)),1,MATCH(Transactions[[#This Row],[TransType]],TransTypes[TransType],0))</f>
        <v>2</v>
      </c>
      <c r="M791" s="160">
        <f>IF( AND( INDEX(TransTypes[],Transactions[[#This Row],[TTR]],TT_COL_GLFlag)=1, INDEX(TransTypes[],Transactions[[#This Row],[TTR]],TT_COL_LONGORSHORT)="S" ),
      Transactions[[#This Row],[PL]],
      IF(INDEX(TransTypes[],Transactions[[#This Row],[TTR]],TT_COL_LONGORSHORT)="S",0,Transactions[[#This Row],[CalCashImpact]])
)</f>
        <v>-55020</v>
      </c>
      <c r="N791" s="161">
        <f>IF(VLOOKUP(Transactions[[#This Row],[Symbol]],Symbols[],COLUMN(Symbols[Currency])-COLUMN(Symbols[])+1,FALSE)=
       VLOOKUP(Transactions[[#This Row],[Account]],Accounts[],COLUMN(Accounts[Currency])-COLUMN(Accounts[])+1,FALSE),
     Transactions[[#This Row],[OrigCashImpact]],
     0
)</f>
        <v>-55020</v>
      </c>
      <c r="O7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836456.98999999976</v>
      </c>
      <c r="P7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7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91" s="41">
        <f>ROW()</f>
        <v>791</v>
      </c>
      <c r="S7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55020</v>
      </c>
      <c r="T7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55020</v>
      </c>
      <c r="U7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91" s="166">
        <f>IF(INDEX(TransTypes[],Transactions[[#This Row],[TTR]],TT_COL_GLFlag)=1,Transactions[[#This Row],[CalCashImpact]]+Transactions[[#This Row],[CostImpact]],0)</f>
        <v>0</v>
      </c>
      <c r="W791" s="167">
        <f>Transactions[[#This Row],[Amount]]*INDEX(TransTypes[],Transactions[[#This Row],[TTR]],TT_COL_AmntSign)</f>
        <v>-55020</v>
      </c>
      <c r="X791" s="167">
        <f>IF(INDEX(TransTypes[],Transactions[[#This Row],[TTR]],TT_COL_LONGORSHORT)="S",
      IF( OR(INDEX(TransTypes[],Transactions[[#This Row],[TTR]],TT_COL_GLFlag)=1, INDEX(TransTypes[], Transactions[[#This Row],[TTR]], TT_COL_ShareTransferFlag)=1),
            Transactions[[#This Row],[CostImpact]]*-1,
            Transactions[[#This Row],[CalCashImpact]]
      ),
     0
)</f>
        <v>0</v>
      </c>
      <c r="Y791" s="168" t="str">
        <f>VLOOKUP(Transactions[[#This Row],[Symbol]],Symbols[], COLUMN(Symbols[Currency])-COLUMN(Symbols[])+1,FALSE)</f>
        <v>CNY</v>
      </c>
    </row>
    <row r="792" spans="1:25">
      <c r="A792" s="155" t="s">
        <v>82</v>
      </c>
      <c r="B792" s="156">
        <v>42292</v>
      </c>
      <c r="C792" s="155" t="s">
        <v>113</v>
      </c>
      <c r="D792" s="155"/>
      <c r="E792" s="155" t="s">
        <v>464</v>
      </c>
      <c r="F792" s="157">
        <v>700</v>
      </c>
      <c r="G792" s="158">
        <v>200.11799999999999</v>
      </c>
      <c r="H792" s="157">
        <v>0</v>
      </c>
      <c r="I792" s="157"/>
      <c r="J792" s="159">
        <v>140082.6</v>
      </c>
      <c r="K792" s="6" t="s">
        <v>641</v>
      </c>
      <c r="L792" s="20">
        <f>IF(ISNA(MATCH(Transactions[[#This Row],[TransType]],TransTypes[TransType],0)),1,MATCH(Transactions[[#This Row],[TransType]],TransTypes[TransType],0))</f>
        <v>2</v>
      </c>
      <c r="M792" s="160">
        <f>IF( AND( INDEX(TransTypes[],Transactions[[#This Row],[TTR]],TT_COL_GLFlag)=1, INDEX(TransTypes[],Transactions[[#This Row],[TTR]],TT_COL_LONGORSHORT)="S" ),
      Transactions[[#This Row],[PL]],
      IF(INDEX(TransTypes[],Transactions[[#This Row],[TTR]],TT_COL_LONGORSHORT)="S",0,Transactions[[#This Row],[CalCashImpact]])
)</f>
        <v>-140082.6</v>
      </c>
      <c r="N792" s="161">
        <f>IF(VLOOKUP(Transactions[[#This Row],[Symbol]],Symbols[],COLUMN(Symbols[Currency])-COLUMN(Symbols[])+1,FALSE)=
       VLOOKUP(Transactions[[#This Row],[Account]],Accounts[],COLUMN(Accounts[Currency])-COLUMN(Accounts[])+1,FALSE),
     Transactions[[#This Row],[OrigCashImpact]],
     0
)</f>
        <v>-140082.6</v>
      </c>
      <c r="O7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696374.38999999978</v>
      </c>
      <c r="P7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v>
      </c>
      <c r="Q7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792" s="41">
        <f>ROW()</f>
        <v>792</v>
      </c>
      <c r="S7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140082.6</v>
      </c>
      <c r="T7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197292.6</v>
      </c>
      <c r="U7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792" s="166">
        <f>IF(INDEX(TransTypes[],Transactions[[#This Row],[TTR]],TT_COL_GLFlag)=1,Transactions[[#This Row],[CalCashImpact]]+Transactions[[#This Row],[CostImpact]],0)</f>
        <v>0</v>
      </c>
      <c r="W792" s="167">
        <f>Transactions[[#This Row],[Amount]]*INDEX(TransTypes[],Transactions[[#This Row],[TTR]],TT_COL_AmntSign)</f>
        <v>-140082.6</v>
      </c>
      <c r="X792" s="167">
        <f>IF(INDEX(TransTypes[],Transactions[[#This Row],[TTR]],TT_COL_LONGORSHORT)="S",
      IF( OR(INDEX(TransTypes[],Transactions[[#This Row],[TTR]],TT_COL_GLFlag)=1, INDEX(TransTypes[], Transactions[[#This Row],[TTR]], TT_COL_ShareTransferFlag)=1),
            Transactions[[#This Row],[CostImpact]]*-1,
            Transactions[[#This Row],[CalCashImpact]]
      ),
     0
)</f>
        <v>0</v>
      </c>
      <c r="Y792" s="168" t="str">
        <f>VLOOKUP(Transactions[[#This Row],[Symbol]],Symbols[], COLUMN(Symbols[Currency])-COLUMN(Symbols[])+1,FALSE)</f>
        <v>CNY</v>
      </c>
    </row>
    <row r="793" spans="1:25">
      <c r="A793" s="155" t="s">
        <v>82</v>
      </c>
      <c r="B793" s="156">
        <v>42292</v>
      </c>
      <c r="C793" s="155" t="s">
        <v>115</v>
      </c>
      <c r="D793" s="155"/>
      <c r="E793" s="155" t="s">
        <v>644</v>
      </c>
      <c r="F793" s="157">
        <v>1000</v>
      </c>
      <c r="G793" s="158">
        <v>62.36</v>
      </c>
      <c r="H793" s="157">
        <v>0</v>
      </c>
      <c r="I793" s="157"/>
      <c r="J793" s="159">
        <v>62360</v>
      </c>
      <c r="K793" s="6" t="s">
        <v>641</v>
      </c>
      <c r="L793" s="20">
        <f>IF(ISNA(MATCH(Transactions[[#This Row],[TransType]],TransTypes[TransType],0)),1,MATCH(Transactions[[#This Row],[TransType]],TransTypes[TransType],0))</f>
        <v>3</v>
      </c>
      <c r="M793" s="160">
        <f>IF( AND( INDEX(TransTypes[],Transactions[[#This Row],[TTR]],TT_COL_GLFlag)=1, INDEX(TransTypes[],Transactions[[#This Row],[TTR]],TT_COL_LONGORSHORT)="S" ),
      Transactions[[#This Row],[PL]],
      IF(INDEX(TransTypes[],Transactions[[#This Row],[TTR]],TT_COL_LONGORSHORT)="S",0,Transactions[[#This Row],[CalCashImpact]])
)</f>
        <v>62360</v>
      </c>
      <c r="N793" s="161">
        <f>IF(VLOOKUP(Transactions[[#This Row],[Symbol]],Symbols[],COLUMN(Symbols[Currency])-COLUMN(Symbols[])+1,FALSE)=
       VLOOKUP(Transactions[[#This Row],[Account]],Accounts[],COLUMN(Accounts[Currency])-COLUMN(Accounts[])+1,FALSE),
     Transactions[[#This Row],[OrigCashImpact]],
     0
)</f>
        <v>62360</v>
      </c>
      <c r="O7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758734.38999999978</v>
      </c>
      <c r="P7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793" s="41">
        <f>ROW()</f>
        <v>793</v>
      </c>
      <c r="S7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-45650.572500000002</v>
      </c>
      <c r="T7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45650.572500000002</v>
      </c>
      <c r="U7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93" s="166">
        <f>IF(INDEX(TransTypes[],Transactions[[#This Row],[TTR]],TT_COL_GLFlag)=1,Transactions[[#This Row],[CalCashImpact]]+Transactions[[#This Row],[CostImpact]],0)</f>
        <v>16709.427499999998</v>
      </c>
      <c r="W793" s="167">
        <f>Transactions[[#This Row],[Amount]]*INDEX(TransTypes[],Transactions[[#This Row],[TTR]],TT_COL_AmntSign)</f>
        <v>62360</v>
      </c>
      <c r="X793" s="167">
        <f>IF(INDEX(TransTypes[],Transactions[[#This Row],[TTR]],TT_COL_LONGORSHORT)="S",
      IF( OR(INDEX(TransTypes[],Transactions[[#This Row],[TTR]],TT_COL_GLFlag)=1, INDEX(TransTypes[], Transactions[[#This Row],[TTR]], TT_COL_ShareTransferFlag)=1),
            Transactions[[#This Row],[CostImpact]]*-1,
            Transactions[[#This Row],[CalCashImpact]]
      ),
     0
)</f>
        <v>0</v>
      </c>
      <c r="Y793" s="168" t="str">
        <f>VLOOKUP(Transactions[[#This Row],[Symbol]],Symbols[], COLUMN(Symbols[Currency])-COLUMN(Symbols[])+1,FALSE)</f>
        <v>CNY</v>
      </c>
    </row>
    <row r="794" spans="1:25">
      <c r="A794" s="155" t="s">
        <v>82</v>
      </c>
      <c r="B794" s="156">
        <v>42292</v>
      </c>
      <c r="C794" s="155" t="s">
        <v>115</v>
      </c>
      <c r="D794" s="155"/>
      <c r="E794" s="155" t="s">
        <v>467</v>
      </c>
      <c r="F794" s="157">
        <v>1000</v>
      </c>
      <c r="G794" s="158">
        <v>52.23</v>
      </c>
      <c r="H794" s="157">
        <v>0</v>
      </c>
      <c r="I794" s="157"/>
      <c r="J794" s="159">
        <v>52230</v>
      </c>
      <c r="K794" s="6" t="s">
        <v>641</v>
      </c>
      <c r="L794" s="20">
        <f>IF(ISNA(MATCH(Transactions[[#This Row],[TransType]],TransTypes[TransType],0)),1,MATCH(Transactions[[#This Row],[TransType]],TransTypes[TransType],0))</f>
        <v>3</v>
      </c>
      <c r="M794" s="160">
        <f>IF( AND( INDEX(TransTypes[],Transactions[[#This Row],[TTR]],TT_COL_GLFlag)=1, INDEX(TransTypes[],Transactions[[#This Row],[TTR]],TT_COL_LONGORSHORT)="S" ),
      Transactions[[#This Row],[PL]],
      IF(INDEX(TransTypes[],Transactions[[#This Row],[TTR]],TT_COL_LONGORSHORT)="S",0,Transactions[[#This Row],[CalCashImpact]])
)</f>
        <v>52230</v>
      </c>
      <c r="N794" s="161">
        <f>IF(VLOOKUP(Transactions[[#This Row],[Symbol]],Symbols[],COLUMN(Symbols[Currency])-COLUMN(Symbols[])+1,FALSE)=
       VLOOKUP(Transactions[[#This Row],[Account]],Accounts[],COLUMN(Accounts[Currency])-COLUMN(Accounts[])+1,FALSE),
     Transactions[[#This Row],[OrigCashImpact]],
     0
)</f>
        <v>52230</v>
      </c>
      <c r="O7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810964.38999999978</v>
      </c>
      <c r="P7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7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794" s="41">
        <f>ROW()</f>
        <v>794</v>
      </c>
      <c r="S7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-32130.000000000004</v>
      </c>
      <c r="T7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32129.999999999996</v>
      </c>
      <c r="U7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794" s="166">
        <f>IF(INDEX(TransTypes[],Transactions[[#This Row],[TTR]],TT_COL_GLFlag)=1,Transactions[[#This Row],[CalCashImpact]]+Transactions[[#This Row],[CostImpact]],0)</f>
        <v>20099.999999999996</v>
      </c>
      <c r="W794" s="167">
        <f>Transactions[[#This Row],[Amount]]*INDEX(TransTypes[],Transactions[[#This Row],[TTR]],TT_COL_AmntSign)</f>
        <v>52230</v>
      </c>
      <c r="X794" s="167">
        <f>IF(INDEX(TransTypes[],Transactions[[#This Row],[TTR]],TT_COL_LONGORSHORT)="S",
      IF( OR(INDEX(TransTypes[],Transactions[[#This Row],[TTR]],TT_COL_GLFlag)=1, INDEX(TransTypes[], Transactions[[#This Row],[TTR]], TT_COL_ShareTransferFlag)=1),
            Transactions[[#This Row],[CostImpact]]*-1,
            Transactions[[#This Row],[CalCashImpact]]
      ),
     0
)</f>
        <v>0</v>
      </c>
      <c r="Y794" s="168" t="str">
        <f>VLOOKUP(Transactions[[#This Row],[Symbol]],Symbols[], COLUMN(Symbols[Currency])-COLUMN(Symbols[])+1,FALSE)</f>
        <v>CNY</v>
      </c>
    </row>
    <row r="795" spans="1:25">
      <c r="A795" s="155" t="s">
        <v>82</v>
      </c>
      <c r="B795" s="156">
        <v>42292</v>
      </c>
      <c r="C795" s="155" t="s">
        <v>156</v>
      </c>
      <c r="D795" s="155"/>
      <c r="E795" s="155" t="s">
        <v>211</v>
      </c>
      <c r="F795" s="157">
        <v>15430.4</v>
      </c>
      <c r="G795" s="158">
        <f>Transactions[[#This Row],[Amount]]/Transactions[[#This Row],[Qty]]</f>
        <v>0.79757426897552886</v>
      </c>
      <c r="H795" s="157"/>
      <c r="I795" s="157"/>
      <c r="J795" s="159">
        <v>12306.89</v>
      </c>
      <c r="K795" s="6" t="s">
        <v>651</v>
      </c>
      <c r="L795" s="20">
        <f>IF(ISNA(MATCH(Transactions[[#This Row],[TransType]],TransTypes[TransType],0)),1,MATCH(Transactions[[#This Row],[TransType]],TransTypes[TransType],0))</f>
        <v>17</v>
      </c>
      <c r="M795" s="160">
        <f>IF( AND( INDEX(TransTypes[],Transactions[[#This Row],[TTR]],TT_COL_GLFlag)=1, INDEX(TransTypes[],Transactions[[#This Row],[TTR]],TT_COL_LONGORSHORT)="S" ),
      Transactions[[#This Row],[PL]],
      IF(INDEX(TransTypes[],Transactions[[#This Row],[TTR]],TT_COL_LONGORSHORT)="S",0,Transactions[[#This Row],[CalCashImpact]])
)</f>
        <v>-12306.89</v>
      </c>
      <c r="N795" s="161">
        <f>IF(VLOOKUP(Transactions[[#This Row],[Symbol]],Symbols[],COLUMN(Symbols[Currency])-COLUMN(Symbols[])+1,FALSE)=
       VLOOKUP(Transactions[[#This Row],[Account]],Accounts[],COLUMN(Accounts[Currency])-COLUMN(Accounts[])+1,FALSE),
     Transactions[[#This Row],[OrigCashImpact]],
     0
)</f>
        <v>-12306.89</v>
      </c>
      <c r="O7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798657.49999999977</v>
      </c>
      <c r="P7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95" s="41">
        <f>ROW()</f>
        <v>795</v>
      </c>
      <c r="S7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95" s="166">
        <f>IF(INDEX(TransTypes[],Transactions[[#This Row],[TTR]],TT_COL_GLFlag)=1,Transactions[[#This Row],[CalCashImpact]]+Transactions[[#This Row],[CostImpact]],0)</f>
        <v>0</v>
      </c>
      <c r="W795" s="167">
        <f>Transactions[[#This Row],[Amount]]*INDEX(TransTypes[],Transactions[[#This Row],[TTR]],TT_COL_AmntSign)</f>
        <v>-12306.89</v>
      </c>
      <c r="X795" s="167">
        <f>IF(INDEX(TransTypes[],Transactions[[#This Row],[TTR]],TT_COL_LONGORSHORT)="S",
      IF( OR(INDEX(TransTypes[],Transactions[[#This Row],[TTR]],TT_COL_GLFlag)=1, INDEX(TransTypes[], Transactions[[#This Row],[TTR]], TT_COL_ShareTransferFlag)=1),
            Transactions[[#This Row],[CostImpact]]*-1,
            Transactions[[#This Row],[CalCashImpact]]
      ),
     0
)</f>
        <v>0</v>
      </c>
      <c r="Y795" s="168" t="str">
        <f>VLOOKUP(Transactions[[#This Row],[Symbol]],Symbols[], COLUMN(Symbols[Currency])-COLUMN(Symbols[])+1,FALSE)</f>
        <v>CNY</v>
      </c>
    </row>
    <row r="796" spans="1:25">
      <c r="A796" s="155" t="s">
        <v>82</v>
      </c>
      <c r="B796" s="156">
        <v>42292</v>
      </c>
      <c r="C796" s="155" t="s">
        <v>239</v>
      </c>
      <c r="D796" s="155"/>
      <c r="E796" s="155" t="s">
        <v>210</v>
      </c>
      <c r="F796" s="157">
        <v>15430.4</v>
      </c>
      <c r="G796" s="158">
        <v>1</v>
      </c>
      <c r="H796" s="157"/>
      <c r="I796" s="157"/>
      <c r="J796" s="159">
        <v>15430.4</v>
      </c>
      <c r="K796" s="6" t="s">
        <v>652</v>
      </c>
      <c r="L796" s="20">
        <f>IF(ISNA(MATCH(Transactions[[#This Row],[TransType]],TransTypes[TransType],0)),1,MATCH(Transactions[[#This Row],[TransType]],TransTypes[TransType],0))</f>
        <v>18</v>
      </c>
      <c r="M796" s="160">
        <f>IF( AND( INDEX(TransTypes[],Transactions[[#This Row],[TTR]],TT_COL_GLFlag)=1, INDEX(TransTypes[],Transactions[[#This Row],[TTR]],TT_COL_LONGORSHORT)="S" ),
      Transactions[[#This Row],[PL]],
      IF(INDEX(TransTypes[],Transactions[[#This Row],[TTR]],TT_COL_LONGORSHORT)="S",0,Transactions[[#This Row],[CalCashImpact]])
)</f>
        <v>15430.4</v>
      </c>
      <c r="N796" s="161">
        <f>IF(VLOOKUP(Transactions[[#This Row],[Symbol]],Symbols[],COLUMN(Symbols[Currency])-COLUMN(Symbols[])+1,FALSE)=
       VLOOKUP(Transactions[[#This Row],[Account]],Accounts[],COLUMN(Accounts[Currency])-COLUMN(Accounts[])+1,FALSE),
     Transactions[[#This Row],[OrigCashImpact]],
     0
)</f>
        <v>0</v>
      </c>
      <c r="O7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798657.49999999977</v>
      </c>
      <c r="P7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96" s="41">
        <f>ROW()</f>
        <v>796</v>
      </c>
      <c r="S7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96" s="166">
        <f>IF(INDEX(TransTypes[],Transactions[[#This Row],[TTR]],TT_COL_GLFlag)=1,Transactions[[#This Row],[CalCashImpact]]+Transactions[[#This Row],[CostImpact]],0)</f>
        <v>0</v>
      </c>
      <c r="W796" s="167">
        <f>Transactions[[#This Row],[Amount]]*INDEX(TransTypes[],Transactions[[#This Row],[TTR]],TT_COL_AmntSign)</f>
        <v>15430.4</v>
      </c>
      <c r="X796" s="167">
        <f>IF(INDEX(TransTypes[],Transactions[[#This Row],[TTR]],TT_COL_LONGORSHORT)="S",
      IF( OR(INDEX(TransTypes[],Transactions[[#This Row],[TTR]],TT_COL_GLFlag)=1, INDEX(TransTypes[], Transactions[[#This Row],[TTR]], TT_COL_ShareTransferFlag)=1),
            Transactions[[#This Row],[CostImpact]]*-1,
            Transactions[[#This Row],[CalCashImpact]]
      ),
     0
)</f>
        <v>0</v>
      </c>
      <c r="Y796" s="168" t="str">
        <f>VLOOKUP(Transactions[[#This Row],[Symbol]],Symbols[], COLUMN(Symbols[Currency])-COLUMN(Symbols[])+1,FALSE)</f>
        <v>HKD</v>
      </c>
    </row>
    <row r="797" spans="1:25">
      <c r="A797" s="155" t="s">
        <v>82</v>
      </c>
      <c r="B797" s="156">
        <v>42297</v>
      </c>
      <c r="C797" s="155" t="s">
        <v>112</v>
      </c>
      <c r="D797" s="155"/>
      <c r="E797" s="155" t="s">
        <v>211</v>
      </c>
      <c r="F797" s="157"/>
      <c r="G797" s="158"/>
      <c r="H797" s="157"/>
      <c r="I797" s="157"/>
      <c r="J797" s="159">
        <v>18338.39</v>
      </c>
      <c r="K797" s="6" t="s">
        <v>653</v>
      </c>
      <c r="L797" s="20">
        <f>IF(ISNA(MATCH(Transactions[[#This Row],[TransType]],TransTypes[TransType],0)),1,MATCH(Transactions[[#This Row],[TransType]],TransTypes[TransType],0))</f>
        <v>1</v>
      </c>
      <c r="M797" s="160">
        <f>IF( AND( INDEX(TransTypes[],Transactions[[#This Row],[TTR]],TT_COL_GLFlag)=1, INDEX(TransTypes[],Transactions[[#This Row],[TTR]],TT_COL_LONGORSHORT)="S" ),
      Transactions[[#This Row],[PL]],
      IF(INDEX(TransTypes[],Transactions[[#This Row],[TTR]],TT_COL_LONGORSHORT)="S",0,Transactions[[#This Row],[CalCashImpact]])
)</f>
        <v>18338.39</v>
      </c>
      <c r="N797" s="161">
        <f>IF(VLOOKUP(Transactions[[#This Row],[Symbol]],Symbols[],COLUMN(Symbols[Currency])-COLUMN(Symbols[])+1,FALSE)=
       VLOOKUP(Transactions[[#This Row],[Account]],Accounts[],COLUMN(Accounts[Currency])-COLUMN(Accounts[])+1,FALSE),
     Transactions[[#This Row],[OrigCashImpact]],
     0
)</f>
        <v>18338.39</v>
      </c>
      <c r="O7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816995.88999999978</v>
      </c>
      <c r="P7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7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97" s="41">
        <f>ROW()</f>
        <v>797</v>
      </c>
      <c r="S7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7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797" s="166">
        <f>IF(INDEX(TransTypes[],Transactions[[#This Row],[TTR]],TT_COL_GLFlag)=1,Transactions[[#This Row],[CalCashImpact]]+Transactions[[#This Row],[CostImpact]],0)</f>
        <v>0</v>
      </c>
      <c r="W797" s="167">
        <f>Transactions[[#This Row],[Amount]]*INDEX(TransTypes[],Transactions[[#This Row],[TTR]],TT_COL_AmntSign)</f>
        <v>18338.39</v>
      </c>
      <c r="X797" s="167">
        <f>IF(INDEX(TransTypes[],Transactions[[#This Row],[TTR]],TT_COL_LONGORSHORT)="S",
      IF( OR(INDEX(TransTypes[],Transactions[[#This Row],[TTR]],TT_COL_GLFlag)=1, INDEX(TransTypes[], Transactions[[#This Row],[TTR]], TT_COL_ShareTransferFlag)=1),
            Transactions[[#This Row],[CostImpact]]*-1,
            Transactions[[#This Row],[CalCashImpact]]
      ),
     0
)</f>
        <v>0</v>
      </c>
      <c r="Y797" s="168" t="str">
        <f>VLOOKUP(Transactions[[#This Row],[Symbol]],Symbols[], COLUMN(Symbols[Currency])-COLUMN(Symbols[])+1,FALSE)</f>
        <v>CNY</v>
      </c>
    </row>
    <row r="798" spans="1:25">
      <c r="A798" s="155" t="s">
        <v>82</v>
      </c>
      <c r="B798" s="156">
        <v>42299</v>
      </c>
      <c r="C798" s="155" t="s">
        <v>115</v>
      </c>
      <c r="D798" s="155"/>
      <c r="E798" s="155" t="s">
        <v>647</v>
      </c>
      <c r="F798" s="157">
        <v>4000</v>
      </c>
      <c r="G798" s="158">
        <v>32.880000000000003</v>
      </c>
      <c r="H798" s="157">
        <v>263.04000000000002</v>
      </c>
      <c r="I798" s="157"/>
      <c r="J798" s="159">
        <v>131256.95999999999</v>
      </c>
      <c r="K798" s="6" t="s">
        <v>641</v>
      </c>
      <c r="L798" s="20">
        <f>IF(ISNA(MATCH(Transactions[[#This Row],[TransType]],TransTypes[TransType],0)),1,MATCH(Transactions[[#This Row],[TransType]],TransTypes[TransType],0))</f>
        <v>3</v>
      </c>
      <c r="M798" s="160">
        <f>IF( AND( INDEX(TransTypes[],Transactions[[#This Row],[TTR]],TT_COL_GLFlag)=1, INDEX(TransTypes[],Transactions[[#This Row],[TTR]],TT_COL_LONGORSHORT)="S" ),
      Transactions[[#This Row],[PL]],
      IF(INDEX(TransTypes[],Transactions[[#This Row],[TTR]],TT_COL_LONGORSHORT)="S",0,Transactions[[#This Row],[CalCashImpact]])
)</f>
        <v>131256.95999999999</v>
      </c>
      <c r="N798" s="161">
        <f>IF(VLOOKUP(Transactions[[#This Row],[Symbol]],Symbols[],COLUMN(Symbols[Currency])-COLUMN(Symbols[])+1,FALSE)=
       VLOOKUP(Transactions[[#This Row],[Account]],Accounts[],COLUMN(Accounts[Currency])-COLUMN(Accounts[])+1,FALSE),
     Transactions[[#This Row],[OrigCashImpact]],
     0
)</f>
        <v>131256.95999999999</v>
      </c>
      <c r="O7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948252.84999999974</v>
      </c>
      <c r="P7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7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798" s="41">
        <f>ROW()</f>
        <v>798</v>
      </c>
      <c r="S7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-124023.79333333333</v>
      </c>
      <c r="T7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7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798" s="166">
        <f>IF(INDEX(TransTypes[],Transactions[[#This Row],[TTR]],TT_COL_GLFlag)=1,Transactions[[#This Row],[CalCashImpact]]+Transactions[[#This Row],[CostImpact]],0)</f>
        <v>7233.166666666657</v>
      </c>
      <c r="W798" s="167">
        <f>Transactions[[#This Row],[Amount]]*INDEX(TransTypes[],Transactions[[#This Row],[TTR]],TT_COL_AmntSign)</f>
        <v>131256.95999999999</v>
      </c>
      <c r="X798" s="167">
        <f>IF(INDEX(TransTypes[],Transactions[[#This Row],[TTR]],TT_COL_LONGORSHORT)="S",
      IF( OR(INDEX(TransTypes[],Transactions[[#This Row],[TTR]],TT_COL_GLFlag)=1, INDEX(TransTypes[], Transactions[[#This Row],[TTR]], TT_COL_ShareTransferFlag)=1),
            Transactions[[#This Row],[CostImpact]]*-1,
            Transactions[[#This Row],[CalCashImpact]]
      ),
     0
)</f>
        <v>0</v>
      </c>
      <c r="Y798" s="168" t="str">
        <f>VLOOKUP(Transactions[[#This Row],[Symbol]],Symbols[], COLUMN(Symbols[Currency])-COLUMN(Symbols[])+1,FALSE)</f>
        <v>CNY</v>
      </c>
    </row>
    <row r="799" spans="1:25">
      <c r="A799" s="155" t="s">
        <v>82</v>
      </c>
      <c r="B799" s="156">
        <v>42299</v>
      </c>
      <c r="C799" s="155" t="s">
        <v>115</v>
      </c>
      <c r="D799" s="155"/>
      <c r="E799" s="155" t="s">
        <v>648</v>
      </c>
      <c r="F799" s="157">
        <v>3000</v>
      </c>
      <c r="G799" s="158">
        <v>9.1300000000000008</v>
      </c>
      <c r="H799" s="157">
        <v>55.33</v>
      </c>
      <c r="I799" s="157"/>
      <c r="J799" s="159">
        <v>27334.67</v>
      </c>
      <c r="K799" s="6" t="s">
        <v>641</v>
      </c>
      <c r="L799" s="20">
        <f>IF(ISNA(MATCH(Transactions[[#This Row],[TransType]],TransTypes[TransType],0)),1,MATCH(Transactions[[#This Row],[TransType]],TransTypes[TransType],0))</f>
        <v>3</v>
      </c>
      <c r="M799" s="160">
        <f>IF( AND( INDEX(TransTypes[],Transactions[[#This Row],[TTR]],TT_COL_GLFlag)=1, INDEX(TransTypes[],Transactions[[#This Row],[TTR]],TT_COL_LONGORSHORT)="S" ),
      Transactions[[#This Row],[PL]],
      IF(INDEX(TransTypes[],Transactions[[#This Row],[TTR]],TT_COL_LONGORSHORT)="S",0,Transactions[[#This Row],[CalCashImpact]])
)</f>
        <v>27334.67</v>
      </c>
      <c r="N799" s="161">
        <f>IF(VLOOKUP(Transactions[[#This Row],[Symbol]],Symbols[],COLUMN(Symbols[Currency])-COLUMN(Symbols[])+1,FALSE)=
       VLOOKUP(Transactions[[#This Row],[Account]],Accounts[],COLUMN(Accounts[Currency])-COLUMN(Accounts[])+1,FALSE),
     Transactions[[#This Row],[OrigCashImpact]],
     0
)</f>
        <v>27334.67</v>
      </c>
      <c r="O7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975587.51999999979</v>
      </c>
      <c r="P7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7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799" s="41">
        <f>ROW()</f>
        <v>799</v>
      </c>
      <c r="S7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-27180</v>
      </c>
      <c r="T7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18120</v>
      </c>
      <c r="U7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799" s="166">
        <f>IF(INDEX(TransTypes[],Transactions[[#This Row],[TTR]],TT_COL_GLFlag)=1,Transactions[[#This Row],[CalCashImpact]]+Transactions[[#This Row],[CostImpact]],0)</f>
        <v>154.66999999999825</v>
      </c>
      <c r="W799" s="167">
        <f>Transactions[[#This Row],[Amount]]*INDEX(TransTypes[],Transactions[[#This Row],[TTR]],TT_COL_AmntSign)</f>
        <v>27334.67</v>
      </c>
      <c r="X799" s="167">
        <f>IF(INDEX(TransTypes[],Transactions[[#This Row],[TTR]],TT_COL_LONGORSHORT)="S",
      IF( OR(INDEX(TransTypes[],Transactions[[#This Row],[TTR]],TT_COL_GLFlag)=1, INDEX(TransTypes[], Transactions[[#This Row],[TTR]], TT_COL_ShareTransferFlag)=1),
            Transactions[[#This Row],[CostImpact]]*-1,
            Transactions[[#This Row],[CalCashImpact]]
      ),
     0
)</f>
        <v>0</v>
      </c>
      <c r="Y799" s="168" t="str">
        <f>VLOOKUP(Transactions[[#This Row],[Symbol]],Symbols[], COLUMN(Symbols[Currency])-COLUMN(Symbols[])+1,FALSE)</f>
        <v>CNY</v>
      </c>
    </row>
    <row r="800" spans="1:25">
      <c r="A800" s="155" t="s">
        <v>82</v>
      </c>
      <c r="B800" s="156">
        <v>42299</v>
      </c>
      <c r="C800" s="155" t="s">
        <v>115</v>
      </c>
      <c r="D800" s="155"/>
      <c r="E800" s="155" t="s">
        <v>464</v>
      </c>
      <c r="F800" s="157">
        <v>400</v>
      </c>
      <c r="G800" s="158">
        <v>201.77</v>
      </c>
      <c r="H800" s="157">
        <v>163.03</v>
      </c>
      <c r="I800" s="157"/>
      <c r="J800" s="159">
        <v>80544.97</v>
      </c>
      <c r="K800" s="6" t="s">
        <v>641</v>
      </c>
      <c r="L800" s="20">
        <f>IF(ISNA(MATCH(Transactions[[#This Row],[TransType]],TransTypes[TransType],0)),1,MATCH(Transactions[[#This Row],[TransType]],TransTypes[TransType],0))</f>
        <v>3</v>
      </c>
      <c r="M800" s="160">
        <f>IF( AND( INDEX(TransTypes[],Transactions[[#This Row],[TTR]],TT_COL_GLFlag)=1, INDEX(TransTypes[],Transactions[[#This Row],[TTR]],TT_COL_LONGORSHORT)="S" ),
      Transactions[[#This Row],[PL]],
      IF(INDEX(TransTypes[],Transactions[[#This Row],[TTR]],TT_COL_LONGORSHORT)="S",0,Transactions[[#This Row],[CalCashImpact]])
)</f>
        <v>80544.97</v>
      </c>
      <c r="N800" s="161">
        <f>IF(VLOOKUP(Transactions[[#This Row],[Symbol]],Symbols[],COLUMN(Symbols[Currency])-COLUMN(Symbols[])+1,FALSE)=
       VLOOKUP(Transactions[[#This Row],[Account]],Accounts[],COLUMN(Accounts[Currency])-COLUMN(Accounts[])+1,FALSE),
     Transactions[[#This Row],[OrigCashImpact]],
     0
)</f>
        <v>80544.97</v>
      </c>
      <c r="O8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1056132.4899999998</v>
      </c>
      <c r="P8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8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v>
      </c>
      <c r="R800" s="41">
        <f>ROW()</f>
        <v>800</v>
      </c>
      <c r="S8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-78917.039999999994</v>
      </c>
      <c r="T8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118375.56000000001</v>
      </c>
      <c r="U8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800" s="166">
        <f>IF(INDEX(TransTypes[],Transactions[[#This Row],[TTR]],TT_COL_GLFlag)=1,Transactions[[#This Row],[CalCashImpact]]+Transactions[[#This Row],[CostImpact]],0)</f>
        <v>1627.9300000000076</v>
      </c>
      <c r="W800" s="167">
        <f>Transactions[[#This Row],[Amount]]*INDEX(TransTypes[],Transactions[[#This Row],[TTR]],TT_COL_AmntSign)</f>
        <v>80544.97</v>
      </c>
      <c r="X800" s="167">
        <f>IF(INDEX(TransTypes[],Transactions[[#This Row],[TTR]],TT_COL_LONGORSHORT)="S",
      IF( OR(INDEX(TransTypes[],Transactions[[#This Row],[TTR]],TT_COL_GLFlag)=1, INDEX(TransTypes[], Transactions[[#This Row],[TTR]], TT_COL_ShareTransferFlag)=1),
            Transactions[[#This Row],[CostImpact]]*-1,
            Transactions[[#This Row],[CalCashImpact]]
      ),
     0
)</f>
        <v>0</v>
      </c>
      <c r="Y800" s="168" t="str">
        <f>VLOOKUP(Transactions[[#This Row],[Symbol]],Symbols[], COLUMN(Symbols[Currency])-COLUMN(Symbols[])+1,FALSE)</f>
        <v>CNY</v>
      </c>
    </row>
    <row r="801" spans="1:25">
      <c r="A801" s="155" t="s">
        <v>82</v>
      </c>
      <c r="B801" s="156">
        <v>42300</v>
      </c>
      <c r="C801" s="155" t="s">
        <v>119</v>
      </c>
      <c r="D801" s="155"/>
      <c r="E801" s="155" t="s">
        <v>211</v>
      </c>
      <c r="F801" s="157"/>
      <c r="G801" s="158"/>
      <c r="H801" s="157"/>
      <c r="I801" s="157"/>
      <c r="J801" s="159">
        <v>3132.82</v>
      </c>
      <c r="K801" s="6" t="s">
        <v>641</v>
      </c>
      <c r="L801" s="20">
        <f>IF(ISNA(MATCH(Transactions[[#This Row],[TransType]],TransTypes[TransType],0)),1,MATCH(Transactions[[#This Row],[TransType]],TransTypes[TransType],0))</f>
        <v>5</v>
      </c>
      <c r="M801" s="160">
        <f>IF( AND( INDEX(TransTypes[],Transactions[[#This Row],[TTR]],TT_COL_GLFlag)=1, INDEX(TransTypes[],Transactions[[#This Row],[TTR]],TT_COL_LONGORSHORT)="S" ),
      Transactions[[#This Row],[PL]],
      IF(INDEX(TransTypes[],Transactions[[#This Row],[TTR]],TT_COL_LONGORSHORT)="S",0,Transactions[[#This Row],[CalCashImpact]])
)</f>
        <v>-3132.82</v>
      </c>
      <c r="N801" s="161">
        <f>IF(VLOOKUP(Transactions[[#This Row],[Symbol]],Symbols[],COLUMN(Symbols[Currency])-COLUMN(Symbols[])+1,FALSE)=
       VLOOKUP(Transactions[[#This Row],[Account]],Accounts[],COLUMN(Accounts[Currency])-COLUMN(Accounts[])+1,FALSE),
     Transactions[[#This Row],[OrigCashImpact]],
     0
)</f>
        <v>-3132.82</v>
      </c>
      <c r="O8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1052999.6699999997</v>
      </c>
      <c r="P8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01" s="41">
        <f>ROW()</f>
        <v>801</v>
      </c>
      <c r="S8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01" s="166">
        <f>IF(INDEX(TransTypes[],Transactions[[#This Row],[TTR]],TT_COL_GLFlag)=1,Transactions[[#This Row],[CalCashImpact]]+Transactions[[#This Row],[CostImpact]],0)</f>
        <v>0</v>
      </c>
      <c r="W801" s="167">
        <f>Transactions[[#This Row],[Amount]]*INDEX(TransTypes[],Transactions[[#This Row],[TTR]],TT_COL_AmntSign)</f>
        <v>-3132.82</v>
      </c>
      <c r="X801" s="167">
        <f>IF(INDEX(TransTypes[],Transactions[[#This Row],[TTR]],TT_COL_LONGORSHORT)="S",
      IF( OR(INDEX(TransTypes[],Transactions[[#This Row],[TTR]],TT_COL_GLFlag)=1, INDEX(TransTypes[], Transactions[[#This Row],[TTR]], TT_COL_ShareTransferFlag)=1),
            Transactions[[#This Row],[CostImpact]]*-1,
            Transactions[[#This Row],[CalCashImpact]]
      ),
     0
)</f>
        <v>0</v>
      </c>
      <c r="Y801" s="168" t="str">
        <f>VLOOKUP(Transactions[[#This Row],[Symbol]],Symbols[], COLUMN(Symbols[Currency])-COLUMN(Symbols[])+1,FALSE)</f>
        <v>CNY</v>
      </c>
    </row>
    <row r="802" spans="1:25">
      <c r="A802" s="155" t="s">
        <v>82</v>
      </c>
      <c r="B802" s="156">
        <v>42300</v>
      </c>
      <c r="C802" s="155" t="s">
        <v>113</v>
      </c>
      <c r="D802" s="155"/>
      <c r="E802" s="155" t="s">
        <v>650</v>
      </c>
      <c r="F802" s="157">
        <v>3000</v>
      </c>
      <c r="G802" s="158">
        <v>25.48</v>
      </c>
      <c r="H802" s="157">
        <v>76.44</v>
      </c>
      <c r="I802" s="157"/>
      <c r="J802" s="159">
        <v>76516.44</v>
      </c>
      <c r="K802" s="6" t="s">
        <v>641</v>
      </c>
      <c r="L802" s="20">
        <f>IF(ISNA(MATCH(Transactions[[#This Row],[TransType]],TransTypes[TransType],0)),1,MATCH(Transactions[[#This Row],[TransType]],TransTypes[TransType],0))</f>
        <v>2</v>
      </c>
      <c r="M802" s="160">
        <f>IF( AND( INDEX(TransTypes[],Transactions[[#This Row],[TTR]],TT_COL_GLFlag)=1, INDEX(TransTypes[],Transactions[[#This Row],[TTR]],TT_COL_LONGORSHORT)="S" ),
      Transactions[[#This Row],[PL]],
      IF(INDEX(TransTypes[],Transactions[[#This Row],[TTR]],TT_COL_LONGORSHORT)="S",0,Transactions[[#This Row],[CalCashImpact]])
)</f>
        <v>-76516.44</v>
      </c>
      <c r="N802" s="161">
        <f>IF(VLOOKUP(Transactions[[#This Row],[Symbol]],Symbols[],COLUMN(Symbols[Currency])-COLUMN(Symbols[])+1,FALSE)=
       VLOOKUP(Transactions[[#This Row],[Account]],Accounts[],COLUMN(Accounts[Currency])-COLUMN(Accounts[])+1,FALSE),
     Transactions[[#This Row],[OrigCashImpact]],
     0
)</f>
        <v>-76516.44</v>
      </c>
      <c r="O8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976483.22999999975</v>
      </c>
      <c r="P8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8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802" s="41">
        <f>ROW()</f>
        <v>802</v>
      </c>
      <c r="S8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76516.44</v>
      </c>
      <c r="T8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131536.44</v>
      </c>
      <c r="U8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802" s="166">
        <f>IF(INDEX(TransTypes[],Transactions[[#This Row],[TTR]],TT_COL_GLFlag)=1,Transactions[[#This Row],[CalCashImpact]]+Transactions[[#This Row],[CostImpact]],0)</f>
        <v>0</v>
      </c>
      <c r="W802" s="167">
        <f>Transactions[[#This Row],[Amount]]*INDEX(TransTypes[],Transactions[[#This Row],[TTR]],TT_COL_AmntSign)</f>
        <v>-76516.44</v>
      </c>
      <c r="X802" s="167">
        <f>IF(INDEX(TransTypes[],Transactions[[#This Row],[TTR]],TT_COL_LONGORSHORT)="S",
      IF( OR(INDEX(TransTypes[],Transactions[[#This Row],[TTR]],TT_COL_GLFlag)=1, INDEX(TransTypes[], Transactions[[#This Row],[TTR]], TT_COL_ShareTransferFlag)=1),
            Transactions[[#This Row],[CostImpact]]*-1,
            Transactions[[#This Row],[CalCashImpact]]
      ),
     0
)</f>
        <v>0</v>
      </c>
      <c r="Y802" s="168" t="str">
        <f>VLOOKUP(Transactions[[#This Row],[Symbol]],Symbols[], COLUMN(Symbols[Currency])-COLUMN(Symbols[])+1,FALSE)</f>
        <v>CNY</v>
      </c>
    </row>
    <row r="803" spans="1:25">
      <c r="A803" s="155" t="s">
        <v>82</v>
      </c>
      <c r="B803" s="156">
        <v>42300</v>
      </c>
      <c r="C803" s="155" t="s">
        <v>113</v>
      </c>
      <c r="D803" s="155"/>
      <c r="E803" s="155" t="s">
        <v>464</v>
      </c>
      <c r="F803" s="157">
        <v>1000</v>
      </c>
      <c r="G803" s="158">
        <v>211.8</v>
      </c>
      <c r="H803" s="157">
        <v>216.04</v>
      </c>
      <c r="I803" s="157"/>
      <c r="J803" s="159">
        <v>212016.04</v>
      </c>
      <c r="K803" s="6" t="s">
        <v>641</v>
      </c>
      <c r="L803" s="20">
        <f>IF(ISNA(MATCH(Transactions[[#This Row],[TransType]],TransTypes[TransType],0)),1,MATCH(Transactions[[#This Row],[TransType]],TransTypes[TransType],0))</f>
        <v>2</v>
      </c>
      <c r="M803" s="160">
        <f>IF( AND( INDEX(TransTypes[],Transactions[[#This Row],[TTR]],TT_COL_GLFlag)=1, INDEX(TransTypes[],Transactions[[#This Row],[TTR]],TT_COL_LONGORSHORT)="S" ),
      Transactions[[#This Row],[PL]],
      IF(INDEX(TransTypes[],Transactions[[#This Row],[TTR]],TT_COL_LONGORSHORT)="S",0,Transactions[[#This Row],[CalCashImpact]])
)</f>
        <v>-212016.04</v>
      </c>
      <c r="N803" s="161">
        <f>IF(VLOOKUP(Transactions[[#This Row],[Symbol]],Symbols[],COLUMN(Symbols[Currency])-COLUMN(Symbols[])+1,FALSE)=
       VLOOKUP(Transactions[[#This Row],[Account]],Accounts[],COLUMN(Accounts[Currency])-COLUMN(Accounts[])+1,FALSE),
     Transactions[[#This Row],[OrigCashImpact]],
     0
)</f>
        <v>-212016.04</v>
      </c>
      <c r="O8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764467.18999999971</v>
      </c>
      <c r="P8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1600</v>
      </c>
      <c r="R803" s="41">
        <f>ROW()</f>
        <v>803</v>
      </c>
      <c r="S8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212016.04</v>
      </c>
      <c r="T8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330391.60000000003</v>
      </c>
      <c r="U8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v>
      </c>
      <c r="V803" s="166">
        <f>IF(INDEX(TransTypes[],Transactions[[#This Row],[TTR]],TT_COL_GLFlag)=1,Transactions[[#This Row],[CalCashImpact]]+Transactions[[#This Row],[CostImpact]],0)</f>
        <v>0</v>
      </c>
      <c r="W803" s="167">
        <f>Transactions[[#This Row],[Amount]]*INDEX(TransTypes[],Transactions[[#This Row],[TTR]],TT_COL_AmntSign)</f>
        <v>-212016.04</v>
      </c>
      <c r="X803" s="167">
        <f>IF(INDEX(TransTypes[],Transactions[[#This Row],[TTR]],TT_COL_LONGORSHORT)="S",
      IF( OR(INDEX(TransTypes[],Transactions[[#This Row],[TTR]],TT_COL_GLFlag)=1, INDEX(TransTypes[], Transactions[[#This Row],[TTR]], TT_COL_ShareTransferFlag)=1),
            Transactions[[#This Row],[CostImpact]]*-1,
            Transactions[[#This Row],[CalCashImpact]]
      ),
     0
)</f>
        <v>0</v>
      </c>
      <c r="Y803" s="168" t="str">
        <f>VLOOKUP(Transactions[[#This Row],[Symbol]],Symbols[], COLUMN(Symbols[Currency])-COLUMN(Symbols[])+1,FALSE)</f>
        <v>CNY</v>
      </c>
    </row>
    <row r="804" spans="1:25">
      <c r="A804" s="155" t="s">
        <v>82</v>
      </c>
      <c r="B804" s="156">
        <v>42303</v>
      </c>
      <c r="C804" s="155" t="s">
        <v>113</v>
      </c>
      <c r="D804" s="155"/>
      <c r="E804" s="155" t="s">
        <v>654</v>
      </c>
      <c r="F804" s="157">
        <v>280000</v>
      </c>
      <c r="G804" s="158">
        <v>1.1040000000000001</v>
      </c>
      <c r="H804" s="157">
        <v>309.12</v>
      </c>
      <c r="I804" s="157"/>
      <c r="J804" s="159">
        <v>309429.12</v>
      </c>
      <c r="K804" s="6" t="s">
        <v>641</v>
      </c>
      <c r="L804" s="20">
        <f>IF(ISNA(MATCH(Transactions[[#This Row],[TransType]],TransTypes[TransType],0)),1,MATCH(Transactions[[#This Row],[TransType]],TransTypes[TransType],0))</f>
        <v>2</v>
      </c>
      <c r="M804" s="160">
        <f>IF( AND( INDEX(TransTypes[],Transactions[[#This Row],[TTR]],TT_COL_GLFlag)=1, INDEX(TransTypes[],Transactions[[#This Row],[TTR]],TT_COL_LONGORSHORT)="S" ),
      Transactions[[#This Row],[PL]],
      IF(INDEX(TransTypes[],Transactions[[#This Row],[TTR]],TT_COL_LONGORSHORT)="S",0,Transactions[[#This Row],[CalCashImpact]])
)</f>
        <v>-309429.12</v>
      </c>
      <c r="N804" s="161">
        <f>IF(VLOOKUP(Transactions[[#This Row],[Symbol]],Symbols[],COLUMN(Symbols[Currency])-COLUMN(Symbols[])+1,FALSE)=
       VLOOKUP(Transactions[[#This Row],[Account]],Accounts[],COLUMN(Accounts[Currency])-COLUMN(Accounts[])+1,FALSE),
     Transactions[[#This Row],[OrigCashImpact]],
     0
)</f>
        <v>-309429.12</v>
      </c>
      <c r="O8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455038.06999999972</v>
      </c>
      <c r="P8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280000</v>
      </c>
      <c r="Q8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280000</v>
      </c>
      <c r="R804" s="41">
        <f>ROW()</f>
        <v>804</v>
      </c>
      <c r="S8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309429.12</v>
      </c>
      <c r="T8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309429.12</v>
      </c>
      <c r="U8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280000</v>
      </c>
      <c r="V804" s="166">
        <f>IF(INDEX(TransTypes[],Transactions[[#This Row],[TTR]],TT_COL_GLFlag)=1,Transactions[[#This Row],[CalCashImpact]]+Transactions[[#This Row],[CostImpact]],0)</f>
        <v>0</v>
      </c>
      <c r="W804" s="167">
        <f>Transactions[[#This Row],[Amount]]*INDEX(TransTypes[],Transactions[[#This Row],[TTR]],TT_COL_AmntSign)</f>
        <v>-309429.12</v>
      </c>
      <c r="X804" s="167">
        <f>IF(INDEX(TransTypes[],Transactions[[#This Row],[TTR]],TT_COL_LONGORSHORT)="S",
      IF( OR(INDEX(TransTypes[],Transactions[[#This Row],[TTR]],TT_COL_GLFlag)=1, INDEX(TransTypes[], Transactions[[#This Row],[TTR]], TT_COL_ShareTransferFlag)=1),
            Transactions[[#This Row],[CostImpact]]*-1,
            Transactions[[#This Row],[CalCashImpact]]
      ),
     0
)</f>
        <v>0</v>
      </c>
      <c r="Y804" s="168" t="str">
        <f>VLOOKUP(Transactions[[#This Row],[Symbol]],Symbols[], COLUMN(Symbols[Currency])-COLUMN(Symbols[])+1,FALSE)</f>
        <v>CNY</v>
      </c>
    </row>
    <row r="805" spans="1:25">
      <c r="A805" s="155" t="s">
        <v>82</v>
      </c>
      <c r="B805" s="156">
        <v>42303</v>
      </c>
      <c r="C805" s="155" t="s">
        <v>113</v>
      </c>
      <c r="D805" s="155"/>
      <c r="E805" s="155" t="s">
        <v>498</v>
      </c>
      <c r="F805" s="157">
        <v>1800</v>
      </c>
      <c r="G805" s="158">
        <v>102.92700000000001</v>
      </c>
      <c r="H805" s="157">
        <v>0</v>
      </c>
      <c r="I805" s="157"/>
      <c r="J805" s="159">
        <v>185268.6</v>
      </c>
      <c r="K805" s="6" t="s">
        <v>641</v>
      </c>
      <c r="L805" s="20">
        <f>IF(ISNA(MATCH(Transactions[[#This Row],[TransType]],TransTypes[TransType],0)),1,MATCH(Transactions[[#This Row],[TransType]],TransTypes[TransType],0))</f>
        <v>2</v>
      </c>
      <c r="M805" s="160">
        <f>IF( AND( INDEX(TransTypes[],Transactions[[#This Row],[TTR]],TT_COL_GLFlag)=1, INDEX(TransTypes[],Transactions[[#This Row],[TTR]],TT_COL_LONGORSHORT)="S" ),
      Transactions[[#This Row],[PL]],
      IF(INDEX(TransTypes[],Transactions[[#This Row],[TTR]],TT_COL_LONGORSHORT)="S",0,Transactions[[#This Row],[CalCashImpact]])
)</f>
        <v>-185268.6</v>
      </c>
      <c r="N805" s="161">
        <f>IF(VLOOKUP(Transactions[[#This Row],[Symbol]],Symbols[],COLUMN(Symbols[Currency])-COLUMN(Symbols[])+1,FALSE)=
       VLOOKUP(Transactions[[#This Row],[Account]],Accounts[],COLUMN(Accounts[Currency])-COLUMN(Accounts[])+1,FALSE),
     Transactions[[#This Row],[OrigCashImpact]],
     0
)</f>
        <v>-185268.6</v>
      </c>
      <c r="O8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269769.46999999974</v>
      </c>
      <c r="P8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1800</v>
      </c>
      <c r="Q8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v>
      </c>
      <c r="R805" s="41">
        <f>ROW()</f>
        <v>805</v>
      </c>
      <c r="S8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185268.6</v>
      </c>
      <c r="T8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185268.6</v>
      </c>
      <c r="U8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v>
      </c>
      <c r="V805" s="166">
        <f>IF(INDEX(TransTypes[],Transactions[[#This Row],[TTR]],TT_COL_GLFlag)=1,Transactions[[#This Row],[CalCashImpact]]+Transactions[[#This Row],[CostImpact]],0)</f>
        <v>0</v>
      </c>
      <c r="W805" s="167">
        <f>Transactions[[#This Row],[Amount]]*INDEX(TransTypes[],Transactions[[#This Row],[TTR]],TT_COL_AmntSign)</f>
        <v>-185268.6</v>
      </c>
      <c r="X805" s="167">
        <f>IF(INDEX(TransTypes[],Transactions[[#This Row],[TTR]],TT_COL_LONGORSHORT)="S",
      IF( OR(INDEX(TransTypes[],Transactions[[#This Row],[TTR]],TT_COL_GLFlag)=1, INDEX(TransTypes[], Transactions[[#This Row],[TTR]], TT_COL_ShareTransferFlag)=1),
            Transactions[[#This Row],[CostImpact]]*-1,
            Transactions[[#This Row],[CalCashImpact]]
      ),
     0
)</f>
        <v>0</v>
      </c>
      <c r="Y805" s="168" t="str">
        <f>VLOOKUP(Transactions[[#This Row],[Symbol]],Symbols[], COLUMN(Symbols[Currency])-COLUMN(Symbols[])+1,FALSE)</f>
        <v>CNY</v>
      </c>
    </row>
    <row r="806" spans="1:25">
      <c r="A806" s="155" t="s">
        <v>82</v>
      </c>
      <c r="B806" s="156">
        <v>42303</v>
      </c>
      <c r="C806" s="155" t="s">
        <v>113</v>
      </c>
      <c r="D806" s="155"/>
      <c r="E806" s="155" t="s">
        <v>655</v>
      </c>
      <c r="F806" s="157">
        <v>10000</v>
      </c>
      <c r="G806" s="158">
        <v>15.4</v>
      </c>
      <c r="H806" s="157">
        <v>157.08000000000001</v>
      </c>
      <c r="I806" s="157"/>
      <c r="J806" s="159">
        <v>154157.07999999999</v>
      </c>
      <c r="K806" s="6" t="s">
        <v>641</v>
      </c>
      <c r="L806" s="20">
        <f>IF(ISNA(MATCH(Transactions[[#This Row],[TransType]],TransTypes[TransType],0)),1,MATCH(Transactions[[#This Row],[TransType]],TransTypes[TransType],0))</f>
        <v>2</v>
      </c>
      <c r="M806" s="160">
        <f>IF( AND( INDEX(TransTypes[],Transactions[[#This Row],[TTR]],TT_COL_GLFlag)=1, INDEX(TransTypes[],Transactions[[#This Row],[TTR]],TT_COL_LONGORSHORT)="S" ),
      Transactions[[#This Row],[PL]],
      IF(INDEX(TransTypes[],Transactions[[#This Row],[TTR]],TT_COL_LONGORSHORT)="S",0,Transactions[[#This Row],[CalCashImpact]])
)</f>
        <v>-154157.07999999999</v>
      </c>
      <c r="N806" s="161">
        <f>IF(VLOOKUP(Transactions[[#This Row],[Symbol]],Symbols[],COLUMN(Symbols[Currency])-COLUMN(Symbols[])+1,FALSE)=
       VLOOKUP(Transactions[[#This Row],[Account]],Accounts[],COLUMN(Accounts[Currency])-COLUMN(Accounts[])+1,FALSE),
     Transactions[[#This Row],[OrigCashImpact]],
     0
)</f>
        <v>-154157.07999999999</v>
      </c>
      <c r="O8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115612.38999999978</v>
      </c>
      <c r="P8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8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806" s="41">
        <f>ROW()</f>
        <v>806</v>
      </c>
      <c r="S8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154157.07999999999</v>
      </c>
      <c r="T8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154157.07999999999</v>
      </c>
      <c r="U8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806" s="166">
        <f>IF(INDEX(TransTypes[],Transactions[[#This Row],[TTR]],TT_COL_GLFlag)=1,Transactions[[#This Row],[CalCashImpact]]+Transactions[[#This Row],[CostImpact]],0)</f>
        <v>0</v>
      </c>
      <c r="W806" s="167">
        <f>Transactions[[#This Row],[Amount]]*INDEX(TransTypes[],Transactions[[#This Row],[TTR]],TT_COL_AmntSign)</f>
        <v>-154157.07999999999</v>
      </c>
      <c r="X806" s="167">
        <f>IF(INDEX(TransTypes[],Transactions[[#This Row],[TTR]],TT_COL_LONGORSHORT)="S",
      IF( OR(INDEX(TransTypes[],Transactions[[#This Row],[TTR]],TT_COL_GLFlag)=1, INDEX(TransTypes[], Transactions[[#This Row],[TTR]], TT_COL_ShareTransferFlag)=1),
            Transactions[[#This Row],[CostImpact]]*-1,
            Transactions[[#This Row],[CalCashImpact]]
      ),
     0
)</f>
        <v>0</v>
      </c>
      <c r="Y806" s="168" t="str">
        <f>VLOOKUP(Transactions[[#This Row],[Symbol]],Symbols[], COLUMN(Symbols[Currency])-COLUMN(Symbols[])+1,FALSE)</f>
        <v>CNY</v>
      </c>
    </row>
    <row r="807" spans="1:25">
      <c r="A807" s="155" t="s">
        <v>82</v>
      </c>
      <c r="B807" s="156">
        <v>42307</v>
      </c>
      <c r="C807" s="155" t="s">
        <v>113</v>
      </c>
      <c r="D807" s="155"/>
      <c r="E807" s="155" t="s">
        <v>645</v>
      </c>
      <c r="F807" s="157">
        <v>1120</v>
      </c>
      <c r="G807" s="158">
        <v>13.42</v>
      </c>
      <c r="H807" s="157">
        <v>0</v>
      </c>
      <c r="I807" s="157"/>
      <c r="J807" s="159">
        <v>15030.4</v>
      </c>
      <c r="K807" s="6" t="s">
        <v>641</v>
      </c>
      <c r="L807" s="20">
        <f>IF(ISNA(MATCH(Transactions[[#This Row],[TransType]],TransTypes[TransType],0)),1,MATCH(Transactions[[#This Row],[TransType]],TransTypes[TransType],0))</f>
        <v>2</v>
      </c>
      <c r="M807" s="160">
        <f>IF( AND( INDEX(TransTypes[],Transactions[[#This Row],[TTR]],TT_COL_GLFlag)=1, INDEX(TransTypes[],Transactions[[#This Row],[TTR]],TT_COL_LONGORSHORT)="S" ),
      Transactions[[#This Row],[PL]],
      IF(INDEX(TransTypes[],Transactions[[#This Row],[TTR]],TT_COL_LONGORSHORT)="S",0,Transactions[[#This Row],[CalCashImpact]])
)</f>
        <v>-15030.4</v>
      </c>
      <c r="N807" s="161">
        <f>IF(VLOOKUP(Transactions[[#This Row],[Symbol]],Symbols[],COLUMN(Symbols[Currency])-COLUMN(Symbols[])+1,FALSE)=
       VLOOKUP(Transactions[[#This Row],[Account]],Accounts[],COLUMN(Accounts[Currency])-COLUMN(Accounts[])+1,FALSE),
     Transactions[[#This Row],[OrigCashImpact]],
     0
)</f>
        <v>0</v>
      </c>
      <c r="O8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115612.38999999975</v>
      </c>
      <c r="P8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1120</v>
      </c>
      <c r="Q8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21120</v>
      </c>
      <c r="R807" s="41">
        <f>ROW()</f>
        <v>807</v>
      </c>
      <c r="S8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15030.4</v>
      </c>
      <c r="T8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290960.40000000002</v>
      </c>
      <c r="U8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21120</v>
      </c>
      <c r="V807" s="166">
        <f>IF(INDEX(TransTypes[],Transactions[[#This Row],[TTR]],TT_COL_GLFlag)=1,Transactions[[#This Row],[CalCashImpact]]+Transactions[[#This Row],[CostImpact]],0)</f>
        <v>0</v>
      </c>
      <c r="W807" s="167">
        <f>Transactions[[#This Row],[Amount]]*INDEX(TransTypes[],Transactions[[#This Row],[TTR]],TT_COL_AmntSign)</f>
        <v>-15030.4</v>
      </c>
      <c r="X807" s="167">
        <f>IF(INDEX(TransTypes[],Transactions[[#This Row],[TTR]],TT_COL_LONGORSHORT)="S",
      IF( OR(INDEX(TransTypes[],Transactions[[#This Row],[TTR]],TT_COL_GLFlag)=1, INDEX(TransTypes[], Transactions[[#This Row],[TTR]], TT_COL_ShareTransferFlag)=1),
            Transactions[[#This Row],[CostImpact]]*-1,
            Transactions[[#This Row],[CalCashImpact]]
      ),
     0
)</f>
        <v>0</v>
      </c>
      <c r="Y807" s="168" t="str">
        <f>VLOOKUP(Transactions[[#This Row],[Symbol]],Symbols[], COLUMN(Symbols[Currency])-COLUMN(Symbols[])+1,FALSE)</f>
        <v>HKD</v>
      </c>
    </row>
    <row r="808" spans="1:25">
      <c r="A808" s="155" t="s">
        <v>82</v>
      </c>
      <c r="B808" s="156">
        <v>42310</v>
      </c>
      <c r="C808" s="155" t="s">
        <v>113</v>
      </c>
      <c r="D808" s="155"/>
      <c r="E808" s="155" t="s">
        <v>656</v>
      </c>
      <c r="F808" s="157">
        <v>110000</v>
      </c>
      <c r="G808" s="158">
        <v>0.96899999999999997</v>
      </c>
      <c r="H808" s="157">
        <v>106.59</v>
      </c>
      <c r="I808" s="157"/>
      <c r="J808" s="159">
        <v>106696.59</v>
      </c>
      <c r="K808" s="6" t="s">
        <v>641</v>
      </c>
      <c r="L808" s="20">
        <f>IF(ISNA(MATCH(Transactions[[#This Row],[TransType]],TransTypes[TransType],0)),1,MATCH(Transactions[[#This Row],[TransType]],TransTypes[TransType],0))</f>
        <v>2</v>
      </c>
      <c r="M808" s="160">
        <f>IF( AND( INDEX(TransTypes[],Transactions[[#This Row],[TTR]],TT_COL_GLFlag)=1, INDEX(TransTypes[],Transactions[[#This Row],[TTR]],TT_COL_LONGORSHORT)="S" ),
      Transactions[[#This Row],[PL]],
      IF(INDEX(TransTypes[],Transactions[[#This Row],[TTR]],TT_COL_LONGORSHORT)="S",0,Transactions[[#This Row],[CalCashImpact]])
)</f>
        <v>-106696.59</v>
      </c>
      <c r="N808" s="161">
        <f>IF(VLOOKUP(Transactions[[#This Row],[Symbol]],Symbols[],COLUMN(Symbols[Currency])-COLUMN(Symbols[])+1,FALSE)=
       VLOOKUP(Transactions[[#This Row],[Account]],Accounts[],COLUMN(Accounts[Currency])-COLUMN(Accounts[])+1,FALSE),
     Transactions[[#This Row],[OrigCashImpact]],
     0
)</f>
        <v>-106696.59</v>
      </c>
      <c r="O8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8915.7999999997555</v>
      </c>
      <c r="P8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110000</v>
      </c>
      <c r="Q8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110000</v>
      </c>
      <c r="R808" s="41">
        <f>ROW()</f>
        <v>808</v>
      </c>
      <c r="S8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106696.59</v>
      </c>
      <c r="T8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106696.59</v>
      </c>
      <c r="U8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110000</v>
      </c>
      <c r="V808" s="166">
        <f>IF(INDEX(TransTypes[],Transactions[[#This Row],[TTR]],TT_COL_GLFlag)=1,Transactions[[#This Row],[CalCashImpact]]+Transactions[[#This Row],[CostImpact]],0)</f>
        <v>0</v>
      </c>
      <c r="W808" s="167">
        <f>Transactions[[#This Row],[Amount]]*INDEX(TransTypes[],Transactions[[#This Row],[TTR]],TT_COL_AmntSign)</f>
        <v>-106696.59</v>
      </c>
      <c r="X808" s="167">
        <f>IF(INDEX(TransTypes[],Transactions[[#This Row],[TTR]],TT_COL_LONGORSHORT)="S",
      IF( OR(INDEX(TransTypes[],Transactions[[#This Row],[TTR]],TT_COL_GLFlag)=1, INDEX(TransTypes[], Transactions[[#This Row],[TTR]], TT_COL_ShareTransferFlag)=1),
            Transactions[[#This Row],[CostImpact]]*-1,
            Transactions[[#This Row],[CalCashImpact]]
      ),
     0
)</f>
        <v>0</v>
      </c>
      <c r="Y808" s="168" t="str">
        <f>VLOOKUP(Transactions[[#This Row],[Symbol]],Symbols[], COLUMN(Symbols[Currency])-COLUMN(Symbols[])+1,FALSE)</f>
        <v>CNY</v>
      </c>
    </row>
    <row r="809" spans="1:25">
      <c r="A809" s="155" t="s">
        <v>82</v>
      </c>
      <c r="B809" s="156">
        <v>42311</v>
      </c>
      <c r="C809" s="155" t="s">
        <v>115</v>
      </c>
      <c r="D809" s="155"/>
      <c r="E809" s="155" t="s">
        <v>642</v>
      </c>
      <c r="F809" s="157">
        <v>1000</v>
      </c>
      <c r="G809" s="158">
        <v>27.61</v>
      </c>
      <c r="H809" s="157">
        <v>55.22</v>
      </c>
      <c r="I809" s="157"/>
      <c r="J809" s="159">
        <v>27554.78</v>
      </c>
      <c r="K809" s="6" t="s">
        <v>641</v>
      </c>
      <c r="L809" s="20">
        <f>IF(ISNA(MATCH(Transactions[[#This Row],[TransType]],TransTypes[TransType],0)),1,MATCH(Transactions[[#This Row],[TransType]],TransTypes[TransType],0))</f>
        <v>3</v>
      </c>
      <c r="M809" s="160">
        <f>IF( AND( INDEX(TransTypes[],Transactions[[#This Row],[TTR]],TT_COL_GLFlag)=1, INDEX(TransTypes[],Transactions[[#This Row],[TTR]],TT_COL_LONGORSHORT)="S" ),
      Transactions[[#This Row],[PL]],
      IF(INDEX(TransTypes[],Transactions[[#This Row],[TTR]],TT_COL_LONGORSHORT)="S",0,Transactions[[#This Row],[CalCashImpact]])
)</f>
        <v>27554.78</v>
      </c>
      <c r="N809" s="161">
        <f>IF(VLOOKUP(Transactions[[#This Row],[Symbol]],Symbols[],COLUMN(Symbols[Currency])-COLUMN(Symbols[])+1,FALSE)=
       VLOOKUP(Transactions[[#This Row],[Account]],Accounts[],COLUMN(Accounts[Currency])-COLUMN(Accounts[])+1,FALSE),
     Transactions[[#This Row],[OrigCashImpact]],
     0
)</f>
        <v>27554.78</v>
      </c>
      <c r="O8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36470.579999999754</v>
      </c>
      <c r="P8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809" s="41">
        <f>ROW()</f>
        <v>809</v>
      </c>
      <c r="S8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-25448.918750000001</v>
      </c>
      <c r="T8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76346.756250000006</v>
      </c>
      <c r="U8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809" s="166">
        <f>IF(INDEX(TransTypes[],Transactions[[#This Row],[TTR]],TT_COL_GLFlag)=1,Transactions[[#This Row],[CalCashImpact]]+Transactions[[#This Row],[CostImpact]],0)</f>
        <v>2105.8612499999981</v>
      </c>
      <c r="W809" s="167">
        <f>Transactions[[#This Row],[Amount]]*INDEX(TransTypes[],Transactions[[#This Row],[TTR]],TT_COL_AmntSign)</f>
        <v>27554.78</v>
      </c>
      <c r="X809" s="167">
        <f>IF(INDEX(TransTypes[],Transactions[[#This Row],[TTR]],TT_COL_LONGORSHORT)="S",
      IF( OR(INDEX(TransTypes[],Transactions[[#This Row],[TTR]],TT_COL_GLFlag)=1, INDEX(TransTypes[], Transactions[[#This Row],[TTR]], TT_COL_ShareTransferFlag)=1),
            Transactions[[#This Row],[CostImpact]]*-1,
            Transactions[[#This Row],[CalCashImpact]]
      ),
     0
)</f>
        <v>0</v>
      </c>
      <c r="Y809" s="168" t="str">
        <f>VLOOKUP(Transactions[[#This Row],[Symbol]],Symbols[], COLUMN(Symbols[Currency])-COLUMN(Symbols[])+1,FALSE)</f>
        <v>CNY</v>
      </c>
    </row>
    <row r="810" spans="1:25">
      <c r="A810" s="155" t="s">
        <v>82</v>
      </c>
      <c r="B810" s="156">
        <v>42311</v>
      </c>
      <c r="C810" s="155" t="s">
        <v>115</v>
      </c>
      <c r="D810" s="155"/>
      <c r="E810" s="155" t="s">
        <v>655</v>
      </c>
      <c r="F810" s="157">
        <v>4000</v>
      </c>
      <c r="G810" s="158">
        <v>14.23</v>
      </c>
      <c r="H810" s="157">
        <v>114.98</v>
      </c>
      <c r="I810" s="157"/>
      <c r="J810" s="159">
        <v>56805.02</v>
      </c>
      <c r="K810" s="6" t="s">
        <v>641</v>
      </c>
      <c r="L810" s="20">
        <f>IF(ISNA(MATCH(Transactions[[#This Row],[TransType]],TransTypes[TransType],0)),1,MATCH(Transactions[[#This Row],[TransType]],TransTypes[TransType],0))</f>
        <v>3</v>
      </c>
      <c r="M810" s="160">
        <f>IF( AND( INDEX(TransTypes[],Transactions[[#This Row],[TTR]],TT_COL_GLFlag)=1, INDEX(TransTypes[],Transactions[[#This Row],[TTR]],TT_COL_LONGORSHORT)="S" ),
      Transactions[[#This Row],[PL]],
      IF(INDEX(TransTypes[],Transactions[[#This Row],[TTR]],TT_COL_LONGORSHORT)="S",0,Transactions[[#This Row],[CalCashImpact]])
)</f>
        <v>56805.02</v>
      </c>
      <c r="N810" s="161">
        <f>IF(VLOOKUP(Transactions[[#This Row],[Symbol]],Symbols[],COLUMN(Symbols[Currency])-COLUMN(Symbols[])+1,FALSE)=
       VLOOKUP(Transactions[[#This Row],[Account]],Accounts[],COLUMN(Accounts[Currency])-COLUMN(Accounts[])+1,FALSE),
     Transactions[[#This Row],[OrigCashImpact]],
     0
)</f>
        <v>56805.02</v>
      </c>
      <c r="O8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93275.599999999744</v>
      </c>
      <c r="P8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8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810" s="41">
        <f>ROW()</f>
        <v>810</v>
      </c>
      <c r="S8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-61662.831999999995</v>
      </c>
      <c r="T8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92494.247999999992</v>
      </c>
      <c r="U8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810" s="166">
        <f>IF(INDEX(TransTypes[],Transactions[[#This Row],[TTR]],TT_COL_GLFlag)=1,Transactions[[#This Row],[CalCashImpact]]+Transactions[[#This Row],[CostImpact]],0)</f>
        <v>-4857.8119999999981</v>
      </c>
      <c r="W810" s="167">
        <f>Transactions[[#This Row],[Amount]]*INDEX(TransTypes[],Transactions[[#This Row],[TTR]],TT_COL_AmntSign)</f>
        <v>56805.02</v>
      </c>
      <c r="X810" s="167">
        <f>IF(INDEX(TransTypes[],Transactions[[#This Row],[TTR]],TT_COL_LONGORSHORT)="S",
      IF( OR(INDEX(TransTypes[],Transactions[[#This Row],[TTR]],TT_COL_GLFlag)=1, INDEX(TransTypes[], Transactions[[#This Row],[TTR]], TT_COL_ShareTransferFlag)=1),
            Transactions[[#This Row],[CostImpact]]*-1,
            Transactions[[#This Row],[CalCashImpact]]
      ),
     0
)</f>
        <v>0</v>
      </c>
      <c r="Y810" s="168" t="str">
        <f>VLOOKUP(Transactions[[#This Row],[Symbol]],Symbols[], COLUMN(Symbols[Currency])-COLUMN(Symbols[])+1,FALSE)</f>
        <v>CNY</v>
      </c>
    </row>
    <row r="811" spans="1:25">
      <c r="A811" s="155" t="s">
        <v>82</v>
      </c>
      <c r="B811" s="156">
        <v>42311</v>
      </c>
      <c r="C811" s="155" t="s">
        <v>115</v>
      </c>
      <c r="D811" s="155"/>
      <c r="E811" s="155" t="s">
        <v>464</v>
      </c>
      <c r="F811" s="157">
        <v>600</v>
      </c>
      <c r="G811" s="158">
        <v>208.78</v>
      </c>
      <c r="H811" s="157">
        <v>253.05</v>
      </c>
      <c r="I811" s="157"/>
      <c r="J811" s="159">
        <v>125014.95</v>
      </c>
      <c r="K811" s="6" t="s">
        <v>641</v>
      </c>
      <c r="L811" s="20">
        <f>IF(ISNA(MATCH(Transactions[[#This Row],[TransType]],TransTypes[TransType],0)),1,MATCH(Transactions[[#This Row],[TransType]],TransTypes[TransType],0))</f>
        <v>3</v>
      </c>
      <c r="M811" s="160">
        <f>IF( AND( INDEX(TransTypes[],Transactions[[#This Row],[TTR]],TT_COL_GLFlag)=1, INDEX(TransTypes[],Transactions[[#This Row],[TTR]],TT_COL_LONGORSHORT)="S" ),
      Transactions[[#This Row],[PL]],
      IF(INDEX(TransTypes[],Transactions[[#This Row],[TTR]],TT_COL_LONGORSHORT)="S",0,Transactions[[#This Row],[CalCashImpact]])
)</f>
        <v>125014.95</v>
      </c>
      <c r="N811" s="161">
        <f>IF(VLOOKUP(Transactions[[#This Row],[Symbol]],Symbols[],COLUMN(Symbols[Currency])-COLUMN(Symbols[])+1,FALSE)=
       VLOOKUP(Transactions[[#This Row],[Account]],Accounts[],COLUMN(Accounts[Currency])-COLUMN(Accounts[])+1,FALSE),
     Transactions[[#This Row],[OrigCashImpact]],
     0
)</f>
        <v>125014.95</v>
      </c>
      <c r="O8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218290.54999999976</v>
      </c>
      <c r="P8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v>
      </c>
      <c r="Q8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811" s="41">
        <f>ROW()</f>
        <v>811</v>
      </c>
      <c r="S8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-123896.85</v>
      </c>
      <c r="T8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206494.75000000003</v>
      </c>
      <c r="U8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v>
      </c>
      <c r="V811" s="166">
        <f>IF(INDEX(TransTypes[],Transactions[[#This Row],[TTR]],TT_COL_GLFlag)=1,Transactions[[#This Row],[CalCashImpact]]+Transactions[[#This Row],[CostImpact]],0)</f>
        <v>1118.0999999999913</v>
      </c>
      <c r="W811" s="167">
        <f>Transactions[[#This Row],[Amount]]*INDEX(TransTypes[],Transactions[[#This Row],[TTR]],TT_COL_AmntSign)</f>
        <v>125014.95</v>
      </c>
      <c r="X811" s="167">
        <f>IF(INDEX(TransTypes[],Transactions[[#This Row],[TTR]],TT_COL_LONGORSHORT)="S",
      IF( OR(INDEX(TransTypes[],Transactions[[#This Row],[TTR]],TT_COL_GLFlag)=1, INDEX(TransTypes[], Transactions[[#This Row],[TTR]], TT_COL_ShareTransferFlag)=1),
            Transactions[[#This Row],[CostImpact]]*-1,
            Transactions[[#This Row],[CalCashImpact]]
      ),
     0
)</f>
        <v>0</v>
      </c>
      <c r="Y811" s="168" t="str">
        <f>VLOOKUP(Transactions[[#This Row],[Symbol]],Symbols[], COLUMN(Symbols[Currency])-COLUMN(Symbols[])+1,FALSE)</f>
        <v>CNY</v>
      </c>
    </row>
    <row r="812" spans="1:25">
      <c r="A812" s="155" t="s">
        <v>82</v>
      </c>
      <c r="B812" s="156">
        <v>42312</v>
      </c>
      <c r="C812" s="155" t="s">
        <v>115</v>
      </c>
      <c r="D812" s="155"/>
      <c r="E812" s="155" t="s">
        <v>498</v>
      </c>
      <c r="F812" s="157">
        <v>1800</v>
      </c>
      <c r="G812" s="158">
        <v>103.004</v>
      </c>
      <c r="H812" s="157">
        <v>0</v>
      </c>
      <c r="I812" s="157"/>
      <c r="J812" s="159">
        <v>185407.2</v>
      </c>
      <c r="K812" s="6" t="s">
        <v>641</v>
      </c>
      <c r="L812" s="20">
        <f>IF(ISNA(MATCH(Transactions[[#This Row],[TransType]],TransTypes[TransType],0)),1,MATCH(Transactions[[#This Row],[TransType]],TransTypes[TransType],0))</f>
        <v>3</v>
      </c>
      <c r="M812" s="160">
        <f>IF( AND( INDEX(TransTypes[],Transactions[[#This Row],[TTR]],TT_COL_GLFlag)=1, INDEX(TransTypes[],Transactions[[#This Row],[TTR]],TT_COL_LONGORSHORT)="S" ),
      Transactions[[#This Row],[PL]],
      IF(INDEX(TransTypes[],Transactions[[#This Row],[TTR]],TT_COL_LONGORSHORT)="S",0,Transactions[[#This Row],[CalCashImpact]])
)</f>
        <v>185407.2</v>
      </c>
      <c r="N812" s="161">
        <f>IF(VLOOKUP(Transactions[[#This Row],[Symbol]],Symbols[],COLUMN(Symbols[Currency])-COLUMN(Symbols[])+1,FALSE)=
       VLOOKUP(Transactions[[#This Row],[Account]],Accounts[],COLUMN(Accounts[Currency])-COLUMN(Accounts[])+1,FALSE),
     Transactions[[#This Row],[OrigCashImpact]],
     0
)</f>
        <v>185407.2</v>
      </c>
      <c r="O8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403697.74999999977</v>
      </c>
      <c r="P8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-1800</v>
      </c>
      <c r="Q8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12" s="41">
        <f>ROW()</f>
        <v>812</v>
      </c>
      <c r="S8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-185268.6</v>
      </c>
      <c r="T8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v>
      </c>
      <c r="V812" s="166">
        <f>IF(INDEX(TransTypes[],Transactions[[#This Row],[TTR]],TT_COL_GLFlag)=1,Transactions[[#This Row],[CalCashImpact]]+Transactions[[#This Row],[CostImpact]],0)</f>
        <v>138.60000000000582</v>
      </c>
      <c r="W812" s="167">
        <f>Transactions[[#This Row],[Amount]]*INDEX(TransTypes[],Transactions[[#This Row],[TTR]],TT_COL_AmntSign)</f>
        <v>185407.2</v>
      </c>
      <c r="X812" s="167">
        <f>IF(INDEX(TransTypes[],Transactions[[#This Row],[TTR]],TT_COL_LONGORSHORT)="S",
      IF( OR(INDEX(TransTypes[],Transactions[[#This Row],[TTR]],TT_COL_GLFlag)=1, INDEX(TransTypes[], Transactions[[#This Row],[TTR]], TT_COL_ShareTransferFlag)=1),
            Transactions[[#This Row],[CostImpact]]*-1,
            Transactions[[#This Row],[CalCashImpact]]
      ),
     0
)</f>
        <v>0</v>
      </c>
      <c r="Y812" s="168" t="str">
        <f>VLOOKUP(Transactions[[#This Row],[Symbol]],Symbols[], COLUMN(Symbols[Currency])-COLUMN(Symbols[])+1,FALSE)</f>
        <v>CNY</v>
      </c>
    </row>
    <row r="813" spans="1:25">
      <c r="A813" s="155" t="s">
        <v>82</v>
      </c>
      <c r="B813" s="156">
        <v>42312</v>
      </c>
      <c r="C813" s="155" t="s">
        <v>113</v>
      </c>
      <c r="D813" s="155"/>
      <c r="E813" s="155" t="s">
        <v>657</v>
      </c>
      <c r="F813" s="157">
        <v>200000</v>
      </c>
      <c r="G813" s="158">
        <v>0.98848749999999996</v>
      </c>
      <c r="H813" s="157">
        <v>0</v>
      </c>
      <c r="I813" s="157"/>
      <c r="J813" s="159">
        <v>197697.5</v>
      </c>
      <c r="K813" s="6" t="s">
        <v>641</v>
      </c>
      <c r="L813" s="20">
        <f>IF(ISNA(MATCH(Transactions[[#This Row],[TransType]],TransTypes[TransType],0)),1,MATCH(Transactions[[#This Row],[TransType]],TransTypes[TransType],0))</f>
        <v>2</v>
      </c>
      <c r="M813" s="160">
        <f>IF( AND( INDEX(TransTypes[],Transactions[[#This Row],[TTR]],TT_COL_GLFlag)=1, INDEX(TransTypes[],Transactions[[#This Row],[TTR]],TT_COL_LONGORSHORT)="S" ),
      Transactions[[#This Row],[PL]],
      IF(INDEX(TransTypes[],Transactions[[#This Row],[TTR]],TT_COL_LONGORSHORT)="S",0,Transactions[[#This Row],[CalCashImpact]])
)</f>
        <v>-197697.5</v>
      </c>
      <c r="N813" s="161">
        <f>IF(VLOOKUP(Transactions[[#This Row],[Symbol]],Symbols[],COLUMN(Symbols[Currency])-COLUMN(Symbols[])+1,FALSE)=
       VLOOKUP(Transactions[[#This Row],[Account]],Accounts[],COLUMN(Accounts[Currency])-COLUMN(Accounts[])+1,FALSE),
     Transactions[[#This Row],[OrigCashImpact]],
     0
)</f>
        <v>-197697.5</v>
      </c>
      <c r="O8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206000.24999999977</v>
      </c>
      <c r="P8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8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813" s="41">
        <f>ROW()</f>
        <v>813</v>
      </c>
      <c r="S8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197697.5</v>
      </c>
      <c r="T8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197697.5</v>
      </c>
      <c r="U8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813" s="166">
        <f>IF(INDEX(TransTypes[],Transactions[[#This Row],[TTR]],TT_COL_GLFlag)=1,Transactions[[#This Row],[CalCashImpact]]+Transactions[[#This Row],[CostImpact]],0)</f>
        <v>0</v>
      </c>
      <c r="W813" s="167">
        <f>Transactions[[#This Row],[Amount]]*INDEX(TransTypes[],Transactions[[#This Row],[TTR]],TT_COL_AmntSign)</f>
        <v>-197697.5</v>
      </c>
      <c r="X813" s="167">
        <f>IF(INDEX(TransTypes[],Transactions[[#This Row],[TTR]],TT_COL_LONGORSHORT)="S",
      IF( OR(INDEX(TransTypes[],Transactions[[#This Row],[TTR]],TT_COL_GLFlag)=1, INDEX(TransTypes[], Transactions[[#This Row],[TTR]], TT_COL_ShareTransferFlag)=1),
            Transactions[[#This Row],[CostImpact]]*-1,
            Transactions[[#This Row],[CalCashImpact]]
      ),
     0
)</f>
        <v>0</v>
      </c>
      <c r="Y813" s="168" t="str">
        <f>VLOOKUP(Transactions[[#This Row],[Symbol]],Symbols[], COLUMN(Symbols[Currency])-COLUMN(Symbols[])+1,FALSE)</f>
        <v>CNY</v>
      </c>
    </row>
    <row r="814" spans="1:25">
      <c r="A814" s="155" t="s">
        <v>82</v>
      </c>
      <c r="B814" s="156">
        <v>42313</v>
      </c>
      <c r="C814" s="155" t="s">
        <v>113</v>
      </c>
      <c r="D814" s="155"/>
      <c r="E814" s="155" t="s">
        <v>649</v>
      </c>
      <c r="F814" s="157">
        <v>2000</v>
      </c>
      <c r="G814" s="158">
        <v>48.42</v>
      </c>
      <c r="H814" s="157">
        <v>96.84</v>
      </c>
      <c r="I814" s="157"/>
      <c r="J814" s="159">
        <v>96936.84</v>
      </c>
      <c r="K814" s="6" t="s">
        <v>641</v>
      </c>
      <c r="L814" s="20">
        <f>IF(ISNA(MATCH(Transactions[[#This Row],[TransType]],TransTypes[TransType],0)),1,MATCH(Transactions[[#This Row],[TransType]],TransTypes[TransType],0))</f>
        <v>2</v>
      </c>
      <c r="M814" s="160">
        <f>IF( AND( INDEX(TransTypes[],Transactions[[#This Row],[TTR]],TT_COL_GLFlag)=1, INDEX(TransTypes[],Transactions[[#This Row],[TTR]],TT_COL_LONGORSHORT)="S" ),
      Transactions[[#This Row],[PL]],
      IF(INDEX(TransTypes[],Transactions[[#This Row],[TTR]],TT_COL_LONGORSHORT)="S",0,Transactions[[#This Row],[CalCashImpact]])
)</f>
        <v>-96936.84</v>
      </c>
      <c r="N814" s="161">
        <f>IF(VLOOKUP(Transactions[[#This Row],[Symbol]],Symbols[],COLUMN(Symbols[Currency])-COLUMN(Symbols[])+1,FALSE)=
       VLOOKUP(Transactions[[#This Row],[Account]],Accounts[],COLUMN(Accounts[Currency])-COLUMN(Accounts[])+1,FALSE),
     Transactions[[#This Row],[OrigCashImpact]],
     0
)</f>
        <v>-96936.84</v>
      </c>
      <c r="O8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109063.40999999977</v>
      </c>
      <c r="P8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8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814" s="41">
        <f>ROW()</f>
        <v>814</v>
      </c>
      <c r="S8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96936.84</v>
      </c>
      <c r="T8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228966.84</v>
      </c>
      <c r="U8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814" s="166">
        <f>IF(INDEX(TransTypes[],Transactions[[#This Row],[TTR]],TT_COL_GLFlag)=1,Transactions[[#This Row],[CalCashImpact]]+Transactions[[#This Row],[CostImpact]],0)</f>
        <v>0</v>
      </c>
      <c r="W814" s="167">
        <f>Transactions[[#This Row],[Amount]]*INDEX(TransTypes[],Transactions[[#This Row],[TTR]],TT_COL_AmntSign)</f>
        <v>-96936.84</v>
      </c>
      <c r="X814" s="167">
        <f>IF(INDEX(TransTypes[],Transactions[[#This Row],[TTR]],TT_COL_LONGORSHORT)="S",
      IF( OR(INDEX(TransTypes[],Transactions[[#This Row],[TTR]],TT_COL_GLFlag)=1, INDEX(TransTypes[], Transactions[[#This Row],[TTR]], TT_COL_ShareTransferFlag)=1),
            Transactions[[#This Row],[CostImpact]]*-1,
            Transactions[[#This Row],[CalCashImpact]]
      ),
     0
)</f>
        <v>0</v>
      </c>
      <c r="Y814" s="168" t="str">
        <f>VLOOKUP(Transactions[[#This Row],[Symbol]],Symbols[], COLUMN(Symbols[Currency])-COLUMN(Symbols[])+1,FALSE)</f>
        <v>CNY</v>
      </c>
    </row>
    <row r="815" spans="1:25">
      <c r="A815" s="155" t="s">
        <v>82</v>
      </c>
      <c r="B815" s="156">
        <v>42313</v>
      </c>
      <c r="C815" s="155" t="s">
        <v>113</v>
      </c>
      <c r="D815" s="155"/>
      <c r="E815" s="155" t="s">
        <v>658</v>
      </c>
      <c r="F815" s="157">
        <v>4000</v>
      </c>
      <c r="G815" s="158">
        <v>26.18</v>
      </c>
      <c r="H815" s="157">
        <v>106.81</v>
      </c>
      <c r="I815" s="157"/>
      <c r="J815" s="159">
        <v>104826.81</v>
      </c>
      <c r="K815" s="6" t="s">
        <v>641</v>
      </c>
      <c r="L815" s="20">
        <f>IF(ISNA(MATCH(Transactions[[#This Row],[TransType]],TransTypes[TransType],0)),1,MATCH(Transactions[[#This Row],[TransType]],TransTypes[TransType],0))</f>
        <v>2</v>
      </c>
      <c r="M815" s="160">
        <f>IF( AND( INDEX(TransTypes[],Transactions[[#This Row],[TTR]],TT_COL_GLFlag)=1, INDEX(TransTypes[],Transactions[[#This Row],[TTR]],TT_COL_LONGORSHORT)="S" ),
      Transactions[[#This Row],[PL]],
      IF(INDEX(TransTypes[],Transactions[[#This Row],[TTR]],TT_COL_LONGORSHORT)="S",0,Transactions[[#This Row],[CalCashImpact]])
)</f>
        <v>-104826.81</v>
      </c>
      <c r="N815" s="161">
        <f>IF(VLOOKUP(Transactions[[#This Row],[Symbol]],Symbols[],COLUMN(Symbols[Currency])-COLUMN(Symbols[])+1,FALSE)=
       VLOOKUP(Transactions[[#This Row],[Account]],Accounts[],COLUMN(Accounts[Currency])-COLUMN(Accounts[])+1,FALSE),
     Transactions[[#This Row],[OrigCashImpact]],
     0
)</f>
        <v>-104826.81</v>
      </c>
      <c r="O8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4236.599999999773</v>
      </c>
      <c r="P8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8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815" s="41">
        <f>ROW()</f>
        <v>815</v>
      </c>
      <c r="S8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104826.81</v>
      </c>
      <c r="T8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104826.81</v>
      </c>
      <c r="U8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815" s="166">
        <f>IF(INDEX(TransTypes[],Transactions[[#This Row],[TTR]],TT_COL_GLFlag)=1,Transactions[[#This Row],[CalCashImpact]]+Transactions[[#This Row],[CostImpact]],0)</f>
        <v>0</v>
      </c>
      <c r="W815" s="167">
        <f>Transactions[[#This Row],[Amount]]*INDEX(TransTypes[],Transactions[[#This Row],[TTR]],TT_COL_AmntSign)</f>
        <v>-104826.81</v>
      </c>
      <c r="X815" s="167">
        <f>IF(INDEX(TransTypes[],Transactions[[#This Row],[TTR]],TT_COL_LONGORSHORT)="S",
      IF( OR(INDEX(TransTypes[],Transactions[[#This Row],[TTR]],TT_COL_GLFlag)=1, INDEX(TransTypes[], Transactions[[#This Row],[TTR]], TT_COL_ShareTransferFlag)=1),
            Transactions[[#This Row],[CostImpact]]*-1,
            Transactions[[#This Row],[CalCashImpact]]
      ),
     0
)</f>
        <v>0</v>
      </c>
      <c r="Y815" s="168" t="str">
        <f>VLOOKUP(Transactions[[#This Row],[Symbol]],Symbols[], COLUMN(Symbols[Currency])-COLUMN(Symbols[])+1,FALSE)</f>
        <v>CNY</v>
      </c>
    </row>
    <row r="816" spans="1:25">
      <c r="A816" s="155" t="s">
        <v>82</v>
      </c>
      <c r="B816" s="156">
        <v>42314</v>
      </c>
      <c r="C816" s="155" t="s">
        <v>113</v>
      </c>
      <c r="D816" s="155"/>
      <c r="E816" s="155" t="s">
        <v>659</v>
      </c>
      <c r="F816" s="157">
        <v>5000</v>
      </c>
      <c r="G816" s="158">
        <v>46.316000000000003</v>
      </c>
      <c r="H816" s="157">
        <v>236.21</v>
      </c>
      <c r="I816" s="157"/>
      <c r="J816" s="159">
        <v>231816.21</v>
      </c>
      <c r="K816" s="6" t="s">
        <v>641</v>
      </c>
      <c r="L816" s="20">
        <f>IF(ISNA(MATCH(Transactions[[#This Row],[TransType]],TransTypes[TransType],0)),1,MATCH(Transactions[[#This Row],[TransType]],TransTypes[TransType],0))</f>
        <v>2</v>
      </c>
      <c r="M816" s="160">
        <f>IF( AND( INDEX(TransTypes[],Transactions[[#This Row],[TTR]],TT_COL_GLFlag)=1, INDEX(TransTypes[],Transactions[[#This Row],[TTR]],TT_COL_LONGORSHORT)="S" ),
      Transactions[[#This Row],[PL]],
      IF(INDEX(TransTypes[],Transactions[[#This Row],[TTR]],TT_COL_LONGORSHORT)="S",0,Transactions[[#This Row],[CalCashImpact]])
)</f>
        <v>-231816.21</v>
      </c>
      <c r="N816" s="161">
        <f>IF(VLOOKUP(Transactions[[#This Row],[Symbol]],Symbols[],COLUMN(Symbols[Currency])-COLUMN(Symbols[])+1,FALSE)=
       VLOOKUP(Transactions[[#This Row],[Account]],Accounts[],COLUMN(Accounts[Currency])-COLUMN(Accounts[])+1,FALSE),
     Transactions[[#This Row],[OrigCashImpact]],
     0
)</f>
        <v>-231816.21</v>
      </c>
      <c r="O8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-227579.61000000022</v>
      </c>
      <c r="P8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8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816" s="41">
        <f>ROW()</f>
        <v>816</v>
      </c>
      <c r="S8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231816.21</v>
      </c>
      <c r="T8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231816.21</v>
      </c>
      <c r="U8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816" s="166">
        <f>IF(INDEX(TransTypes[],Transactions[[#This Row],[TTR]],TT_COL_GLFlag)=1,Transactions[[#This Row],[CalCashImpact]]+Transactions[[#This Row],[CostImpact]],0)</f>
        <v>0</v>
      </c>
      <c r="W816" s="167">
        <f>Transactions[[#This Row],[Amount]]*INDEX(TransTypes[],Transactions[[#This Row],[TTR]],TT_COL_AmntSign)</f>
        <v>-231816.21</v>
      </c>
      <c r="X816" s="167">
        <f>IF(INDEX(TransTypes[],Transactions[[#This Row],[TTR]],TT_COL_LONGORSHORT)="S",
      IF( OR(INDEX(TransTypes[],Transactions[[#This Row],[TTR]],TT_COL_GLFlag)=1, INDEX(TransTypes[], Transactions[[#This Row],[TTR]], TT_COL_ShareTransferFlag)=1),
            Transactions[[#This Row],[CostImpact]]*-1,
            Transactions[[#This Row],[CalCashImpact]]
      ),
     0
)</f>
        <v>0</v>
      </c>
      <c r="Y816" s="168" t="str">
        <f>VLOOKUP(Transactions[[#This Row],[Symbol]],Symbols[], COLUMN(Symbols[Currency])-COLUMN(Symbols[])+1,FALSE)</f>
        <v>CNY</v>
      </c>
    </row>
    <row r="817" spans="1:25">
      <c r="A817" s="155" t="s">
        <v>82</v>
      </c>
      <c r="B817" s="156">
        <v>42314</v>
      </c>
      <c r="C817" s="155" t="s">
        <v>115</v>
      </c>
      <c r="D817" s="155"/>
      <c r="E817" s="155" t="s">
        <v>654</v>
      </c>
      <c r="F817" s="157">
        <v>280000</v>
      </c>
      <c r="G817" s="158">
        <v>1.103</v>
      </c>
      <c r="H817" s="157">
        <v>308.83999999999997</v>
      </c>
      <c r="I817" s="157"/>
      <c r="J817" s="159">
        <v>308531.15999999997</v>
      </c>
      <c r="K817" s="6" t="s">
        <v>641</v>
      </c>
      <c r="L817" s="20">
        <f>IF(ISNA(MATCH(Transactions[[#This Row],[TransType]],TransTypes[TransType],0)),1,MATCH(Transactions[[#This Row],[TransType]],TransTypes[TransType],0))</f>
        <v>3</v>
      </c>
      <c r="M817" s="160">
        <f>IF( AND( INDEX(TransTypes[],Transactions[[#This Row],[TTR]],TT_COL_GLFlag)=1, INDEX(TransTypes[],Transactions[[#This Row],[TTR]],TT_COL_LONGORSHORT)="S" ),
      Transactions[[#This Row],[PL]],
      IF(INDEX(TransTypes[],Transactions[[#This Row],[TTR]],TT_COL_LONGORSHORT)="S",0,Transactions[[#This Row],[CalCashImpact]])
)</f>
        <v>308531.15999999997</v>
      </c>
      <c r="N817" s="161">
        <f>IF(VLOOKUP(Transactions[[#This Row],[Symbol]],Symbols[],COLUMN(Symbols[Currency])-COLUMN(Symbols[])+1,FALSE)=
       VLOOKUP(Transactions[[#This Row],[Account]],Accounts[],COLUMN(Accounts[Currency])-COLUMN(Accounts[])+1,FALSE),
     Transactions[[#This Row],[OrigCashImpact]],
     0
)</f>
        <v>308531.15999999997</v>
      </c>
      <c r="O8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80951.549999999756</v>
      </c>
      <c r="P8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-280000</v>
      </c>
      <c r="Q8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17" s="41">
        <f>ROW()</f>
        <v>817</v>
      </c>
      <c r="S8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-309429.12</v>
      </c>
      <c r="T8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280000</v>
      </c>
      <c r="V817" s="166">
        <f>IF(INDEX(TransTypes[],Transactions[[#This Row],[TTR]],TT_COL_GLFlag)=1,Transactions[[#This Row],[CalCashImpact]]+Transactions[[#This Row],[CostImpact]],0)</f>
        <v>-897.96000000002095</v>
      </c>
      <c r="W817" s="167">
        <f>Transactions[[#This Row],[Amount]]*INDEX(TransTypes[],Transactions[[#This Row],[TTR]],TT_COL_AmntSign)</f>
        <v>308531.15999999997</v>
      </c>
      <c r="X817" s="167">
        <f>IF(INDEX(TransTypes[],Transactions[[#This Row],[TTR]],TT_COL_LONGORSHORT)="S",
      IF( OR(INDEX(TransTypes[],Transactions[[#This Row],[TTR]],TT_COL_GLFlag)=1, INDEX(TransTypes[], Transactions[[#This Row],[TTR]], TT_COL_ShareTransferFlag)=1),
            Transactions[[#This Row],[CostImpact]]*-1,
            Transactions[[#This Row],[CalCashImpact]]
      ),
     0
)</f>
        <v>0</v>
      </c>
      <c r="Y817" s="168" t="str">
        <f>VLOOKUP(Transactions[[#This Row],[Symbol]],Symbols[], COLUMN(Symbols[Currency])-COLUMN(Symbols[])+1,FALSE)</f>
        <v>CNY</v>
      </c>
    </row>
    <row r="818" spans="1:25">
      <c r="A818" s="155" t="s">
        <v>82</v>
      </c>
      <c r="B818" s="156">
        <v>42314</v>
      </c>
      <c r="C818" s="155" t="s">
        <v>115</v>
      </c>
      <c r="D818" s="155"/>
      <c r="E818" s="155" t="s">
        <v>657</v>
      </c>
      <c r="F818" s="157">
        <v>200000</v>
      </c>
      <c r="G818" s="158">
        <v>1.06067</v>
      </c>
      <c r="H818" s="157">
        <v>0</v>
      </c>
      <c r="I818" s="157"/>
      <c r="J818" s="159">
        <v>212134</v>
      </c>
      <c r="K818" s="6" t="s">
        <v>641</v>
      </c>
      <c r="L818" s="20">
        <f>IF(ISNA(MATCH(Transactions[[#This Row],[TransType]],TransTypes[TransType],0)),1,MATCH(Transactions[[#This Row],[TransType]],TransTypes[TransType],0))</f>
        <v>3</v>
      </c>
      <c r="M818" s="160">
        <f>IF( AND( INDEX(TransTypes[],Transactions[[#This Row],[TTR]],TT_COL_GLFlag)=1, INDEX(TransTypes[],Transactions[[#This Row],[TTR]],TT_COL_LONGORSHORT)="S" ),
      Transactions[[#This Row],[PL]],
      IF(INDEX(TransTypes[],Transactions[[#This Row],[TTR]],TT_COL_LONGORSHORT)="S",0,Transactions[[#This Row],[CalCashImpact]])
)</f>
        <v>212134</v>
      </c>
      <c r="N818" s="161">
        <f>IF(VLOOKUP(Transactions[[#This Row],[Symbol]],Symbols[],COLUMN(Symbols[Currency])-COLUMN(Symbols[])+1,FALSE)=
       VLOOKUP(Transactions[[#This Row],[Account]],Accounts[],COLUMN(Accounts[Currency])-COLUMN(Accounts[])+1,FALSE),
     Transactions[[#This Row],[OrigCashImpact]],
     0
)</f>
        <v>212134</v>
      </c>
      <c r="O8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293085.5499999997</v>
      </c>
      <c r="P8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8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18" s="41">
        <f>ROW()</f>
        <v>818</v>
      </c>
      <c r="S8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-197697.5</v>
      </c>
      <c r="T8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818" s="166">
        <f>IF(INDEX(TransTypes[],Transactions[[#This Row],[TTR]],TT_COL_GLFlag)=1,Transactions[[#This Row],[CalCashImpact]]+Transactions[[#This Row],[CostImpact]],0)</f>
        <v>14436.5</v>
      </c>
      <c r="W818" s="167">
        <f>Transactions[[#This Row],[Amount]]*INDEX(TransTypes[],Transactions[[#This Row],[TTR]],TT_COL_AmntSign)</f>
        <v>212134</v>
      </c>
      <c r="X818" s="167">
        <f>IF(INDEX(TransTypes[],Transactions[[#This Row],[TTR]],TT_COL_LONGORSHORT)="S",
      IF( OR(INDEX(TransTypes[],Transactions[[#This Row],[TTR]],TT_COL_GLFlag)=1, INDEX(TransTypes[], Transactions[[#This Row],[TTR]], TT_COL_ShareTransferFlag)=1),
            Transactions[[#This Row],[CostImpact]]*-1,
            Transactions[[#This Row],[CalCashImpact]]
      ),
     0
)</f>
        <v>0</v>
      </c>
      <c r="Y818" s="168" t="str">
        <f>VLOOKUP(Transactions[[#This Row],[Symbol]],Symbols[], COLUMN(Symbols[Currency])-COLUMN(Symbols[])+1,FALSE)</f>
        <v>CNY</v>
      </c>
    </row>
    <row r="819" spans="1:25">
      <c r="A819" s="155" t="s">
        <v>82</v>
      </c>
      <c r="B819" s="156">
        <v>42318</v>
      </c>
      <c r="C819" s="155" t="s">
        <v>115</v>
      </c>
      <c r="D819" s="155"/>
      <c r="E819" s="155" t="s">
        <v>650</v>
      </c>
      <c r="F819" s="157">
        <v>1000</v>
      </c>
      <c r="G819" s="158">
        <v>28.03</v>
      </c>
      <c r="H819" s="157">
        <v>56.06</v>
      </c>
      <c r="I819" s="157"/>
      <c r="J819" s="159">
        <v>27973.94</v>
      </c>
      <c r="K819" s="6" t="s">
        <v>641</v>
      </c>
      <c r="L819" s="20">
        <f>IF(ISNA(MATCH(Transactions[[#This Row],[TransType]],TransTypes[TransType],0)),1,MATCH(Transactions[[#This Row],[TransType]],TransTypes[TransType],0))</f>
        <v>3</v>
      </c>
      <c r="M819" s="160">
        <f>IF( AND( INDEX(TransTypes[],Transactions[[#This Row],[TTR]],TT_COL_GLFlag)=1, INDEX(TransTypes[],Transactions[[#This Row],[TTR]],TT_COL_LONGORSHORT)="S" ),
      Transactions[[#This Row],[PL]],
      IF(INDEX(TransTypes[],Transactions[[#This Row],[TTR]],TT_COL_LONGORSHORT)="S",0,Transactions[[#This Row],[CalCashImpact]])
)</f>
        <v>27973.94</v>
      </c>
      <c r="N819" s="161">
        <f>IF(VLOOKUP(Transactions[[#This Row],[Symbol]],Symbols[],COLUMN(Symbols[Currency])-COLUMN(Symbols[])+1,FALSE)=
       VLOOKUP(Transactions[[#This Row],[Account]],Accounts[],COLUMN(Accounts[Currency])-COLUMN(Accounts[])+1,FALSE),
     Transactions[[#This Row],[OrigCashImpact]],
     0
)</f>
        <v>27973.94</v>
      </c>
      <c r="O8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321059.48999999976</v>
      </c>
      <c r="P8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819" s="41">
        <f>ROW()</f>
        <v>819</v>
      </c>
      <c r="S8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-26307.288</v>
      </c>
      <c r="T8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105229.152</v>
      </c>
      <c r="U8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819" s="166">
        <f>IF(INDEX(TransTypes[],Transactions[[#This Row],[TTR]],TT_COL_GLFlag)=1,Transactions[[#This Row],[CalCashImpact]]+Transactions[[#This Row],[CostImpact]],0)</f>
        <v>1666.6519999999982</v>
      </c>
      <c r="W819" s="167">
        <f>Transactions[[#This Row],[Amount]]*INDEX(TransTypes[],Transactions[[#This Row],[TTR]],TT_COL_AmntSign)</f>
        <v>27973.94</v>
      </c>
      <c r="X819" s="167">
        <f>IF(INDEX(TransTypes[],Transactions[[#This Row],[TTR]],TT_COL_LONGORSHORT)="S",
      IF( OR(INDEX(TransTypes[],Transactions[[#This Row],[TTR]],TT_COL_GLFlag)=1, INDEX(TransTypes[], Transactions[[#This Row],[TTR]], TT_COL_ShareTransferFlag)=1),
            Transactions[[#This Row],[CostImpact]]*-1,
            Transactions[[#This Row],[CalCashImpact]]
      ),
     0
)</f>
        <v>0</v>
      </c>
      <c r="Y819" s="168" t="str">
        <f>VLOOKUP(Transactions[[#This Row],[Symbol]],Symbols[], COLUMN(Symbols[Currency])-COLUMN(Symbols[])+1,FALSE)</f>
        <v>CNY</v>
      </c>
    </row>
    <row r="820" spans="1:25">
      <c r="A820" s="155" t="s">
        <v>82</v>
      </c>
      <c r="B820" s="156">
        <v>42318</v>
      </c>
      <c r="C820" s="155" t="s">
        <v>115</v>
      </c>
      <c r="D820" s="155"/>
      <c r="E820" s="155" t="s">
        <v>659</v>
      </c>
      <c r="F820" s="157">
        <v>2000</v>
      </c>
      <c r="G820" s="158">
        <v>48.78</v>
      </c>
      <c r="H820" s="157">
        <v>197.07</v>
      </c>
      <c r="I820" s="157"/>
      <c r="J820" s="159">
        <v>97362.93</v>
      </c>
      <c r="K820" s="6" t="s">
        <v>641</v>
      </c>
      <c r="L820" s="20">
        <f>IF(ISNA(MATCH(Transactions[[#This Row],[TransType]],TransTypes[TransType],0)),1,MATCH(Transactions[[#This Row],[TransType]],TransTypes[TransType],0))</f>
        <v>3</v>
      </c>
      <c r="M820" s="160">
        <f>IF( AND( INDEX(TransTypes[],Transactions[[#This Row],[TTR]],TT_COL_GLFlag)=1, INDEX(TransTypes[],Transactions[[#This Row],[TTR]],TT_COL_LONGORSHORT)="S" ),
      Transactions[[#This Row],[PL]],
      IF(INDEX(TransTypes[],Transactions[[#This Row],[TTR]],TT_COL_LONGORSHORT)="S",0,Transactions[[#This Row],[CalCashImpact]])
)</f>
        <v>97362.93</v>
      </c>
      <c r="N820" s="161">
        <f>IF(VLOOKUP(Transactions[[#This Row],[Symbol]],Symbols[],COLUMN(Symbols[Currency])-COLUMN(Symbols[])+1,FALSE)=
       VLOOKUP(Transactions[[#This Row],[Account]],Accounts[],COLUMN(Accounts[Currency])-COLUMN(Accounts[])+1,FALSE),
     Transactions[[#This Row],[OrigCashImpact]],
     0
)</f>
        <v>97362.93</v>
      </c>
      <c r="O8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418422.41999999975</v>
      </c>
      <c r="P8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8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820" s="41">
        <f>ROW()</f>
        <v>820</v>
      </c>
      <c r="S8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-92726.483999999997</v>
      </c>
      <c r="T8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139089.726</v>
      </c>
      <c r="U8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820" s="166">
        <f>IF(INDEX(TransTypes[],Transactions[[#This Row],[TTR]],TT_COL_GLFlag)=1,Transactions[[#This Row],[CalCashImpact]]+Transactions[[#This Row],[CostImpact]],0)</f>
        <v>4636.4459999999963</v>
      </c>
      <c r="W820" s="167">
        <f>Transactions[[#This Row],[Amount]]*INDEX(TransTypes[],Transactions[[#This Row],[TTR]],TT_COL_AmntSign)</f>
        <v>97362.93</v>
      </c>
      <c r="X820" s="167">
        <f>IF(INDEX(TransTypes[],Transactions[[#This Row],[TTR]],TT_COL_LONGORSHORT)="S",
      IF( OR(INDEX(TransTypes[],Transactions[[#This Row],[TTR]],TT_COL_GLFlag)=1, INDEX(TransTypes[], Transactions[[#This Row],[TTR]], TT_COL_ShareTransferFlag)=1),
            Transactions[[#This Row],[CostImpact]]*-1,
            Transactions[[#This Row],[CalCashImpact]]
      ),
     0
)</f>
        <v>0</v>
      </c>
      <c r="Y820" s="168" t="str">
        <f>VLOOKUP(Transactions[[#This Row],[Symbol]],Symbols[], COLUMN(Symbols[Currency])-COLUMN(Symbols[])+1,FALSE)</f>
        <v>CNY</v>
      </c>
    </row>
    <row r="821" spans="1:25">
      <c r="A821" s="155" t="s">
        <v>82</v>
      </c>
      <c r="B821" s="156">
        <v>42318</v>
      </c>
      <c r="C821" s="155" t="s">
        <v>115</v>
      </c>
      <c r="D821" s="155"/>
      <c r="E821" s="155" t="s">
        <v>655</v>
      </c>
      <c r="F821" s="157">
        <v>6000</v>
      </c>
      <c r="G821" s="158">
        <v>17.8</v>
      </c>
      <c r="H821" s="157">
        <v>215.74</v>
      </c>
      <c r="I821" s="157"/>
      <c r="J821" s="159">
        <v>106584.26</v>
      </c>
      <c r="K821" s="6" t="s">
        <v>641</v>
      </c>
      <c r="L821" s="20">
        <f>IF(ISNA(MATCH(Transactions[[#This Row],[TransType]],TransTypes[TransType],0)),1,MATCH(Transactions[[#This Row],[TransType]],TransTypes[TransType],0))</f>
        <v>3</v>
      </c>
      <c r="M821" s="160">
        <f>IF( AND( INDEX(TransTypes[],Transactions[[#This Row],[TTR]],TT_COL_GLFlag)=1, INDEX(TransTypes[],Transactions[[#This Row],[TTR]],TT_COL_LONGORSHORT)="S" ),
      Transactions[[#This Row],[PL]],
      IF(INDEX(TransTypes[],Transactions[[#This Row],[TTR]],TT_COL_LONGORSHORT)="S",0,Transactions[[#This Row],[CalCashImpact]])
)</f>
        <v>106584.26</v>
      </c>
      <c r="N821" s="161">
        <f>IF(VLOOKUP(Transactions[[#This Row],[Symbol]],Symbols[],COLUMN(Symbols[Currency])-COLUMN(Symbols[])+1,FALSE)=
       VLOOKUP(Transactions[[#This Row],[Account]],Accounts[],COLUMN(Accounts[Currency])-COLUMN(Accounts[])+1,FALSE),
     Transactions[[#This Row],[OrigCashImpact]],
     0
)</f>
        <v>106584.26</v>
      </c>
      <c r="O8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525006.6799999997</v>
      </c>
      <c r="P8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8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21" s="41">
        <f>ROW()</f>
        <v>821</v>
      </c>
      <c r="S8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-92494.247999999992</v>
      </c>
      <c r="T8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821" s="166">
        <f>IF(INDEX(TransTypes[],Transactions[[#This Row],[TTR]],TT_COL_GLFlag)=1,Transactions[[#This Row],[CalCashImpact]]+Transactions[[#This Row],[CostImpact]],0)</f>
        <v>14090.012000000002</v>
      </c>
      <c r="W821" s="167">
        <f>Transactions[[#This Row],[Amount]]*INDEX(TransTypes[],Transactions[[#This Row],[TTR]],TT_COL_AmntSign)</f>
        <v>106584.26</v>
      </c>
      <c r="X821" s="167">
        <f>IF(INDEX(TransTypes[],Transactions[[#This Row],[TTR]],TT_COL_LONGORSHORT)="S",
      IF( OR(INDEX(TransTypes[],Transactions[[#This Row],[TTR]],TT_COL_GLFlag)=1, INDEX(TransTypes[], Transactions[[#This Row],[TTR]], TT_COL_ShareTransferFlag)=1),
            Transactions[[#This Row],[CostImpact]]*-1,
            Transactions[[#This Row],[CalCashImpact]]
      ),
     0
)</f>
        <v>0</v>
      </c>
      <c r="Y821" s="168" t="str">
        <f>VLOOKUP(Transactions[[#This Row],[Symbol]],Symbols[], COLUMN(Symbols[Currency])-COLUMN(Symbols[])+1,FALSE)</f>
        <v>CNY</v>
      </c>
    </row>
    <row r="822" spans="1:25">
      <c r="A822" s="155" t="s">
        <v>82</v>
      </c>
      <c r="B822" s="156">
        <v>42318</v>
      </c>
      <c r="C822" s="155" t="s">
        <v>112</v>
      </c>
      <c r="D822" s="155"/>
      <c r="E822" s="155" t="s">
        <v>211</v>
      </c>
      <c r="F822" s="157"/>
      <c r="G822" s="158"/>
      <c r="H822" s="157"/>
      <c r="I822" s="157"/>
      <c r="J822" s="159">
        <v>1000000</v>
      </c>
      <c r="K822" s="6" t="s">
        <v>641</v>
      </c>
      <c r="L822" s="20">
        <f>IF(ISNA(MATCH(Transactions[[#This Row],[TransType]],TransTypes[TransType],0)),1,MATCH(Transactions[[#This Row],[TransType]],TransTypes[TransType],0))</f>
        <v>1</v>
      </c>
      <c r="M822" s="160">
        <f>IF( AND( INDEX(TransTypes[],Transactions[[#This Row],[TTR]],TT_COL_GLFlag)=1, INDEX(TransTypes[],Transactions[[#This Row],[TTR]],TT_COL_LONGORSHORT)="S" ),
      Transactions[[#This Row],[PL]],
      IF(INDEX(TransTypes[],Transactions[[#This Row],[TTR]],TT_COL_LONGORSHORT)="S",0,Transactions[[#This Row],[CalCashImpact]])
)</f>
        <v>1000000</v>
      </c>
      <c r="N822" s="161">
        <f>IF(VLOOKUP(Transactions[[#This Row],[Symbol]],Symbols[],COLUMN(Symbols[Currency])-COLUMN(Symbols[])+1,FALSE)=
       VLOOKUP(Transactions[[#This Row],[Account]],Accounts[],COLUMN(Accounts[Currency])-COLUMN(Accounts[])+1,FALSE),
     Transactions[[#This Row],[OrigCashImpact]],
     0
)</f>
        <v>1000000</v>
      </c>
      <c r="O8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1525006.6799999997</v>
      </c>
      <c r="P8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22" s="41">
        <f>ROW()</f>
        <v>822</v>
      </c>
      <c r="S8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22" s="166">
        <f>IF(INDEX(TransTypes[],Transactions[[#This Row],[TTR]],TT_COL_GLFlag)=1,Transactions[[#This Row],[CalCashImpact]]+Transactions[[#This Row],[CostImpact]],0)</f>
        <v>0</v>
      </c>
      <c r="W822" s="167">
        <f>Transactions[[#This Row],[Amount]]*INDEX(TransTypes[],Transactions[[#This Row],[TTR]],TT_COL_AmntSign)</f>
        <v>1000000</v>
      </c>
      <c r="X822" s="167">
        <f>IF(INDEX(TransTypes[],Transactions[[#This Row],[TTR]],TT_COL_LONGORSHORT)="S",
      IF( OR(INDEX(TransTypes[],Transactions[[#This Row],[TTR]],TT_COL_GLFlag)=1, INDEX(TransTypes[], Transactions[[#This Row],[TTR]], TT_COL_ShareTransferFlag)=1),
            Transactions[[#This Row],[CostImpact]]*-1,
            Transactions[[#This Row],[CalCashImpact]]
      ),
     0
)</f>
        <v>0</v>
      </c>
      <c r="Y822" s="168" t="str">
        <f>VLOOKUP(Transactions[[#This Row],[Symbol]],Symbols[], COLUMN(Symbols[Currency])-COLUMN(Symbols[])+1,FALSE)</f>
        <v>CNY</v>
      </c>
    </row>
    <row r="823" spans="1:25">
      <c r="A823" s="155" t="s">
        <v>82</v>
      </c>
      <c r="B823" s="156">
        <v>42319</v>
      </c>
      <c r="C823" s="155" t="s">
        <v>113</v>
      </c>
      <c r="D823" s="155"/>
      <c r="E823" s="155" t="s">
        <v>467</v>
      </c>
      <c r="F823" s="157">
        <v>1000</v>
      </c>
      <c r="G823" s="158">
        <v>65.819999999999993</v>
      </c>
      <c r="H823" s="157">
        <v>65.819999999999993</v>
      </c>
      <c r="I823" s="157"/>
      <c r="J823" s="159">
        <v>65885.820000000007</v>
      </c>
      <c r="K823" s="6" t="s">
        <v>641</v>
      </c>
      <c r="L823" s="20">
        <f>IF(ISNA(MATCH(Transactions[[#This Row],[TransType]],TransTypes[TransType],0)),1,MATCH(Transactions[[#This Row],[TransType]],TransTypes[TransType],0))</f>
        <v>2</v>
      </c>
      <c r="M823" s="160">
        <f>IF( AND( INDEX(TransTypes[],Transactions[[#This Row],[TTR]],TT_COL_GLFlag)=1, INDEX(TransTypes[],Transactions[[#This Row],[TTR]],TT_COL_LONGORSHORT)="S" ),
      Transactions[[#This Row],[PL]],
      IF(INDEX(TransTypes[],Transactions[[#This Row],[TTR]],TT_COL_LONGORSHORT)="S",0,Transactions[[#This Row],[CalCashImpact]])
)</f>
        <v>-65885.820000000007</v>
      </c>
      <c r="N823" s="161">
        <f>IF(VLOOKUP(Transactions[[#This Row],[Symbol]],Symbols[],COLUMN(Symbols[Currency])-COLUMN(Symbols[])+1,FALSE)=
       VLOOKUP(Transactions[[#This Row],[Account]],Accounts[],COLUMN(Accounts[Currency])-COLUMN(Accounts[])+1,FALSE),
     Transactions[[#This Row],[OrigCashImpact]],
     0
)</f>
        <v>-65885.820000000007</v>
      </c>
      <c r="O8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1459120.8599999996</v>
      </c>
      <c r="P8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823" s="41">
        <f>ROW()</f>
        <v>823</v>
      </c>
      <c r="S8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65885.820000000007</v>
      </c>
      <c r="T8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98015.82</v>
      </c>
      <c r="U8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823" s="166">
        <f>IF(INDEX(TransTypes[],Transactions[[#This Row],[TTR]],TT_COL_GLFlag)=1,Transactions[[#This Row],[CalCashImpact]]+Transactions[[#This Row],[CostImpact]],0)</f>
        <v>0</v>
      </c>
      <c r="W823" s="167">
        <f>Transactions[[#This Row],[Amount]]*INDEX(TransTypes[],Transactions[[#This Row],[TTR]],TT_COL_AmntSign)</f>
        <v>-65885.820000000007</v>
      </c>
      <c r="X823" s="167">
        <f>IF(INDEX(TransTypes[],Transactions[[#This Row],[TTR]],TT_COL_LONGORSHORT)="S",
      IF( OR(INDEX(TransTypes[],Transactions[[#This Row],[TTR]],TT_COL_GLFlag)=1, INDEX(TransTypes[], Transactions[[#This Row],[TTR]], TT_COL_ShareTransferFlag)=1),
            Transactions[[#This Row],[CostImpact]]*-1,
            Transactions[[#This Row],[CalCashImpact]]
      ),
     0
)</f>
        <v>0</v>
      </c>
      <c r="Y823" s="168" t="str">
        <f>VLOOKUP(Transactions[[#This Row],[Symbol]],Symbols[], COLUMN(Symbols[Currency])-COLUMN(Symbols[])+1,FALSE)</f>
        <v>CNY</v>
      </c>
    </row>
    <row r="824" spans="1:25">
      <c r="A824" s="155" t="s">
        <v>82</v>
      </c>
      <c r="B824" s="156">
        <v>42319</v>
      </c>
      <c r="C824" s="155" t="s">
        <v>113</v>
      </c>
      <c r="D824" s="155"/>
      <c r="E824" s="155" t="s">
        <v>657</v>
      </c>
      <c r="F824" s="157">
        <v>239465</v>
      </c>
      <c r="G824" s="158">
        <v>1.07500002087987</v>
      </c>
      <c r="H824" s="157">
        <v>2574.2600000000002</v>
      </c>
      <c r="I824" s="157"/>
      <c r="J824" s="159">
        <v>259999.14</v>
      </c>
      <c r="K824" s="6" t="s">
        <v>641</v>
      </c>
      <c r="L824" s="20">
        <f>IF(ISNA(MATCH(Transactions[[#This Row],[TransType]],TransTypes[TransType],0)),1,MATCH(Transactions[[#This Row],[TransType]],TransTypes[TransType],0))</f>
        <v>2</v>
      </c>
      <c r="M824" s="160">
        <f>IF( AND( INDEX(TransTypes[],Transactions[[#This Row],[TTR]],TT_COL_GLFlag)=1, INDEX(TransTypes[],Transactions[[#This Row],[TTR]],TT_COL_LONGORSHORT)="S" ),
      Transactions[[#This Row],[PL]],
      IF(INDEX(TransTypes[],Transactions[[#This Row],[TTR]],TT_COL_LONGORSHORT)="S",0,Transactions[[#This Row],[CalCashImpact]])
)</f>
        <v>-259999.14</v>
      </c>
      <c r="N824" s="161">
        <f>IF(VLOOKUP(Transactions[[#This Row],[Symbol]],Symbols[],COLUMN(Symbols[Currency])-COLUMN(Symbols[])+1,FALSE)=
       VLOOKUP(Transactions[[#This Row],[Account]],Accounts[],COLUMN(Accounts[Currency])-COLUMN(Accounts[])+1,FALSE),
     Transactions[[#This Row],[OrigCashImpact]],
     0
)</f>
        <v>-259999.14</v>
      </c>
      <c r="O8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1199121.7199999997</v>
      </c>
      <c r="P8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239465</v>
      </c>
      <c r="Q8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239465</v>
      </c>
      <c r="R824" s="41">
        <f>ROW()</f>
        <v>824</v>
      </c>
      <c r="S8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259999.14</v>
      </c>
      <c r="T8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259999.14</v>
      </c>
      <c r="U8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239465</v>
      </c>
      <c r="V824" s="166">
        <f>IF(INDEX(TransTypes[],Transactions[[#This Row],[TTR]],TT_COL_GLFlag)=1,Transactions[[#This Row],[CalCashImpact]]+Transactions[[#This Row],[CostImpact]],0)</f>
        <v>0</v>
      </c>
      <c r="W824" s="167">
        <f>Transactions[[#This Row],[Amount]]*INDEX(TransTypes[],Transactions[[#This Row],[TTR]],TT_COL_AmntSign)</f>
        <v>-259999.14</v>
      </c>
      <c r="X824" s="167">
        <f>IF(INDEX(TransTypes[],Transactions[[#This Row],[TTR]],TT_COL_LONGORSHORT)="S",
      IF( OR(INDEX(TransTypes[],Transactions[[#This Row],[TTR]],TT_COL_GLFlag)=1, INDEX(TransTypes[], Transactions[[#This Row],[TTR]], TT_COL_ShareTransferFlag)=1),
            Transactions[[#This Row],[CostImpact]]*-1,
            Transactions[[#This Row],[CalCashImpact]]
      ),
     0
)</f>
        <v>0</v>
      </c>
      <c r="Y824" s="168" t="str">
        <f>VLOOKUP(Transactions[[#This Row],[Symbol]],Symbols[], COLUMN(Symbols[Currency])-COLUMN(Symbols[])+1,FALSE)</f>
        <v>CNY</v>
      </c>
    </row>
    <row r="825" spans="1:25">
      <c r="A825" s="155" t="s">
        <v>82</v>
      </c>
      <c r="B825" s="156">
        <v>42320</v>
      </c>
      <c r="C825" s="155" t="s">
        <v>113</v>
      </c>
      <c r="D825" s="155"/>
      <c r="E825" s="155" t="s">
        <v>657</v>
      </c>
      <c r="F825" s="157">
        <v>945127</v>
      </c>
      <c r="G825" s="158">
        <v>1.0580579964385699</v>
      </c>
      <c r="H825" s="157">
        <v>0</v>
      </c>
      <c r="I825" s="157"/>
      <c r="J825" s="159">
        <v>999999.18</v>
      </c>
      <c r="K825" s="6" t="s">
        <v>641</v>
      </c>
      <c r="L825" s="20">
        <f>IF(ISNA(MATCH(Transactions[[#This Row],[TransType]],TransTypes[TransType],0)),1,MATCH(Transactions[[#This Row],[TransType]],TransTypes[TransType],0))</f>
        <v>2</v>
      </c>
      <c r="M825" s="160">
        <f>IF( AND( INDEX(TransTypes[],Transactions[[#This Row],[TTR]],TT_COL_GLFlag)=1, INDEX(TransTypes[],Transactions[[#This Row],[TTR]],TT_COL_LONGORSHORT)="S" ),
      Transactions[[#This Row],[PL]],
      IF(INDEX(TransTypes[],Transactions[[#This Row],[TTR]],TT_COL_LONGORSHORT)="S",0,Transactions[[#This Row],[CalCashImpact]])
)</f>
        <v>-999999.18</v>
      </c>
      <c r="N825" s="161">
        <f>IF(VLOOKUP(Transactions[[#This Row],[Symbol]],Symbols[],COLUMN(Symbols[Currency])-COLUMN(Symbols[])+1,FALSE)=
       VLOOKUP(Transactions[[#This Row],[Account]],Accounts[],COLUMN(Accounts[Currency])-COLUMN(Accounts[])+1,FALSE),
     Transactions[[#This Row],[OrigCashImpact]],
     0
)</f>
        <v>-999999.18</v>
      </c>
      <c r="O8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199122.53999999969</v>
      </c>
      <c r="P8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945127</v>
      </c>
      <c r="Q8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1184592</v>
      </c>
      <c r="R825" s="41">
        <f>ROW()</f>
        <v>825</v>
      </c>
      <c r="S8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999999.18</v>
      </c>
      <c r="T8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1259998.32</v>
      </c>
      <c r="U8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1184592</v>
      </c>
      <c r="V825" s="166">
        <f>IF(INDEX(TransTypes[],Transactions[[#This Row],[TTR]],TT_COL_GLFlag)=1,Transactions[[#This Row],[CalCashImpact]]+Transactions[[#This Row],[CostImpact]],0)</f>
        <v>0</v>
      </c>
      <c r="W825" s="167">
        <f>Transactions[[#This Row],[Amount]]*INDEX(TransTypes[],Transactions[[#This Row],[TTR]],TT_COL_AmntSign)</f>
        <v>-999999.18</v>
      </c>
      <c r="X825" s="167">
        <f>IF(INDEX(TransTypes[],Transactions[[#This Row],[TTR]],TT_COL_LONGORSHORT)="S",
      IF( OR(INDEX(TransTypes[],Transactions[[#This Row],[TTR]],TT_COL_GLFlag)=1, INDEX(TransTypes[], Transactions[[#This Row],[TTR]], TT_COL_ShareTransferFlag)=1),
            Transactions[[#This Row],[CostImpact]]*-1,
            Transactions[[#This Row],[CalCashImpact]]
      ),
     0
)</f>
        <v>0</v>
      </c>
      <c r="Y825" s="168" t="str">
        <f>VLOOKUP(Transactions[[#This Row],[Symbol]],Symbols[], COLUMN(Symbols[Currency])-COLUMN(Symbols[])+1,FALSE)</f>
        <v>CNY</v>
      </c>
    </row>
    <row r="826" spans="1:25">
      <c r="A826" s="155" t="s">
        <v>82</v>
      </c>
      <c r="B826" s="156">
        <v>42324</v>
      </c>
      <c r="C826" s="155" t="s">
        <v>113</v>
      </c>
      <c r="D826" s="155"/>
      <c r="E826" s="155" t="s">
        <v>498</v>
      </c>
      <c r="F826" s="157">
        <v>13800</v>
      </c>
      <c r="G826" s="158">
        <v>103.111</v>
      </c>
      <c r="H826" s="157">
        <v>0</v>
      </c>
      <c r="I826" s="157"/>
      <c r="J826" s="159">
        <v>1422931.8</v>
      </c>
      <c r="K826" s="6" t="s">
        <v>641</v>
      </c>
      <c r="L826" s="20">
        <f>IF(ISNA(MATCH(Transactions[[#This Row],[TransType]],TransTypes[TransType],0)),1,MATCH(Transactions[[#This Row],[TransType]],TransTypes[TransType],0))</f>
        <v>2</v>
      </c>
      <c r="M826" s="160">
        <f>IF( AND( INDEX(TransTypes[],Transactions[[#This Row],[TTR]],TT_COL_GLFlag)=1, INDEX(TransTypes[],Transactions[[#This Row],[TTR]],TT_COL_LONGORSHORT)="S" ),
      Transactions[[#This Row],[PL]],
      IF(INDEX(TransTypes[],Transactions[[#This Row],[TTR]],TT_COL_LONGORSHORT)="S",0,Transactions[[#This Row],[CalCashImpact]])
)</f>
        <v>-1422931.8</v>
      </c>
      <c r="N826" s="161">
        <f>IF(VLOOKUP(Transactions[[#This Row],[Symbol]],Symbols[],COLUMN(Symbols[Currency])-COLUMN(Symbols[])+1,FALSE)=
       VLOOKUP(Transactions[[#This Row],[Account]],Accounts[],COLUMN(Accounts[Currency])-COLUMN(Accounts[])+1,FALSE),
     Transactions[[#This Row],[OrigCashImpact]],
     0
)</f>
        <v>-1422931.8</v>
      </c>
      <c r="O8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-1223809.2600000002</v>
      </c>
      <c r="P8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13800</v>
      </c>
      <c r="Q8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13800</v>
      </c>
      <c r="R826" s="41">
        <f>ROW()</f>
        <v>826</v>
      </c>
      <c r="S8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1422931.8</v>
      </c>
      <c r="T8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1422931.8</v>
      </c>
      <c r="U8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13800</v>
      </c>
      <c r="V826" s="166">
        <f>IF(INDEX(TransTypes[],Transactions[[#This Row],[TTR]],TT_COL_GLFlag)=1,Transactions[[#This Row],[CalCashImpact]]+Transactions[[#This Row],[CostImpact]],0)</f>
        <v>0</v>
      </c>
      <c r="W826" s="167">
        <f>Transactions[[#This Row],[Amount]]*INDEX(TransTypes[],Transactions[[#This Row],[TTR]],TT_COL_AmntSign)</f>
        <v>-1422931.8</v>
      </c>
      <c r="X826" s="167">
        <f>IF(INDEX(TransTypes[],Transactions[[#This Row],[TTR]],TT_COL_LONGORSHORT)="S",
      IF( OR(INDEX(TransTypes[],Transactions[[#This Row],[TTR]],TT_COL_GLFlag)=1, INDEX(TransTypes[], Transactions[[#This Row],[TTR]], TT_COL_ShareTransferFlag)=1),
            Transactions[[#This Row],[CostImpact]]*-1,
            Transactions[[#This Row],[CalCashImpact]]
      ),
     0
)</f>
        <v>0</v>
      </c>
      <c r="Y826" s="168" t="str">
        <f>VLOOKUP(Transactions[[#This Row],[Symbol]],Symbols[], COLUMN(Symbols[Currency])-COLUMN(Symbols[])+1,FALSE)</f>
        <v>CNY</v>
      </c>
    </row>
    <row r="827" spans="1:25">
      <c r="A827" s="155" t="s">
        <v>82</v>
      </c>
      <c r="B827" s="156">
        <v>42324</v>
      </c>
      <c r="C827" s="155" t="s">
        <v>115</v>
      </c>
      <c r="D827" s="155"/>
      <c r="E827" s="155" t="s">
        <v>657</v>
      </c>
      <c r="F827" s="157">
        <v>945127</v>
      </c>
      <c r="G827" s="158">
        <v>1.0354981923064299</v>
      </c>
      <c r="H827" s="157">
        <v>0</v>
      </c>
      <c r="I827" s="157"/>
      <c r="J827" s="159">
        <v>978677.3</v>
      </c>
      <c r="K827" s="6" t="s">
        <v>641</v>
      </c>
      <c r="L827" s="20">
        <f>IF(ISNA(MATCH(Transactions[[#This Row],[TransType]],TransTypes[TransType],0)),1,MATCH(Transactions[[#This Row],[TransType]],TransTypes[TransType],0))</f>
        <v>3</v>
      </c>
      <c r="M827" s="160">
        <f>IF( AND( INDEX(TransTypes[],Transactions[[#This Row],[TTR]],TT_COL_GLFlag)=1, INDEX(TransTypes[],Transactions[[#This Row],[TTR]],TT_COL_LONGORSHORT)="S" ),
      Transactions[[#This Row],[PL]],
      IF(INDEX(TransTypes[],Transactions[[#This Row],[TTR]],TT_COL_LONGORSHORT)="S",0,Transactions[[#This Row],[CalCashImpact]])
)</f>
        <v>978677.3</v>
      </c>
      <c r="N827" s="161">
        <f>IF(VLOOKUP(Transactions[[#This Row],[Symbol]],Symbols[],COLUMN(Symbols[Currency])-COLUMN(Symbols[])+1,FALSE)=
       VLOOKUP(Transactions[[#This Row],[Account]],Accounts[],COLUMN(Accounts[Currency])-COLUMN(Accounts[])+1,FALSE),
     Transactions[[#This Row],[OrigCashImpact]],
     0
)</f>
        <v>978677.3</v>
      </c>
      <c r="O8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-245131.96000000031</v>
      </c>
      <c r="P8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-945127</v>
      </c>
      <c r="Q8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239465</v>
      </c>
      <c r="R827" s="41">
        <f>ROW()</f>
        <v>827</v>
      </c>
      <c r="S8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-1005289.9497773411</v>
      </c>
      <c r="T8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254708.37022265897</v>
      </c>
      <c r="U8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1184592</v>
      </c>
      <c r="V827" s="166">
        <f>IF(INDEX(TransTypes[],Transactions[[#This Row],[TTR]],TT_COL_GLFlag)=1,Transactions[[#This Row],[CalCashImpact]]+Transactions[[#This Row],[CostImpact]],0)</f>
        <v>-26612.649777341052</v>
      </c>
      <c r="W827" s="167">
        <f>Transactions[[#This Row],[Amount]]*INDEX(TransTypes[],Transactions[[#This Row],[TTR]],TT_COL_AmntSign)</f>
        <v>978677.3</v>
      </c>
      <c r="X827" s="167">
        <f>IF(INDEX(TransTypes[],Transactions[[#This Row],[TTR]],TT_COL_LONGORSHORT)="S",
      IF( OR(INDEX(TransTypes[],Transactions[[#This Row],[TTR]],TT_COL_GLFlag)=1, INDEX(TransTypes[], Transactions[[#This Row],[TTR]], TT_COL_ShareTransferFlag)=1),
            Transactions[[#This Row],[CostImpact]]*-1,
            Transactions[[#This Row],[CalCashImpact]]
      ),
     0
)</f>
        <v>0</v>
      </c>
      <c r="Y827" s="168" t="str">
        <f>VLOOKUP(Transactions[[#This Row],[Symbol]],Symbols[], COLUMN(Symbols[Currency])-COLUMN(Symbols[])+1,FALSE)</f>
        <v>CNY</v>
      </c>
    </row>
    <row r="828" spans="1:25">
      <c r="A828" s="155" t="s">
        <v>82</v>
      </c>
      <c r="B828" s="156">
        <v>42324</v>
      </c>
      <c r="C828" s="155" t="s">
        <v>115</v>
      </c>
      <c r="D828" s="155"/>
      <c r="E828" s="155" t="s">
        <v>657</v>
      </c>
      <c r="F828" s="157">
        <v>239465</v>
      </c>
      <c r="G828" s="158">
        <v>1.05816657966717</v>
      </c>
      <c r="H828" s="157">
        <v>0</v>
      </c>
      <c r="I828" s="157"/>
      <c r="J828" s="159">
        <v>253393.86</v>
      </c>
      <c r="K828" s="6" t="s">
        <v>641</v>
      </c>
      <c r="L828" s="20">
        <f>IF(ISNA(MATCH(Transactions[[#This Row],[TransType]],TransTypes[TransType],0)),1,MATCH(Transactions[[#This Row],[TransType]],TransTypes[TransType],0))</f>
        <v>3</v>
      </c>
      <c r="M828" s="160">
        <f>IF( AND( INDEX(TransTypes[],Transactions[[#This Row],[TTR]],TT_COL_GLFlag)=1, INDEX(TransTypes[],Transactions[[#This Row],[TTR]],TT_COL_LONGORSHORT)="S" ),
      Transactions[[#This Row],[PL]],
      IF(INDEX(TransTypes[],Transactions[[#This Row],[TTR]],TT_COL_LONGORSHORT)="S",0,Transactions[[#This Row],[CalCashImpact]])
)</f>
        <v>253393.86</v>
      </c>
      <c r="N828" s="161">
        <f>IF(VLOOKUP(Transactions[[#This Row],[Symbol]],Symbols[],COLUMN(Symbols[Currency])-COLUMN(Symbols[])+1,FALSE)=
       VLOOKUP(Transactions[[#This Row],[Account]],Accounts[],COLUMN(Accounts[Currency])-COLUMN(Accounts[])+1,FALSE),
     Transactions[[#This Row],[OrigCashImpact]],
     0
)</f>
        <v>253393.86</v>
      </c>
      <c r="O8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8261.899999999674</v>
      </c>
      <c r="P8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-239465</v>
      </c>
      <c r="Q8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28" s="41">
        <f>ROW()</f>
        <v>828</v>
      </c>
      <c r="S8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-254708.37022265894</v>
      </c>
      <c r="T8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239465</v>
      </c>
      <c r="V828" s="166">
        <f>IF(INDEX(TransTypes[],Transactions[[#This Row],[TTR]],TT_COL_GLFlag)=1,Transactions[[#This Row],[CalCashImpact]]+Transactions[[#This Row],[CostImpact]],0)</f>
        <v>-1314.5102226589515</v>
      </c>
      <c r="W828" s="167">
        <f>Transactions[[#This Row],[Amount]]*INDEX(TransTypes[],Transactions[[#This Row],[TTR]],TT_COL_AmntSign)</f>
        <v>253393.86</v>
      </c>
      <c r="X828" s="167">
        <f>IF(INDEX(TransTypes[],Transactions[[#This Row],[TTR]],TT_COL_LONGORSHORT)="S",
      IF( OR(INDEX(TransTypes[],Transactions[[#This Row],[TTR]],TT_COL_GLFlag)=1, INDEX(TransTypes[], Transactions[[#This Row],[TTR]], TT_COL_ShareTransferFlag)=1),
            Transactions[[#This Row],[CostImpact]]*-1,
            Transactions[[#This Row],[CalCashImpact]]
      ),
     0
)</f>
        <v>0</v>
      </c>
      <c r="Y828" s="168" t="str">
        <f>VLOOKUP(Transactions[[#This Row],[Symbol]],Symbols[], COLUMN(Symbols[Currency])-COLUMN(Symbols[])+1,FALSE)</f>
        <v>CNY</v>
      </c>
    </row>
    <row r="829" spans="1:25">
      <c r="A829" s="155" t="s">
        <v>82</v>
      </c>
      <c r="B829" s="156">
        <v>42326</v>
      </c>
      <c r="C829" s="155" t="s">
        <v>115</v>
      </c>
      <c r="D829" s="155"/>
      <c r="E829" s="155" t="s">
        <v>498</v>
      </c>
      <c r="F829" s="157">
        <v>5000</v>
      </c>
      <c r="G829" s="158">
        <v>103.131</v>
      </c>
      <c r="H829" s="157">
        <v>0</v>
      </c>
      <c r="I829" s="157"/>
      <c r="J829" s="159">
        <v>515655</v>
      </c>
      <c r="K829" s="6" t="s">
        <v>641</v>
      </c>
      <c r="L829" s="20">
        <f>IF(ISNA(MATCH(Transactions[[#This Row],[TransType]],TransTypes[TransType],0)),1,MATCH(Transactions[[#This Row],[TransType]],TransTypes[TransType],0))</f>
        <v>3</v>
      </c>
      <c r="M829" s="160">
        <f>IF( AND( INDEX(TransTypes[],Transactions[[#This Row],[TTR]],TT_COL_GLFlag)=1, INDEX(TransTypes[],Transactions[[#This Row],[TTR]],TT_COL_LONGORSHORT)="S" ),
      Transactions[[#This Row],[PL]],
      IF(INDEX(TransTypes[],Transactions[[#This Row],[TTR]],TT_COL_LONGORSHORT)="S",0,Transactions[[#This Row],[CalCashImpact]])
)</f>
        <v>515655</v>
      </c>
      <c r="N829" s="161">
        <f>IF(VLOOKUP(Transactions[[#This Row],[Symbol]],Symbols[],COLUMN(Symbols[Currency])-COLUMN(Symbols[])+1,FALSE)=
       VLOOKUP(Transactions[[#This Row],[Account]],Accounts[],COLUMN(Accounts[Currency])-COLUMN(Accounts[])+1,FALSE),
     Transactions[[#This Row],[OrigCashImpact]],
     0
)</f>
        <v>515655</v>
      </c>
      <c r="O8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523916.89999999979</v>
      </c>
      <c r="P8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8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8800</v>
      </c>
      <c r="R829" s="41">
        <f>ROW()</f>
        <v>829</v>
      </c>
      <c r="S8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-515555</v>
      </c>
      <c r="T8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907376.8</v>
      </c>
      <c r="U8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13800</v>
      </c>
      <c r="V829" s="166">
        <f>IF(INDEX(TransTypes[],Transactions[[#This Row],[TTR]],TT_COL_GLFlag)=1,Transactions[[#This Row],[CalCashImpact]]+Transactions[[#This Row],[CostImpact]],0)</f>
        <v>100</v>
      </c>
      <c r="W829" s="167">
        <f>Transactions[[#This Row],[Amount]]*INDEX(TransTypes[],Transactions[[#This Row],[TTR]],TT_COL_AmntSign)</f>
        <v>515655</v>
      </c>
      <c r="X829" s="167">
        <f>IF(INDEX(TransTypes[],Transactions[[#This Row],[TTR]],TT_COL_LONGORSHORT)="S",
      IF( OR(INDEX(TransTypes[],Transactions[[#This Row],[TTR]],TT_COL_GLFlag)=1, INDEX(TransTypes[], Transactions[[#This Row],[TTR]], TT_COL_ShareTransferFlag)=1),
            Transactions[[#This Row],[CostImpact]]*-1,
            Transactions[[#This Row],[CalCashImpact]]
      ),
     0
)</f>
        <v>0</v>
      </c>
      <c r="Y829" s="168" t="str">
        <f>VLOOKUP(Transactions[[#This Row],[Symbol]],Symbols[], COLUMN(Symbols[Currency])-COLUMN(Symbols[])+1,FALSE)</f>
        <v>CNY</v>
      </c>
    </row>
    <row r="830" spans="1:25">
      <c r="A830" s="155" t="s">
        <v>82</v>
      </c>
      <c r="B830" s="156">
        <v>42327</v>
      </c>
      <c r="C830" s="155" t="s">
        <v>119</v>
      </c>
      <c r="D830" s="155"/>
      <c r="E830" s="155" t="s">
        <v>211</v>
      </c>
      <c r="F830" s="157"/>
      <c r="G830" s="158"/>
      <c r="H830" s="157"/>
      <c r="I830" s="157"/>
      <c r="J830" s="159">
        <v>500000</v>
      </c>
      <c r="K830" s="6" t="s">
        <v>641</v>
      </c>
      <c r="L830" s="20">
        <f>IF(ISNA(MATCH(Transactions[[#This Row],[TransType]],TransTypes[TransType],0)),1,MATCH(Transactions[[#This Row],[TransType]],TransTypes[TransType],0))</f>
        <v>5</v>
      </c>
      <c r="M830" s="160">
        <f>IF( AND( INDEX(TransTypes[],Transactions[[#This Row],[TTR]],TT_COL_GLFlag)=1, INDEX(TransTypes[],Transactions[[#This Row],[TTR]],TT_COL_LONGORSHORT)="S" ),
      Transactions[[#This Row],[PL]],
      IF(INDEX(TransTypes[],Transactions[[#This Row],[TTR]],TT_COL_LONGORSHORT)="S",0,Transactions[[#This Row],[CalCashImpact]])
)</f>
        <v>-500000</v>
      </c>
      <c r="N830" s="161">
        <f>IF(VLOOKUP(Transactions[[#This Row],[Symbol]],Symbols[],COLUMN(Symbols[Currency])-COLUMN(Symbols[])+1,FALSE)=
       VLOOKUP(Transactions[[#This Row],[Account]],Accounts[],COLUMN(Accounts[Currency])-COLUMN(Accounts[])+1,FALSE),
     Transactions[[#This Row],[OrigCashImpact]],
     0
)</f>
        <v>-500000</v>
      </c>
      <c r="O8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23916.89999999979</v>
      </c>
      <c r="P8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30" s="41">
        <f>ROW()</f>
        <v>830</v>
      </c>
      <c r="S8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30" s="166">
        <f>IF(INDEX(TransTypes[],Transactions[[#This Row],[TTR]],TT_COL_GLFlag)=1,Transactions[[#This Row],[CalCashImpact]]+Transactions[[#This Row],[CostImpact]],0)</f>
        <v>0</v>
      </c>
      <c r="W830" s="167">
        <f>Transactions[[#This Row],[Amount]]*INDEX(TransTypes[],Transactions[[#This Row],[TTR]],TT_COL_AmntSign)</f>
        <v>-500000</v>
      </c>
      <c r="X830" s="167">
        <f>IF(INDEX(TransTypes[],Transactions[[#This Row],[TTR]],TT_COL_LONGORSHORT)="S",
      IF( OR(INDEX(TransTypes[],Transactions[[#This Row],[TTR]],TT_COL_GLFlag)=1, INDEX(TransTypes[], Transactions[[#This Row],[TTR]], TT_COL_ShareTransferFlag)=1),
            Transactions[[#This Row],[CostImpact]]*-1,
            Transactions[[#This Row],[CalCashImpact]]
      ),
     0
)</f>
        <v>0</v>
      </c>
      <c r="Y830" s="168" t="str">
        <f>VLOOKUP(Transactions[[#This Row],[Symbol]],Symbols[], COLUMN(Symbols[Currency])-COLUMN(Symbols[])+1,FALSE)</f>
        <v>CNY</v>
      </c>
    </row>
    <row r="831" spans="1:25">
      <c r="A831" s="155" t="s">
        <v>82</v>
      </c>
      <c r="B831" s="156">
        <v>42328</v>
      </c>
      <c r="C831" s="155" t="s">
        <v>113</v>
      </c>
      <c r="D831" s="155"/>
      <c r="E831" s="155" t="s">
        <v>660</v>
      </c>
      <c r="F831" s="157">
        <v>3800</v>
      </c>
      <c r="G831" s="158">
        <v>31.805</v>
      </c>
      <c r="H831" s="157">
        <v>120.86</v>
      </c>
      <c r="I831" s="157"/>
      <c r="J831" s="159">
        <v>120979.86</v>
      </c>
      <c r="K831" s="6" t="s">
        <v>641</v>
      </c>
      <c r="L831" s="20">
        <f>IF(ISNA(MATCH(Transactions[[#This Row],[TransType]],TransTypes[TransType],0)),1,MATCH(Transactions[[#This Row],[TransType]],TransTypes[TransType],0))</f>
        <v>2</v>
      </c>
      <c r="M831" s="160">
        <f>IF( AND( INDEX(TransTypes[],Transactions[[#This Row],[TTR]],TT_COL_GLFlag)=1, INDEX(TransTypes[],Transactions[[#This Row],[TTR]],TT_COL_LONGORSHORT)="S" ),
      Transactions[[#This Row],[PL]],
      IF(INDEX(TransTypes[],Transactions[[#This Row],[TTR]],TT_COL_LONGORSHORT)="S",0,Transactions[[#This Row],[CalCashImpact]])
)</f>
        <v>-120979.86</v>
      </c>
      <c r="N831" s="161">
        <f>IF(VLOOKUP(Transactions[[#This Row],[Symbol]],Symbols[],COLUMN(Symbols[Currency])-COLUMN(Symbols[])+1,FALSE)=
       VLOOKUP(Transactions[[#This Row],[Account]],Accounts[],COLUMN(Accounts[Currency])-COLUMN(Accounts[])+1,FALSE),
     Transactions[[#This Row],[OrigCashImpact]],
     0
)</f>
        <v>-120979.86</v>
      </c>
      <c r="O8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-97062.96000000021</v>
      </c>
      <c r="P8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3800</v>
      </c>
      <c r="Q8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3800</v>
      </c>
      <c r="R831" s="41">
        <f>ROW()</f>
        <v>831</v>
      </c>
      <c r="S8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120979.86</v>
      </c>
      <c r="T8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120979.86</v>
      </c>
      <c r="U8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3800</v>
      </c>
      <c r="V831" s="166">
        <f>IF(INDEX(TransTypes[],Transactions[[#This Row],[TTR]],TT_COL_GLFlag)=1,Transactions[[#This Row],[CalCashImpact]]+Transactions[[#This Row],[CostImpact]],0)</f>
        <v>0</v>
      </c>
      <c r="W831" s="167">
        <f>Transactions[[#This Row],[Amount]]*INDEX(TransTypes[],Transactions[[#This Row],[TTR]],TT_COL_AmntSign)</f>
        <v>-120979.86</v>
      </c>
      <c r="X831" s="167">
        <f>IF(INDEX(TransTypes[],Transactions[[#This Row],[TTR]],TT_COL_LONGORSHORT)="S",
      IF( OR(INDEX(TransTypes[],Transactions[[#This Row],[TTR]],TT_COL_GLFlag)=1, INDEX(TransTypes[], Transactions[[#This Row],[TTR]], TT_COL_ShareTransferFlag)=1),
            Transactions[[#This Row],[CostImpact]]*-1,
            Transactions[[#This Row],[CalCashImpact]]
      ),
     0
)</f>
        <v>0</v>
      </c>
      <c r="Y831" s="168" t="str">
        <f>VLOOKUP(Transactions[[#This Row],[Symbol]],Symbols[], COLUMN(Symbols[Currency])-COLUMN(Symbols[])+1,FALSE)</f>
        <v>CNY</v>
      </c>
    </row>
    <row r="832" spans="1:25">
      <c r="A832" s="155" t="s">
        <v>82</v>
      </c>
      <c r="B832" s="156">
        <v>42328</v>
      </c>
      <c r="C832" s="155" t="s">
        <v>113</v>
      </c>
      <c r="D832" s="155"/>
      <c r="E832" s="155" t="s">
        <v>467</v>
      </c>
      <c r="F832" s="157">
        <v>1000</v>
      </c>
      <c r="G832" s="158">
        <v>60.78</v>
      </c>
      <c r="H832" s="157">
        <v>60.78</v>
      </c>
      <c r="I832" s="157"/>
      <c r="J832" s="159">
        <v>60840.78</v>
      </c>
      <c r="K832" s="6" t="s">
        <v>641</v>
      </c>
      <c r="L832" s="20">
        <f>IF(ISNA(MATCH(Transactions[[#This Row],[TransType]],TransTypes[TransType],0)),1,MATCH(Transactions[[#This Row],[TransType]],TransTypes[TransType],0))</f>
        <v>2</v>
      </c>
      <c r="M832" s="160">
        <f>IF( AND( INDEX(TransTypes[],Transactions[[#This Row],[TTR]],TT_COL_GLFlag)=1, INDEX(TransTypes[],Transactions[[#This Row],[TTR]],TT_COL_LONGORSHORT)="S" ),
      Transactions[[#This Row],[PL]],
      IF(INDEX(TransTypes[],Transactions[[#This Row],[TTR]],TT_COL_LONGORSHORT)="S",0,Transactions[[#This Row],[CalCashImpact]])
)</f>
        <v>-60840.78</v>
      </c>
      <c r="N832" s="161">
        <f>IF(VLOOKUP(Transactions[[#This Row],[Symbol]],Symbols[],COLUMN(Symbols[Currency])-COLUMN(Symbols[])+1,FALSE)=
       VLOOKUP(Transactions[[#This Row],[Account]],Accounts[],COLUMN(Accounts[Currency])-COLUMN(Accounts[])+1,FALSE),
     Transactions[[#This Row],[OrigCashImpact]],
     0
)</f>
        <v>-60840.78</v>
      </c>
      <c r="O8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-157903.74000000022</v>
      </c>
      <c r="P8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832" s="41">
        <f>ROW()</f>
        <v>832</v>
      </c>
      <c r="S8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60840.78</v>
      </c>
      <c r="T8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158856.6</v>
      </c>
      <c r="U8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832" s="166">
        <f>IF(INDEX(TransTypes[],Transactions[[#This Row],[TTR]],TT_COL_GLFlag)=1,Transactions[[#This Row],[CalCashImpact]]+Transactions[[#This Row],[CostImpact]],0)</f>
        <v>0</v>
      </c>
      <c r="W832" s="167">
        <f>Transactions[[#This Row],[Amount]]*INDEX(TransTypes[],Transactions[[#This Row],[TTR]],TT_COL_AmntSign)</f>
        <v>-60840.78</v>
      </c>
      <c r="X832" s="167">
        <f>IF(INDEX(TransTypes[],Transactions[[#This Row],[TTR]],TT_COL_LONGORSHORT)="S",
      IF( OR(INDEX(TransTypes[],Transactions[[#This Row],[TTR]],TT_COL_GLFlag)=1, INDEX(TransTypes[], Transactions[[#This Row],[TTR]], TT_COL_ShareTransferFlag)=1),
            Transactions[[#This Row],[CostImpact]]*-1,
            Transactions[[#This Row],[CalCashImpact]]
      ),
     0
)</f>
        <v>0</v>
      </c>
      <c r="Y832" s="168" t="str">
        <f>VLOOKUP(Transactions[[#This Row],[Symbol]],Symbols[], COLUMN(Symbols[Currency])-COLUMN(Symbols[])+1,FALSE)</f>
        <v>CNY</v>
      </c>
    </row>
    <row r="833" spans="1:25">
      <c r="A833" s="155" t="s">
        <v>82</v>
      </c>
      <c r="B833" s="156">
        <v>42328</v>
      </c>
      <c r="C833" s="155" t="s">
        <v>113</v>
      </c>
      <c r="D833" s="155"/>
      <c r="E833" s="155" t="s">
        <v>644</v>
      </c>
      <c r="F833" s="157">
        <v>2000</v>
      </c>
      <c r="G833" s="158">
        <v>61.814</v>
      </c>
      <c r="H833" s="157">
        <v>123.6</v>
      </c>
      <c r="I833" s="157"/>
      <c r="J833" s="159">
        <v>123751.6</v>
      </c>
      <c r="K833" s="6" t="s">
        <v>641</v>
      </c>
      <c r="L833" s="20">
        <f>IF(ISNA(MATCH(Transactions[[#This Row],[TransType]],TransTypes[TransType],0)),1,MATCH(Transactions[[#This Row],[TransType]],TransTypes[TransType],0))</f>
        <v>2</v>
      </c>
      <c r="M833" s="160">
        <f>IF( AND( INDEX(TransTypes[],Transactions[[#This Row],[TTR]],TT_COL_GLFlag)=1, INDEX(TransTypes[],Transactions[[#This Row],[TTR]],TT_COL_LONGORSHORT)="S" ),
      Transactions[[#This Row],[PL]],
      IF(INDEX(TransTypes[],Transactions[[#This Row],[TTR]],TT_COL_LONGORSHORT)="S",0,Transactions[[#This Row],[CalCashImpact]])
)</f>
        <v>-123751.6</v>
      </c>
      <c r="N833" s="161">
        <f>IF(VLOOKUP(Transactions[[#This Row],[Symbol]],Symbols[],COLUMN(Symbols[Currency])-COLUMN(Symbols[])+1,FALSE)=
       VLOOKUP(Transactions[[#This Row],[Account]],Accounts[],COLUMN(Accounts[Currency])-COLUMN(Accounts[])+1,FALSE),
     Transactions[[#This Row],[OrigCashImpact]],
     0
)</f>
        <v>-123751.6</v>
      </c>
      <c r="O8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-281655.3400000002</v>
      </c>
      <c r="P8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8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833" s="41">
        <f>ROW()</f>
        <v>833</v>
      </c>
      <c r="S8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123751.6</v>
      </c>
      <c r="T8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169402.17250000002</v>
      </c>
      <c r="U8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833" s="166">
        <f>IF(INDEX(TransTypes[],Transactions[[#This Row],[TTR]],TT_COL_GLFlag)=1,Transactions[[#This Row],[CalCashImpact]]+Transactions[[#This Row],[CostImpact]],0)</f>
        <v>0</v>
      </c>
      <c r="W833" s="167">
        <f>Transactions[[#This Row],[Amount]]*INDEX(TransTypes[],Transactions[[#This Row],[TTR]],TT_COL_AmntSign)</f>
        <v>-123751.6</v>
      </c>
      <c r="X833" s="167">
        <f>IF(INDEX(TransTypes[],Transactions[[#This Row],[TTR]],TT_COL_LONGORSHORT)="S",
      IF( OR(INDEX(TransTypes[],Transactions[[#This Row],[TTR]],TT_COL_GLFlag)=1, INDEX(TransTypes[], Transactions[[#This Row],[TTR]], TT_COL_ShareTransferFlag)=1),
            Transactions[[#This Row],[CostImpact]]*-1,
            Transactions[[#This Row],[CalCashImpact]]
      ),
     0
)</f>
        <v>0</v>
      </c>
      <c r="Y833" s="168" t="str">
        <f>VLOOKUP(Transactions[[#This Row],[Symbol]],Symbols[], COLUMN(Symbols[Currency])-COLUMN(Symbols[])+1,FALSE)</f>
        <v>CNY</v>
      </c>
    </row>
    <row r="834" spans="1:25">
      <c r="A834" s="155" t="s">
        <v>82</v>
      </c>
      <c r="B834" s="156">
        <v>42328</v>
      </c>
      <c r="C834" s="155" t="s">
        <v>115</v>
      </c>
      <c r="D834" s="155"/>
      <c r="E834" s="155" t="s">
        <v>658</v>
      </c>
      <c r="F834" s="157">
        <v>4000</v>
      </c>
      <c r="G834" s="158">
        <v>26.3</v>
      </c>
      <c r="H834" s="157">
        <v>212.5</v>
      </c>
      <c r="I834" s="157"/>
      <c r="J834" s="159">
        <v>104987.5</v>
      </c>
      <c r="K834" s="6" t="s">
        <v>641</v>
      </c>
      <c r="L834" s="20">
        <f>IF(ISNA(MATCH(Transactions[[#This Row],[TransType]],TransTypes[TransType],0)),1,MATCH(Transactions[[#This Row],[TransType]],TransTypes[TransType],0))</f>
        <v>3</v>
      </c>
      <c r="M834" s="160">
        <f>IF( AND( INDEX(TransTypes[],Transactions[[#This Row],[TTR]],TT_COL_GLFlag)=1, INDEX(TransTypes[],Transactions[[#This Row],[TTR]],TT_COL_LONGORSHORT)="S" ),
      Transactions[[#This Row],[PL]],
      IF(INDEX(TransTypes[],Transactions[[#This Row],[TTR]],TT_COL_LONGORSHORT)="S",0,Transactions[[#This Row],[CalCashImpact]])
)</f>
        <v>104987.5</v>
      </c>
      <c r="N834" s="161">
        <f>IF(VLOOKUP(Transactions[[#This Row],[Symbol]],Symbols[],COLUMN(Symbols[Currency])-COLUMN(Symbols[])+1,FALSE)=
       VLOOKUP(Transactions[[#This Row],[Account]],Accounts[],COLUMN(Accounts[Currency])-COLUMN(Accounts[])+1,FALSE),
     Transactions[[#This Row],[OrigCashImpact]],
     0
)</f>
        <v>104987.5</v>
      </c>
      <c r="O8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-176667.8400000002</v>
      </c>
      <c r="P8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8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34" s="41">
        <f>ROW()</f>
        <v>834</v>
      </c>
      <c r="S8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-104826.81</v>
      </c>
      <c r="T8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834" s="166">
        <f>IF(INDEX(TransTypes[],Transactions[[#This Row],[TTR]],TT_COL_GLFlag)=1,Transactions[[#This Row],[CalCashImpact]]+Transactions[[#This Row],[CostImpact]],0)</f>
        <v>160.69000000000233</v>
      </c>
      <c r="W834" s="167">
        <f>Transactions[[#This Row],[Amount]]*INDEX(TransTypes[],Transactions[[#This Row],[TTR]],TT_COL_AmntSign)</f>
        <v>104987.5</v>
      </c>
      <c r="X834" s="167">
        <f>IF(INDEX(TransTypes[],Transactions[[#This Row],[TTR]],TT_COL_LONGORSHORT)="S",
      IF( OR(INDEX(TransTypes[],Transactions[[#This Row],[TTR]],TT_COL_GLFlag)=1, INDEX(TransTypes[], Transactions[[#This Row],[TTR]], TT_COL_ShareTransferFlag)=1),
            Transactions[[#This Row],[CostImpact]]*-1,
            Transactions[[#This Row],[CalCashImpact]]
      ),
     0
)</f>
        <v>0</v>
      </c>
      <c r="Y834" s="168" t="str">
        <f>VLOOKUP(Transactions[[#This Row],[Symbol]],Symbols[], COLUMN(Symbols[Currency])-COLUMN(Symbols[])+1,FALSE)</f>
        <v>CNY</v>
      </c>
    </row>
    <row r="835" spans="1:25">
      <c r="A835" s="155" t="s">
        <v>82</v>
      </c>
      <c r="B835" s="156">
        <v>42328</v>
      </c>
      <c r="C835" s="155" t="s">
        <v>115</v>
      </c>
      <c r="D835" s="155"/>
      <c r="E835" s="155" t="s">
        <v>659</v>
      </c>
      <c r="F835" s="157">
        <v>3000</v>
      </c>
      <c r="G835" s="158">
        <v>59.5</v>
      </c>
      <c r="H835" s="157">
        <v>360.57</v>
      </c>
      <c r="I835" s="157"/>
      <c r="J835" s="159">
        <v>178139.43</v>
      </c>
      <c r="K835" s="6" t="s">
        <v>641</v>
      </c>
      <c r="L835" s="20">
        <f>IF(ISNA(MATCH(Transactions[[#This Row],[TransType]],TransTypes[TransType],0)),1,MATCH(Transactions[[#This Row],[TransType]],TransTypes[TransType],0))</f>
        <v>3</v>
      </c>
      <c r="M835" s="160">
        <f>IF( AND( INDEX(TransTypes[],Transactions[[#This Row],[TTR]],TT_COL_GLFlag)=1, INDEX(TransTypes[],Transactions[[#This Row],[TTR]],TT_COL_LONGORSHORT)="S" ),
      Transactions[[#This Row],[PL]],
      IF(INDEX(TransTypes[],Transactions[[#This Row],[TTR]],TT_COL_LONGORSHORT)="S",0,Transactions[[#This Row],[CalCashImpact]])
)</f>
        <v>178139.43</v>
      </c>
      <c r="N835" s="161">
        <f>IF(VLOOKUP(Transactions[[#This Row],[Symbol]],Symbols[],COLUMN(Symbols[Currency])-COLUMN(Symbols[])+1,FALSE)=
       VLOOKUP(Transactions[[#This Row],[Account]],Accounts[],COLUMN(Accounts[Currency])-COLUMN(Accounts[])+1,FALSE),
     Transactions[[#This Row],[OrigCashImpact]],
     0
)</f>
        <v>178139.43</v>
      </c>
      <c r="O8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1471.5899999997928</v>
      </c>
      <c r="P8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8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35" s="41">
        <f>ROW()</f>
        <v>835</v>
      </c>
      <c r="S8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-139089.726</v>
      </c>
      <c r="T8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835" s="166">
        <f>IF(INDEX(TransTypes[],Transactions[[#This Row],[TTR]],TT_COL_GLFlag)=1,Transactions[[#This Row],[CalCashImpact]]+Transactions[[#This Row],[CostImpact]],0)</f>
        <v>39049.703999999998</v>
      </c>
      <c r="W835" s="167">
        <f>Transactions[[#This Row],[Amount]]*INDEX(TransTypes[],Transactions[[#This Row],[TTR]],TT_COL_AmntSign)</f>
        <v>178139.43</v>
      </c>
      <c r="X835" s="167">
        <f>IF(INDEX(TransTypes[],Transactions[[#This Row],[TTR]],TT_COL_LONGORSHORT)="S",
      IF( OR(INDEX(TransTypes[],Transactions[[#This Row],[TTR]],TT_COL_GLFlag)=1, INDEX(TransTypes[], Transactions[[#This Row],[TTR]], TT_COL_ShareTransferFlag)=1),
            Transactions[[#This Row],[CostImpact]]*-1,
            Transactions[[#This Row],[CalCashImpact]]
      ),
     0
)</f>
        <v>0</v>
      </c>
      <c r="Y835" s="168" t="str">
        <f>VLOOKUP(Transactions[[#This Row],[Symbol]],Symbols[], COLUMN(Symbols[Currency])-COLUMN(Symbols[])+1,FALSE)</f>
        <v>CNY</v>
      </c>
    </row>
    <row r="836" spans="1:25">
      <c r="A836" s="155" t="s">
        <v>82</v>
      </c>
      <c r="B836" s="156">
        <v>42335</v>
      </c>
      <c r="C836" s="155" t="s">
        <v>115</v>
      </c>
      <c r="D836" s="155"/>
      <c r="E836" s="155" t="s">
        <v>660</v>
      </c>
      <c r="F836" s="157">
        <v>1900</v>
      </c>
      <c r="G836" s="158">
        <v>30.334</v>
      </c>
      <c r="H836" s="157">
        <v>0</v>
      </c>
      <c r="I836" s="157"/>
      <c r="J836" s="159">
        <v>57634.6</v>
      </c>
      <c r="K836" s="6" t="s">
        <v>641</v>
      </c>
      <c r="L836" s="20">
        <f>IF(ISNA(MATCH(Transactions[[#This Row],[TransType]],TransTypes[TransType],0)),1,MATCH(Transactions[[#This Row],[TransType]],TransTypes[TransType],0))</f>
        <v>3</v>
      </c>
      <c r="M836" s="160">
        <f>IF( AND( INDEX(TransTypes[],Transactions[[#This Row],[TTR]],TT_COL_GLFlag)=1, INDEX(TransTypes[],Transactions[[#This Row],[TTR]],TT_COL_LONGORSHORT)="S" ),
      Transactions[[#This Row],[PL]],
      IF(INDEX(TransTypes[],Transactions[[#This Row],[TTR]],TT_COL_LONGORSHORT)="S",0,Transactions[[#This Row],[CalCashImpact]])
)</f>
        <v>57634.6</v>
      </c>
      <c r="N836" s="161">
        <f>IF(VLOOKUP(Transactions[[#This Row],[Symbol]],Symbols[],COLUMN(Symbols[Currency])-COLUMN(Symbols[])+1,FALSE)=
       VLOOKUP(Transactions[[#This Row],[Account]],Accounts[],COLUMN(Accounts[Currency])-COLUMN(Accounts[])+1,FALSE),
     Transactions[[#This Row],[OrigCashImpact]],
     0
)</f>
        <v>57634.6</v>
      </c>
      <c r="O8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59106.189999999791</v>
      </c>
      <c r="P8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-1900</v>
      </c>
      <c r="Q8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1900</v>
      </c>
      <c r="R836" s="41">
        <f>ROW()</f>
        <v>836</v>
      </c>
      <c r="S8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-60489.93</v>
      </c>
      <c r="T8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60489.93</v>
      </c>
      <c r="U8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3800</v>
      </c>
      <c r="V836" s="166">
        <f>IF(INDEX(TransTypes[],Transactions[[#This Row],[TTR]],TT_COL_GLFlag)=1,Transactions[[#This Row],[CalCashImpact]]+Transactions[[#This Row],[CostImpact]],0)</f>
        <v>-2855.3300000000017</v>
      </c>
      <c r="W836" s="167">
        <f>Transactions[[#This Row],[Amount]]*INDEX(TransTypes[],Transactions[[#This Row],[TTR]],TT_COL_AmntSign)</f>
        <v>57634.6</v>
      </c>
      <c r="X836" s="167">
        <f>IF(INDEX(TransTypes[],Transactions[[#This Row],[TTR]],TT_COL_LONGORSHORT)="S",
      IF( OR(INDEX(TransTypes[],Transactions[[#This Row],[TTR]],TT_COL_GLFlag)=1, INDEX(TransTypes[], Transactions[[#This Row],[TTR]], TT_COL_ShareTransferFlag)=1),
            Transactions[[#This Row],[CostImpact]]*-1,
            Transactions[[#This Row],[CalCashImpact]]
      ),
     0
)</f>
        <v>0</v>
      </c>
      <c r="Y836" s="168" t="str">
        <f>VLOOKUP(Transactions[[#This Row],[Symbol]],Symbols[], COLUMN(Symbols[Currency])-COLUMN(Symbols[])+1,FALSE)</f>
        <v>CNY</v>
      </c>
    </row>
    <row r="837" spans="1:25">
      <c r="A837" s="155" t="s">
        <v>82</v>
      </c>
      <c r="B837" s="156">
        <v>42335</v>
      </c>
      <c r="C837" s="155" t="s">
        <v>115</v>
      </c>
      <c r="D837" s="155"/>
      <c r="E837" s="155" t="s">
        <v>467</v>
      </c>
      <c r="F837" s="157">
        <v>1000</v>
      </c>
      <c r="G837" s="158">
        <v>60.81</v>
      </c>
      <c r="H837" s="157">
        <v>0</v>
      </c>
      <c r="I837" s="157"/>
      <c r="J837" s="159">
        <v>60810</v>
      </c>
      <c r="K837" s="6" t="s">
        <v>641</v>
      </c>
      <c r="L837" s="20">
        <f>IF(ISNA(MATCH(Transactions[[#This Row],[TransType]],TransTypes[TransType],0)),1,MATCH(Transactions[[#This Row],[TransType]],TransTypes[TransType],0))</f>
        <v>3</v>
      </c>
      <c r="M837" s="160">
        <f>IF( AND( INDEX(TransTypes[],Transactions[[#This Row],[TTR]],TT_COL_GLFlag)=1, INDEX(TransTypes[],Transactions[[#This Row],[TTR]],TT_COL_LONGORSHORT)="S" ),
      Transactions[[#This Row],[PL]],
      IF(INDEX(TransTypes[],Transactions[[#This Row],[TTR]],TT_COL_LONGORSHORT)="S",0,Transactions[[#This Row],[CalCashImpact]])
)</f>
        <v>60810</v>
      </c>
      <c r="N837" s="161">
        <f>IF(VLOOKUP(Transactions[[#This Row],[Symbol]],Symbols[],COLUMN(Symbols[Currency])-COLUMN(Symbols[])+1,FALSE)=
       VLOOKUP(Transactions[[#This Row],[Account]],Accounts[],COLUMN(Accounts[Currency])-COLUMN(Accounts[])+1,FALSE),
     Transactions[[#This Row],[OrigCashImpact]],
     0
)</f>
        <v>60810</v>
      </c>
      <c r="O8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119916.1899999998</v>
      </c>
      <c r="P8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837" s="41">
        <f>ROW()</f>
        <v>837</v>
      </c>
      <c r="S8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-52952.200000000004</v>
      </c>
      <c r="T8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105904.4</v>
      </c>
      <c r="U8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837" s="166">
        <f>IF(INDEX(TransTypes[],Transactions[[#This Row],[TTR]],TT_COL_GLFlag)=1,Transactions[[#This Row],[CalCashImpact]]+Transactions[[#This Row],[CostImpact]],0)</f>
        <v>7857.7999999999956</v>
      </c>
      <c r="W837" s="167">
        <f>Transactions[[#This Row],[Amount]]*INDEX(TransTypes[],Transactions[[#This Row],[TTR]],TT_COL_AmntSign)</f>
        <v>60810</v>
      </c>
      <c r="X837" s="167">
        <f>IF(INDEX(TransTypes[],Transactions[[#This Row],[TTR]],TT_COL_LONGORSHORT)="S",
      IF( OR(INDEX(TransTypes[],Transactions[[#This Row],[TTR]],TT_COL_GLFlag)=1, INDEX(TransTypes[], Transactions[[#This Row],[TTR]], TT_COL_ShareTransferFlag)=1),
            Transactions[[#This Row],[CostImpact]]*-1,
            Transactions[[#This Row],[CalCashImpact]]
      ),
     0
)</f>
        <v>0</v>
      </c>
      <c r="Y837" s="168" t="str">
        <f>VLOOKUP(Transactions[[#This Row],[Symbol]],Symbols[], COLUMN(Symbols[Currency])-COLUMN(Symbols[])+1,FALSE)</f>
        <v>CNY</v>
      </c>
    </row>
    <row r="838" spans="1:25">
      <c r="A838" s="155" t="s">
        <v>82</v>
      </c>
      <c r="B838" s="156">
        <v>42335</v>
      </c>
      <c r="C838" s="155" t="s">
        <v>115</v>
      </c>
      <c r="D838" s="155"/>
      <c r="E838" s="155" t="s">
        <v>644</v>
      </c>
      <c r="F838" s="157">
        <v>1000</v>
      </c>
      <c r="G838" s="158">
        <v>61.03</v>
      </c>
      <c r="H838" s="157">
        <v>0</v>
      </c>
      <c r="I838" s="157"/>
      <c r="J838" s="159">
        <v>61030</v>
      </c>
      <c r="K838" s="6" t="s">
        <v>641</v>
      </c>
      <c r="L838" s="20">
        <f>IF(ISNA(MATCH(Transactions[[#This Row],[TransType]],TransTypes[TransType],0)),1,MATCH(Transactions[[#This Row],[TransType]],TransTypes[TransType],0))</f>
        <v>3</v>
      </c>
      <c r="M838" s="160">
        <f>IF( AND( INDEX(TransTypes[],Transactions[[#This Row],[TTR]],TT_COL_GLFlag)=1, INDEX(TransTypes[],Transactions[[#This Row],[TTR]],TT_COL_LONGORSHORT)="S" ),
      Transactions[[#This Row],[PL]],
      IF(INDEX(TransTypes[],Transactions[[#This Row],[TTR]],TT_COL_LONGORSHORT)="S",0,Transactions[[#This Row],[CalCashImpact]])
)</f>
        <v>61030</v>
      </c>
      <c r="N838" s="161">
        <f>IF(VLOOKUP(Transactions[[#This Row],[Symbol]],Symbols[],COLUMN(Symbols[Currency])-COLUMN(Symbols[])+1,FALSE)=
       VLOOKUP(Transactions[[#This Row],[Account]],Accounts[],COLUMN(Accounts[Currency])-COLUMN(Accounts[])+1,FALSE),
     Transactions[[#This Row],[OrigCashImpact]],
     0
)</f>
        <v>61030</v>
      </c>
      <c r="O8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180946.1899999998</v>
      </c>
      <c r="P8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838" s="41">
        <f>ROW()</f>
        <v>838</v>
      </c>
      <c r="S8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-56467.390833333338</v>
      </c>
      <c r="T8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112934.78166666668</v>
      </c>
      <c r="U8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838" s="166">
        <f>IF(INDEX(TransTypes[],Transactions[[#This Row],[TTR]],TT_COL_GLFlag)=1,Transactions[[#This Row],[CalCashImpact]]+Transactions[[#This Row],[CostImpact]],0)</f>
        <v>4562.6091666666616</v>
      </c>
      <c r="W838" s="167">
        <f>Transactions[[#This Row],[Amount]]*INDEX(TransTypes[],Transactions[[#This Row],[TTR]],TT_COL_AmntSign)</f>
        <v>61030</v>
      </c>
      <c r="X838" s="167">
        <f>IF(INDEX(TransTypes[],Transactions[[#This Row],[TTR]],TT_COL_LONGORSHORT)="S",
      IF( OR(INDEX(TransTypes[],Transactions[[#This Row],[TTR]],TT_COL_GLFlag)=1, INDEX(TransTypes[], Transactions[[#This Row],[TTR]], TT_COL_ShareTransferFlag)=1),
            Transactions[[#This Row],[CostImpact]]*-1,
            Transactions[[#This Row],[CalCashImpact]]
      ),
     0
)</f>
        <v>0</v>
      </c>
      <c r="Y838" s="168" t="str">
        <f>VLOOKUP(Transactions[[#This Row],[Symbol]],Symbols[], COLUMN(Symbols[Currency])-COLUMN(Symbols[])+1,FALSE)</f>
        <v>CNY</v>
      </c>
    </row>
    <row r="839" spans="1:25">
      <c r="A839" s="155" t="s">
        <v>82</v>
      </c>
      <c r="B839" s="156">
        <v>42335</v>
      </c>
      <c r="C839" s="155" t="s">
        <v>115</v>
      </c>
      <c r="D839" s="155"/>
      <c r="E839" s="155" t="s">
        <v>642</v>
      </c>
      <c r="F839" s="157">
        <v>700</v>
      </c>
      <c r="G839" s="158">
        <v>30.643999999999998</v>
      </c>
      <c r="H839" s="157">
        <v>0</v>
      </c>
      <c r="I839" s="157"/>
      <c r="J839" s="159">
        <v>21450.799999999999</v>
      </c>
      <c r="K839" s="6" t="s">
        <v>641</v>
      </c>
      <c r="L839" s="20">
        <f>IF(ISNA(MATCH(Transactions[[#This Row],[TransType]],TransTypes[TransType],0)),1,MATCH(Transactions[[#This Row],[TransType]],TransTypes[TransType],0))</f>
        <v>3</v>
      </c>
      <c r="M839" s="160">
        <f>IF( AND( INDEX(TransTypes[],Transactions[[#This Row],[TTR]],TT_COL_GLFlag)=1, INDEX(TransTypes[],Transactions[[#This Row],[TTR]],TT_COL_LONGORSHORT)="S" ),
      Transactions[[#This Row],[PL]],
      IF(INDEX(TransTypes[],Transactions[[#This Row],[TTR]],TT_COL_LONGORSHORT)="S",0,Transactions[[#This Row],[CalCashImpact]])
)</f>
        <v>21450.799999999999</v>
      </c>
      <c r="N839" s="161">
        <f>IF(VLOOKUP(Transactions[[#This Row],[Symbol]],Symbols[],COLUMN(Symbols[Currency])-COLUMN(Symbols[])+1,FALSE)=
       VLOOKUP(Transactions[[#This Row],[Account]],Accounts[],COLUMN(Accounts[Currency])-COLUMN(Accounts[])+1,FALSE),
     Transactions[[#This Row],[OrigCashImpact]],
     0
)</f>
        <v>21450.799999999999</v>
      </c>
      <c r="O8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202396.98999999979</v>
      </c>
      <c r="P8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v>
      </c>
      <c r="Q8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2300</v>
      </c>
      <c r="R839" s="41">
        <f>ROW()</f>
        <v>839</v>
      </c>
      <c r="S8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-17814.243125000001</v>
      </c>
      <c r="T8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58532.513125000005</v>
      </c>
      <c r="U8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839" s="166">
        <f>IF(INDEX(TransTypes[],Transactions[[#This Row],[TTR]],TT_COL_GLFlag)=1,Transactions[[#This Row],[CalCashImpact]]+Transactions[[#This Row],[CostImpact]],0)</f>
        <v>3636.5568749999984</v>
      </c>
      <c r="W839" s="167">
        <f>Transactions[[#This Row],[Amount]]*INDEX(TransTypes[],Transactions[[#This Row],[TTR]],TT_COL_AmntSign)</f>
        <v>21450.799999999999</v>
      </c>
      <c r="X839" s="167">
        <f>IF(INDEX(TransTypes[],Transactions[[#This Row],[TTR]],TT_COL_LONGORSHORT)="S",
      IF( OR(INDEX(TransTypes[],Transactions[[#This Row],[TTR]],TT_COL_GLFlag)=1, INDEX(TransTypes[], Transactions[[#This Row],[TTR]], TT_COL_ShareTransferFlag)=1),
            Transactions[[#This Row],[CostImpact]]*-1,
            Transactions[[#This Row],[CalCashImpact]]
      ),
     0
)</f>
        <v>0</v>
      </c>
      <c r="Y839" s="168" t="str">
        <f>VLOOKUP(Transactions[[#This Row],[Symbol]],Symbols[], COLUMN(Symbols[Currency])-COLUMN(Symbols[])+1,FALSE)</f>
        <v>CNY</v>
      </c>
    </row>
    <row r="840" spans="1:25">
      <c r="A840" s="155" t="s">
        <v>82</v>
      </c>
      <c r="B840" s="156">
        <v>42335</v>
      </c>
      <c r="C840" s="155" t="s">
        <v>115</v>
      </c>
      <c r="D840" s="155"/>
      <c r="E840" s="155" t="s">
        <v>649</v>
      </c>
      <c r="F840" s="157">
        <v>1600</v>
      </c>
      <c r="G840" s="158">
        <v>46.98</v>
      </c>
      <c r="H840" s="157">
        <v>0</v>
      </c>
      <c r="I840" s="157"/>
      <c r="J840" s="159">
        <v>75168</v>
      </c>
      <c r="K840" s="6" t="s">
        <v>641</v>
      </c>
      <c r="L840" s="20">
        <f>IF(ISNA(MATCH(Transactions[[#This Row],[TransType]],TransTypes[TransType],0)),1,MATCH(Transactions[[#This Row],[TransType]],TransTypes[TransType],0))</f>
        <v>3</v>
      </c>
      <c r="M840" s="160">
        <f>IF( AND( INDEX(TransTypes[],Transactions[[#This Row],[TTR]],TT_COL_GLFlag)=1, INDEX(TransTypes[],Transactions[[#This Row],[TTR]],TT_COL_LONGORSHORT)="S" ),
      Transactions[[#This Row],[PL]],
      IF(INDEX(TransTypes[],Transactions[[#This Row],[TTR]],TT_COL_LONGORSHORT)="S",0,Transactions[[#This Row],[CalCashImpact]])
)</f>
        <v>75168</v>
      </c>
      <c r="N840" s="161">
        <f>IF(VLOOKUP(Transactions[[#This Row],[Symbol]],Symbols[],COLUMN(Symbols[Currency])-COLUMN(Symbols[])+1,FALSE)=
       VLOOKUP(Transactions[[#This Row],[Account]],Accounts[],COLUMN(Accounts[Currency])-COLUMN(Accounts[])+1,FALSE),
     Transactions[[#This Row],[OrigCashImpact]],
     0
)</f>
        <v>75168</v>
      </c>
      <c r="O8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277564.98999999982</v>
      </c>
      <c r="P8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-1600</v>
      </c>
      <c r="Q8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3400</v>
      </c>
      <c r="R840" s="41">
        <f>ROW()</f>
        <v>840</v>
      </c>
      <c r="S8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-73269.388800000001</v>
      </c>
      <c r="T8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155697.45120000001</v>
      </c>
      <c r="U8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840" s="166">
        <f>IF(INDEX(TransTypes[],Transactions[[#This Row],[TTR]],TT_COL_GLFlag)=1,Transactions[[#This Row],[CalCashImpact]]+Transactions[[#This Row],[CostImpact]],0)</f>
        <v>1898.6111999999994</v>
      </c>
      <c r="W840" s="167">
        <f>Transactions[[#This Row],[Amount]]*INDEX(TransTypes[],Transactions[[#This Row],[TTR]],TT_COL_AmntSign)</f>
        <v>75168</v>
      </c>
      <c r="X840" s="167">
        <f>IF(INDEX(TransTypes[],Transactions[[#This Row],[TTR]],TT_COL_LONGORSHORT)="S",
      IF( OR(INDEX(TransTypes[],Transactions[[#This Row],[TTR]],TT_COL_GLFlag)=1, INDEX(TransTypes[], Transactions[[#This Row],[TTR]], TT_COL_ShareTransferFlag)=1),
            Transactions[[#This Row],[CostImpact]]*-1,
            Transactions[[#This Row],[CalCashImpact]]
      ),
     0
)</f>
        <v>0</v>
      </c>
      <c r="Y840" s="168" t="str">
        <f>VLOOKUP(Transactions[[#This Row],[Symbol]],Symbols[], COLUMN(Symbols[Currency])-COLUMN(Symbols[])+1,FALSE)</f>
        <v>CNY</v>
      </c>
    </row>
    <row r="841" spans="1:25">
      <c r="A841" s="155" t="s">
        <v>82</v>
      </c>
      <c r="B841" s="156">
        <v>42335</v>
      </c>
      <c r="C841" s="155" t="s">
        <v>115</v>
      </c>
      <c r="D841" s="155"/>
      <c r="E841" s="155" t="s">
        <v>464</v>
      </c>
      <c r="F841" s="157">
        <v>300</v>
      </c>
      <c r="G841" s="158">
        <v>210.036</v>
      </c>
      <c r="H841" s="157">
        <v>0</v>
      </c>
      <c r="I841" s="157"/>
      <c r="J841" s="159">
        <v>63010.8</v>
      </c>
      <c r="K841" s="6" t="s">
        <v>641</v>
      </c>
      <c r="L841" s="20">
        <f>IF(ISNA(MATCH(Transactions[[#This Row],[TransType]],TransTypes[TransType],0)),1,MATCH(Transactions[[#This Row],[TransType]],TransTypes[TransType],0))</f>
        <v>3</v>
      </c>
      <c r="M841" s="160">
        <f>IF( AND( INDEX(TransTypes[],Transactions[[#This Row],[TTR]],TT_COL_GLFlag)=1, INDEX(TransTypes[],Transactions[[#This Row],[TTR]],TT_COL_LONGORSHORT)="S" ),
      Transactions[[#This Row],[PL]],
      IF(INDEX(TransTypes[],Transactions[[#This Row],[TTR]],TT_COL_LONGORSHORT)="S",0,Transactions[[#This Row],[CalCashImpact]])
)</f>
        <v>63010.8</v>
      </c>
      <c r="N841" s="161">
        <f>IF(VLOOKUP(Transactions[[#This Row],[Symbol]],Symbols[],COLUMN(Symbols[Currency])-COLUMN(Symbols[])+1,FALSE)=
       VLOOKUP(Transactions[[#This Row],[Account]],Accounts[],COLUMN(Accounts[Currency])-COLUMN(Accounts[])+1,FALSE),
     Transactions[[#This Row],[OrigCashImpact]],
     0
)</f>
        <v>63010.8</v>
      </c>
      <c r="O8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340575.7899999998</v>
      </c>
      <c r="P8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8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841" s="41">
        <f>ROW()</f>
        <v>841</v>
      </c>
      <c r="S8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-61948.42500000001</v>
      </c>
      <c r="T8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144546.32500000001</v>
      </c>
      <c r="U8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841" s="166">
        <f>IF(INDEX(TransTypes[],Transactions[[#This Row],[TTR]],TT_COL_GLFlag)=1,Transactions[[#This Row],[CalCashImpact]]+Transactions[[#This Row],[CostImpact]],0)</f>
        <v>1062.3749999999927</v>
      </c>
      <c r="W841" s="167">
        <f>Transactions[[#This Row],[Amount]]*INDEX(TransTypes[],Transactions[[#This Row],[TTR]],TT_COL_AmntSign)</f>
        <v>63010.8</v>
      </c>
      <c r="X841" s="167">
        <f>IF(INDEX(TransTypes[],Transactions[[#This Row],[TTR]],TT_COL_LONGORSHORT)="S",
      IF( OR(INDEX(TransTypes[],Transactions[[#This Row],[TTR]],TT_COL_GLFlag)=1, INDEX(TransTypes[], Transactions[[#This Row],[TTR]], TT_COL_ShareTransferFlag)=1),
            Transactions[[#This Row],[CostImpact]]*-1,
            Transactions[[#This Row],[CalCashImpact]]
      ),
     0
)</f>
        <v>0</v>
      </c>
      <c r="Y841" s="168" t="str">
        <f>VLOOKUP(Transactions[[#This Row],[Symbol]],Symbols[], COLUMN(Symbols[Currency])-COLUMN(Symbols[])+1,FALSE)</f>
        <v>CNY</v>
      </c>
    </row>
    <row r="842" spans="1:25">
      <c r="A842" s="155" t="s">
        <v>82</v>
      </c>
      <c r="B842" s="156">
        <v>42338</v>
      </c>
      <c r="C842" s="155" t="s">
        <v>113</v>
      </c>
      <c r="D842" s="155"/>
      <c r="E842" s="155" t="s">
        <v>661</v>
      </c>
      <c r="F842" s="157">
        <v>200000</v>
      </c>
      <c r="G842" s="158">
        <v>0.94499999999999995</v>
      </c>
      <c r="H842" s="157">
        <v>189</v>
      </c>
      <c r="I842" s="157"/>
      <c r="J842" s="159">
        <v>189189</v>
      </c>
      <c r="K842" s="6" t="s">
        <v>641</v>
      </c>
      <c r="L842" s="20">
        <f>IF(ISNA(MATCH(Transactions[[#This Row],[TransType]],TransTypes[TransType],0)),1,MATCH(Transactions[[#This Row],[TransType]],TransTypes[TransType],0))</f>
        <v>2</v>
      </c>
      <c r="M842" s="160">
        <f>IF( AND( INDEX(TransTypes[],Transactions[[#This Row],[TTR]],TT_COL_GLFlag)=1, INDEX(TransTypes[],Transactions[[#This Row],[TTR]],TT_COL_LONGORSHORT)="S" ),
      Transactions[[#This Row],[PL]],
      IF(INDEX(TransTypes[],Transactions[[#This Row],[TTR]],TT_COL_LONGORSHORT)="S",0,Transactions[[#This Row],[CalCashImpact]])
)</f>
        <v>-189189</v>
      </c>
      <c r="N842" s="161">
        <f>IF(VLOOKUP(Transactions[[#This Row],[Symbol]],Symbols[],COLUMN(Symbols[Currency])-COLUMN(Symbols[])+1,FALSE)=
       VLOOKUP(Transactions[[#This Row],[Account]],Accounts[],COLUMN(Accounts[Currency])-COLUMN(Accounts[])+1,FALSE),
     Transactions[[#This Row],[OrigCashImpact]],
     0
)</f>
        <v>-189189</v>
      </c>
      <c r="O8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151386.78999999975</v>
      </c>
      <c r="P8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8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842" s="41">
        <f>ROW()</f>
        <v>842</v>
      </c>
      <c r="S8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189189</v>
      </c>
      <c r="T8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189189</v>
      </c>
      <c r="U8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842" s="166">
        <f>IF(INDEX(TransTypes[],Transactions[[#This Row],[TTR]],TT_COL_GLFlag)=1,Transactions[[#This Row],[CalCashImpact]]+Transactions[[#This Row],[CostImpact]],0)</f>
        <v>0</v>
      </c>
      <c r="W842" s="167">
        <f>Transactions[[#This Row],[Amount]]*INDEX(TransTypes[],Transactions[[#This Row],[TTR]],TT_COL_AmntSign)</f>
        <v>-189189</v>
      </c>
      <c r="X842" s="167">
        <f>IF(INDEX(TransTypes[],Transactions[[#This Row],[TTR]],TT_COL_LONGORSHORT)="S",
      IF( OR(INDEX(TransTypes[],Transactions[[#This Row],[TTR]],TT_COL_GLFlag)=1, INDEX(TransTypes[], Transactions[[#This Row],[TTR]], TT_COL_ShareTransferFlag)=1),
            Transactions[[#This Row],[CostImpact]]*-1,
            Transactions[[#This Row],[CalCashImpact]]
      ),
     0
)</f>
        <v>0</v>
      </c>
      <c r="Y842" s="168" t="str">
        <f>VLOOKUP(Transactions[[#This Row],[Symbol]],Symbols[], COLUMN(Symbols[Currency])-COLUMN(Symbols[])+1,FALSE)</f>
        <v>CNY</v>
      </c>
    </row>
    <row r="843" spans="1:25">
      <c r="A843" s="155" t="s">
        <v>82</v>
      </c>
      <c r="B843" s="156">
        <v>42338</v>
      </c>
      <c r="C843" s="155" t="s">
        <v>115</v>
      </c>
      <c r="D843" s="155"/>
      <c r="E843" s="155" t="s">
        <v>644</v>
      </c>
      <c r="F843" s="157">
        <v>1000</v>
      </c>
      <c r="G843" s="158">
        <v>59.67</v>
      </c>
      <c r="H843" s="157">
        <v>119.34</v>
      </c>
      <c r="I843" s="157"/>
      <c r="J843" s="159">
        <v>59550.66</v>
      </c>
      <c r="K843" s="6" t="s">
        <v>641</v>
      </c>
      <c r="L843" s="20">
        <f>IF(ISNA(MATCH(Transactions[[#This Row],[TransType]],TransTypes[TransType],0)),1,MATCH(Transactions[[#This Row],[TransType]],TransTypes[TransType],0))</f>
        <v>3</v>
      </c>
      <c r="M843" s="160">
        <f>IF( AND( INDEX(TransTypes[],Transactions[[#This Row],[TTR]],TT_COL_GLFlag)=1, INDEX(TransTypes[],Transactions[[#This Row],[TTR]],TT_COL_LONGORSHORT)="S" ),
      Transactions[[#This Row],[PL]],
      IF(INDEX(TransTypes[],Transactions[[#This Row],[TTR]],TT_COL_LONGORSHORT)="S",0,Transactions[[#This Row],[CalCashImpact]])
)</f>
        <v>59550.66</v>
      </c>
      <c r="N843" s="161">
        <f>IF(VLOOKUP(Transactions[[#This Row],[Symbol]],Symbols[],COLUMN(Symbols[Currency])-COLUMN(Symbols[])+1,FALSE)=
       VLOOKUP(Transactions[[#This Row],[Account]],Accounts[],COLUMN(Accounts[Currency])-COLUMN(Accounts[])+1,FALSE),
     Transactions[[#This Row],[OrigCashImpact]],
     0
)</f>
        <v>59550.66</v>
      </c>
      <c r="O8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210937.44999999975</v>
      </c>
      <c r="P8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843" s="41">
        <f>ROW()</f>
        <v>843</v>
      </c>
      <c r="S8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-56467.390833333338</v>
      </c>
      <c r="T8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56467.390833333338</v>
      </c>
      <c r="U8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843" s="166">
        <f>IF(INDEX(TransTypes[],Transactions[[#This Row],[TTR]],TT_COL_GLFlag)=1,Transactions[[#This Row],[CalCashImpact]]+Transactions[[#This Row],[CostImpact]],0)</f>
        <v>3083.2691666666651</v>
      </c>
      <c r="W843" s="167">
        <f>Transactions[[#This Row],[Amount]]*INDEX(TransTypes[],Transactions[[#This Row],[TTR]],TT_COL_AmntSign)</f>
        <v>59550.66</v>
      </c>
      <c r="X843" s="167">
        <f>IF(INDEX(TransTypes[],Transactions[[#This Row],[TTR]],TT_COL_LONGORSHORT)="S",
      IF( OR(INDEX(TransTypes[],Transactions[[#This Row],[TTR]],TT_COL_GLFlag)=1, INDEX(TransTypes[], Transactions[[#This Row],[TTR]], TT_COL_ShareTransferFlag)=1),
            Transactions[[#This Row],[CostImpact]]*-1,
            Transactions[[#This Row],[CalCashImpact]]
      ),
     0
)</f>
        <v>0</v>
      </c>
      <c r="Y843" s="168" t="str">
        <f>VLOOKUP(Transactions[[#This Row],[Symbol]],Symbols[], COLUMN(Symbols[Currency])-COLUMN(Symbols[])+1,FALSE)</f>
        <v>CNY</v>
      </c>
    </row>
    <row r="844" spans="1:25">
      <c r="A844" s="155" t="s">
        <v>82</v>
      </c>
      <c r="B844" s="156">
        <v>42338</v>
      </c>
      <c r="C844" s="155" t="s">
        <v>115</v>
      </c>
      <c r="D844" s="155"/>
      <c r="E844" s="155" t="s">
        <v>467</v>
      </c>
      <c r="F844" s="157">
        <v>1000</v>
      </c>
      <c r="G844" s="158">
        <v>56.35</v>
      </c>
      <c r="H844" s="157">
        <v>112.7</v>
      </c>
      <c r="I844" s="157"/>
      <c r="J844" s="159">
        <v>56237.3</v>
      </c>
      <c r="K844" s="6" t="s">
        <v>641</v>
      </c>
      <c r="L844" s="20">
        <f>IF(ISNA(MATCH(Transactions[[#This Row],[TransType]],TransTypes[TransType],0)),1,MATCH(Transactions[[#This Row],[TransType]],TransTypes[TransType],0))</f>
        <v>3</v>
      </c>
      <c r="M844" s="160">
        <f>IF( AND( INDEX(TransTypes[],Transactions[[#This Row],[TTR]],TT_COL_GLFlag)=1, INDEX(TransTypes[],Transactions[[#This Row],[TTR]],TT_COL_LONGORSHORT)="S" ),
      Transactions[[#This Row],[PL]],
      IF(INDEX(TransTypes[],Transactions[[#This Row],[TTR]],TT_COL_LONGORSHORT)="S",0,Transactions[[#This Row],[CalCashImpact]])
)</f>
        <v>56237.3</v>
      </c>
      <c r="N844" s="161">
        <f>IF(VLOOKUP(Transactions[[#This Row],[Symbol]],Symbols[],COLUMN(Symbols[Currency])-COLUMN(Symbols[])+1,FALSE)=
       VLOOKUP(Transactions[[#This Row],[Account]],Accounts[],COLUMN(Accounts[Currency])-COLUMN(Accounts[])+1,FALSE),
     Transactions[[#This Row],[OrigCashImpact]],
     0
)</f>
        <v>56237.3</v>
      </c>
      <c r="O8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267174.74999999977</v>
      </c>
      <c r="P8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844" s="41">
        <f>ROW()</f>
        <v>844</v>
      </c>
      <c r="S8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-52952.2</v>
      </c>
      <c r="T8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52952.2</v>
      </c>
      <c r="U8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844" s="166">
        <f>IF(INDEX(TransTypes[],Transactions[[#This Row],[TTR]],TT_COL_GLFlag)=1,Transactions[[#This Row],[CalCashImpact]]+Transactions[[#This Row],[CostImpact]],0)</f>
        <v>3285.1000000000058</v>
      </c>
      <c r="W844" s="167">
        <f>Transactions[[#This Row],[Amount]]*INDEX(TransTypes[],Transactions[[#This Row],[TTR]],TT_COL_AmntSign)</f>
        <v>56237.3</v>
      </c>
      <c r="X844" s="167">
        <f>IF(INDEX(TransTypes[],Transactions[[#This Row],[TTR]],TT_COL_LONGORSHORT)="S",
      IF( OR(INDEX(TransTypes[],Transactions[[#This Row],[TTR]],TT_COL_GLFlag)=1, INDEX(TransTypes[], Transactions[[#This Row],[TTR]], TT_COL_ShareTransferFlag)=1),
            Transactions[[#This Row],[CostImpact]]*-1,
            Transactions[[#This Row],[CalCashImpact]]
      ),
     0
)</f>
        <v>0</v>
      </c>
      <c r="Y844" s="168" t="str">
        <f>VLOOKUP(Transactions[[#This Row],[Symbol]],Symbols[], COLUMN(Symbols[Currency])-COLUMN(Symbols[])+1,FALSE)</f>
        <v>CNY</v>
      </c>
    </row>
    <row r="845" spans="1:25">
      <c r="A845" s="155" t="s">
        <v>82</v>
      </c>
      <c r="B845" s="156">
        <v>42338</v>
      </c>
      <c r="C845" s="155" t="s">
        <v>115</v>
      </c>
      <c r="D845" s="155"/>
      <c r="E845" s="155" t="s">
        <v>467</v>
      </c>
      <c r="F845" s="157">
        <v>1000</v>
      </c>
      <c r="G845" s="158">
        <v>56.4</v>
      </c>
      <c r="H845" s="157">
        <v>112.8</v>
      </c>
      <c r="I845" s="157"/>
      <c r="J845" s="159">
        <v>56287.199999999997</v>
      </c>
      <c r="K845" s="6" t="s">
        <v>641</v>
      </c>
      <c r="L845" s="20">
        <f>IF(ISNA(MATCH(Transactions[[#This Row],[TransType]],TransTypes[TransType],0)),1,MATCH(Transactions[[#This Row],[TransType]],TransTypes[TransType],0))</f>
        <v>3</v>
      </c>
      <c r="M845" s="160">
        <f>IF( AND( INDEX(TransTypes[],Transactions[[#This Row],[TTR]],TT_COL_GLFlag)=1, INDEX(TransTypes[],Transactions[[#This Row],[TTR]],TT_COL_LONGORSHORT)="S" ),
      Transactions[[#This Row],[PL]],
      IF(INDEX(TransTypes[],Transactions[[#This Row],[TTR]],TT_COL_LONGORSHORT)="S",0,Transactions[[#This Row],[CalCashImpact]])
)</f>
        <v>56287.199999999997</v>
      </c>
      <c r="N845" s="161">
        <f>IF(VLOOKUP(Transactions[[#This Row],[Symbol]],Symbols[],COLUMN(Symbols[Currency])-COLUMN(Symbols[])+1,FALSE)=
       VLOOKUP(Transactions[[#This Row],[Account]],Accounts[],COLUMN(Accounts[Currency])-COLUMN(Accounts[])+1,FALSE),
     Transactions[[#This Row],[OrigCashImpact]],
     0
)</f>
        <v>56287.199999999997</v>
      </c>
      <c r="O8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323461.94999999972</v>
      </c>
      <c r="P8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45" s="41">
        <f>ROW()</f>
        <v>845</v>
      </c>
      <c r="S8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-52952.2</v>
      </c>
      <c r="T8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845" s="166">
        <f>IF(INDEX(TransTypes[],Transactions[[#This Row],[TTR]],TT_COL_GLFlag)=1,Transactions[[#This Row],[CalCashImpact]]+Transactions[[#This Row],[CostImpact]],0)</f>
        <v>3335</v>
      </c>
      <c r="W845" s="167">
        <f>Transactions[[#This Row],[Amount]]*INDEX(TransTypes[],Transactions[[#This Row],[TTR]],TT_COL_AmntSign)</f>
        <v>56287.199999999997</v>
      </c>
      <c r="X845" s="167">
        <f>IF(INDEX(TransTypes[],Transactions[[#This Row],[TTR]],TT_COL_LONGORSHORT)="S",
      IF( OR(INDEX(TransTypes[],Transactions[[#This Row],[TTR]],TT_COL_GLFlag)=1, INDEX(TransTypes[], Transactions[[#This Row],[TTR]], TT_COL_ShareTransferFlag)=1),
            Transactions[[#This Row],[CostImpact]]*-1,
            Transactions[[#This Row],[CalCashImpact]]
      ),
     0
)</f>
        <v>0</v>
      </c>
      <c r="Y845" s="168" t="str">
        <f>VLOOKUP(Transactions[[#This Row],[Symbol]],Symbols[], COLUMN(Symbols[Currency])-COLUMN(Symbols[])+1,FALSE)</f>
        <v>CNY</v>
      </c>
    </row>
    <row r="846" spans="1:25">
      <c r="A846" s="155" t="s">
        <v>82</v>
      </c>
      <c r="B846" s="156">
        <v>42338</v>
      </c>
      <c r="C846" s="155" t="s">
        <v>115</v>
      </c>
      <c r="D846" s="155"/>
      <c r="E846" s="155" t="s">
        <v>464</v>
      </c>
      <c r="F846" s="157">
        <v>200</v>
      </c>
      <c r="G846" s="158">
        <v>209.49</v>
      </c>
      <c r="H846" s="157">
        <v>84.64</v>
      </c>
      <c r="I846" s="157"/>
      <c r="J846" s="159">
        <v>41813.360000000001</v>
      </c>
      <c r="K846" s="6" t="s">
        <v>641</v>
      </c>
      <c r="L846" s="20">
        <f>IF(ISNA(MATCH(Transactions[[#This Row],[TransType]],TransTypes[TransType],0)),1,MATCH(Transactions[[#This Row],[TransType]],TransTypes[TransType],0))</f>
        <v>3</v>
      </c>
      <c r="M846" s="160">
        <f>IF( AND( INDEX(TransTypes[],Transactions[[#This Row],[TTR]],TT_COL_GLFlag)=1, INDEX(TransTypes[],Transactions[[#This Row],[TTR]],TT_COL_LONGORSHORT)="S" ),
      Transactions[[#This Row],[PL]],
      IF(INDEX(TransTypes[],Transactions[[#This Row],[TTR]],TT_COL_LONGORSHORT)="S",0,Transactions[[#This Row],[CalCashImpact]])
)</f>
        <v>41813.360000000001</v>
      </c>
      <c r="N846" s="161">
        <f>IF(VLOOKUP(Transactions[[#This Row],[Symbol]],Symbols[],COLUMN(Symbols[Currency])-COLUMN(Symbols[])+1,FALSE)=
       VLOOKUP(Transactions[[#This Row],[Account]],Accounts[],COLUMN(Accounts[Currency])-COLUMN(Accounts[])+1,FALSE),
     Transactions[[#This Row],[OrigCashImpact]],
     0
)</f>
        <v>41813.360000000001</v>
      </c>
      <c r="O8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365275.30999999976</v>
      </c>
      <c r="P8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8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846" s="41">
        <f>ROW()</f>
        <v>846</v>
      </c>
      <c r="S8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-41298.950000000004</v>
      </c>
      <c r="T8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103247.375</v>
      </c>
      <c r="U8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846" s="166">
        <f>IF(INDEX(TransTypes[],Transactions[[#This Row],[TTR]],TT_COL_GLFlag)=1,Transactions[[#This Row],[CalCashImpact]]+Transactions[[#This Row],[CostImpact]],0)</f>
        <v>514.40999999999622</v>
      </c>
      <c r="W846" s="167">
        <f>Transactions[[#This Row],[Amount]]*INDEX(TransTypes[],Transactions[[#This Row],[TTR]],TT_COL_AmntSign)</f>
        <v>41813.360000000001</v>
      </c>
      <c r="X846" s="167">
        <f>IF(INDEX(TransTypes[],Transactions[[#This Row],[TTR]],TT_COL_LONGORSHORT)="S",
      IF( OR(INDEX(TransTypes[],Transactions[[#This Row],[TTR]],TT_COL_GLFlag)=1, INDEX(TransTypes[], Transactions[[#This Row],[TTR]], TT_COL_ShareTransferFlag)=1),
            Transactions[[#This Row],[CostImpact]]*-1,
            Transactions[[#This Row],[CalCashImpact]]
      ),
     0
)</f>
        <v>0</v>
      </c>
      <c r="Y846" s="168" t="str">
        <f>VLOOKUP(Transactions[[#This Row],[Symbol]],Symbols[], COLUMN(Symbols[Currency])-COLUMN(Symbols[])+1,FALSE)</f>
        <v>CNY</v>
      </c>
    </row>
    <row r="847" spans="1:25">
      <c r="A847" s="155" t="s">
        <v>82</v>
      </c>
      <c r="B847" s="156">
        <v>42338</v>
      </c>
      <c r="C847" s="155" t="s">
        <v>115</v>
      </c>
      <c r="D847" s="155"/>
      <c r="E847" s="155" t="s">
        <v>498</v>
      </c>
      <c r="F847" s="157">
        <v>8800</v>
      </c>
      <c r="G847" s="158">
        <v>103.163</v>
      </c>
      <c r="H847" s="157">
        <v>0</v>
      </c>
      <c r="I847" s="157"/>
      <c r="J847" s="159">
        <v>907834.4</v>
      </c>
      <c r="K847" s="6" t="s">
        <v>641</v>
      </c>
      <c r="L847" s="20">
        <f>IF(ISNA(MATCH(Transactions[[#This Row],[TransType]],TransTypes[TransType],0)),1,MATCH(Transactions[[#This Row],[TransType]],TransTypes[TransType],0))</f>
        <v>3</v>
      </c>
      <c r="M847" s="160">
        <f>IF( AND( INDEX(TransTypes[],Transactions[[#This Row],[TTR]],TT_COL_GLFlag)=1, INDEX(TransTypes[],Transactions[[#This Row],[TTR]],TT_COL_LONGORSHORT)="S" ),
      Transactions[[#This Row],[PL]],
      IF(INDEX(TransTypes[],Transactions[[#This Row],[TTR]],TT_COL_LONGORSHORT)="S",0,Transactions[[#This Row],[CalCashImpact]])
)</f>
        <v>907834.4</v>
      </c>
      <c r="N847" s="161">
        <f>IF(VLOOKUP(Transactions[[#This Row],[Symbol]],Symbols[],COLUMN(Symbols[Currency])-COLUMN(Symbols[])+1,FALSE)=
       VLOOKUP(Transactions[[#This Row],[Account]],Accounts[],COLUMN(Accounts[Currency])-COLUMN(Accounts[])+1,FALSE),
     Transactions[[#This Row],[OrigCashImpact]],
     0
)</f>
        <v>907834.4</v>
      </c>
      <c r="O8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1273109.7099999997</v>
      </c>
      <c r="P8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-8800</v>
      </c>
      <c r="Q8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47" s="41">
        <f>ROW()</f>
        <v>847</v>
      </c>
      <c r="S8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-907376.8</v>
      </c>
      <c r="T8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8800</v>
      </c>
      <c r="V847" s="166">
        <f>IF(INDEX(TransTypes[],Transactions[[#This Row],[TTR]],TT_COL_GLFlag)=1,Transactions[[#This Row],[CalCashImpact]]+Transactions[[#This Row],[CostImpact]],0)</f>
        <v>457.59999999997672</v>
      </c>
      <c r="W847" s="167">
        <f>Transactions[[#This Row],[Amount]]*INDEX(TransTypes[],Transactions[[#This Row],[TTR]],TT_COL_AmntSign)</f>
        <v>907834.4</v>
      </c>
      <c r="X847" s="167">
        <f>IF(INDEX(TransTypes[],Transactions[[#This Row],[TTR]],TT_COL_LONGORSHORT)="S",
      IF( OR(INDEX(TransTypes[],Transactions[[#This Row],[TTR]],TT_COL_GLFlag)=1, INDEX(TransTypes[], Transactions[[#This Row],[TTR]], TT_COL_ShareTransferFlag)=1),
            Transactions[[#This Row],[CostImpact]]*-1,
            Transactions[[#This Row],[CalCashImpact]]
      ),
     0
)</f>
        <v>0</v>
      </c>
      <c r="Y847" s="168" t="str">
        <f>VLOOKUP(Transactions[[#This Row],[Symbol]],Symbols[], COLUMN(Symbols[Currency])-COLUMN(Symbols[])+1,FALSE)</f>
        <v>CNY</v>
      </c>
    </row>
    <row r="848" spans="1:25">
      <c r="A848" s="155" t="s">
        <v>82</v>
      </c>
      <c r="B848" s="156">
        <v>42338</v>
      </c>
      <c r="C848" s="155" t="s">
        <v>115</v>
      </c>
      <c r="D848" s="155"/>
      <c r="E848" s="155" t="s">
        <v>649</v>
      </c>
      <c r="F848" s="157">
        <v>1400</v>
      </c>
      <c r="G848" s="158">
        <v>46.15</v>
      </c>
      <c r="H848" s="157">
        <v>129.22</v>
      </c>
      <c r="I848" s="157"/>
      <c r="J848" s="159">
        <v>64480.78</v>
      </c>
      <c r="K848" s="6" t="s">
        <v>641</v>
      </c>
      <c r="L848" s="20">
        <f>IF(ISNA(MATCH(Transactions[[#This Row],[TransType]],TransTypes[TransType],0)),1,MATCH(Transactions[[#This Row],[TransType]],TransTypes[TransType],0))</f>
        <v>3</v>
      </c>
      <c r="M848" s="160">
        <f>IF( AND( INDEX(TransTypes[],Transactions[[#This Row],[TTR]],TT_COL_GLFlag)=1, INDEX(TransTypes[],Transactions[[#This Row],[TTR]],TT_COL_LONGORSHORT)="S" ),
      Transactions[[#This Row],[PL]],
      IF(INDEX(TransTypes[],Transactions[[#This Row],[TTR]],TT_COL_LONGORSHORT)="S",0,Transactions[[#This Row],[CalCashImpact]])
)</f>
        <v>64480.78</v>
      </c>
      <c r="N848" s="161">
        <f>IF(VLOOKUP(Transactions[[#This Row],[Symbol]],Symbols[],COLUMN(Symbols[Currency])-COLUMN(Symbols[])+1,FALSE)=
       VLOOKUP(Transactions[[#This Row],[Account]],Accounts[],COLUMN(Accounts[Currency])-COLUMN(Accounts[])+1,FALSE),
     Transactions[[#This Row],[OrigCashImpact]],
     0
)</f>
        <v>64480.78</v>
      </c>
      <c r="O8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1337590.4899999998</v>
      </c>
      <c r="P8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-1400</v>
      </c>
      <c r="Q8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848" s="41">
        <f>ROW()</f>
        <v>848</v>
      </c>
      <c r="S8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-64110.715199999999</v>
      </c>
      <c r="T8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91586.736000000004</v>
      </c>
      <c r="U8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3400</v>
      </c>
      <c r="V848" s="166">
        <f>IF(INDEX(TransTypes[],Transactions[[#This Row],[TTR]],TT_COL_GLFlag)=1,Transactions[[#This Row],[CalCashImpact]]+Transactions[[#This Row],[CostImpact]],0)</f>
        <v>370.0648000000001</v>
      </c>
      <c r="W848" s="167">
        <f>Transactions[[#This Row],[Amount]]*INDEX(TransTypes[],Transactions[[#This Row],[TTR]],TT_COL_AmntSign)</f>
        <v>64480.78</v>
      </c>
      <c r="X848" s="167">
        <f>IF(INDEX(TransTypes[],Transactions[[#This Row],[TTR]],TT_COL_LONGORSHORT)="S",
      IF( OR(INDEX(TransTypes[],Transactions[[#This Row],[TTR]],TT_COL_GLFlag)=1, INDEX(TransTypes[], Transactions[[#This Row],[TTR]], TT_COL_ShareTransferFlag)=1),
            Transactions[[#This Row],[CostImpact]]*-1,
            Transactions[[#This Row],[CalCashImpact]]
      ),
     0
)</f>
        <v>0</v>
      </c>
      <c r="Y848" s="168" t="str">
        <f>VLOOKUP(Transactions[[#This Row],[Symbol]],Symbols[], COLUMN(Symbols[Currency])-COLUMN(Symbols[])+1,FALSE)</f>
        <v>CNY</v>
      </c>
    </row>
    <row r="849" spans="1:25">
      <c r="A849" s="155" t="s">
        <v>82</v>
      </c>
      <c r="B849" s="156">
        <v>42339</v>
      </c>
      <c r="C849" s="155" t="s">
        <v>152</v>
      </c>
      <c r="D849" s="155"/>
      <c r="E849" s="155" t="s">
        <v>210</v>
      </c>
      <c r="F849" s="157">
        <v>16198.26</v>
      </c>
      <c r="G849" s="158">
        <f>Transactions[[#This Row],[Amount]]/Transactions[[#This Row],[Qty]]</f>
        <v>1.1260030398326735</v>
      </c>
      <c r="H849" s="157"/>
      <c r="I849" s="157"/>
      <c r="J849" s="159">
        <v>18239.29</v>
      </c>
      <c r="K849" s="6" t="s">
        <v>662</v>
      </c>
      <c r="L849" s="20">
        <f>IF(ISNA(MATCH(Transactions[[#This Row],[TransType]],TransTypes[TransType],0)),1,MATCH(Transactions[[#This Row],[TransType]],TransTypes[TransType],0))</f>
        <v>15</v>
      </c>
      <c r="M849" s="160">
        <f>IF( AND( INDEX(TransTypes[],Transactions[[#This Row],[TTR]],TT_COL_GLFlag)=1, INDEX(TransTypes[],Transactions[[#This Row],[TTR]],TT_COL_LONGORSHORT)="S" ),
      Transactions[[#This Row],[PL]],
      IF(INDEX(TransTypes[],Transactions[[#This Row],[TTR]],TT_COL_LONGORSHORT)="S",0,Transactions[[#This Row],[CalCashImpact]])
)</f>
        <v>18239.29</v>
      </c>
      <c r="N849" s="161">
        <f>IF(VLOOKUP(Transactions[[#This Row],[Symbol]],Symbols[],COLUMN(Symbols[Currency])-COLUMN(Symbols[])+1,FALSE)=
       VLOOKUP(Transactions[[#This Row],[Account]],Accounts[],COLUMN(Accounts[Currency])-COLUMN(Accounts[])+1,FALSE),
     Transactions[[#This Row],[OrigCashImpact]],
     0
)</f>
        <v>0</v>
      </c>
      <c r="O8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1337590.4899999998</v>
      </c>
      <c r="P8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49" s="41">
        <f>ROW()</f>
        <v>849</v>
      </c>
      <c r="S8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49" s="166">
        <f>IF(INDEX(TransTypes[],Transactions[[#This Row],[TTR]],TT_COL_GLFlag)=1,Transactions[[#This Row],[CalCashImpact]]+Transactions[[#This Row],[CostImpact]],0)</f>
        <v>0</v>
      </c>
      <c r="W849" s="167">
        <f>Transactions[[#This Row],[Amount]]*INDEX(TransTypes[],Transactions[[#This Row],[TTR]],TT_COL_AmntSign)</f>
        <v>18239.29</v>
      </c>
      <c r="X849" s="167">
        <f>IF(INDEX(TransTypes[],Transactions[[#This Row],[TTR]],TT_COL_LONGORSHORT)="S",
      IF( OR(INDEX(TransTypes[],Transactions[[#This Row],[TTR]],TT_COL_GLFlag)=1, INDEX(TransTypes[], Transactions[[#This Row],[TTR]], TT_COL_ShareTransferFlag)=1),
            Transactions[[#This Row],[CostImpact]]*-1,
            Transactions[[#This Row],[CalCashImpact]]
      ),
     0
)</f>
        <v>0</v>
      </c>
      <c r="Y849" s="168" t="str">
        <f>VLOOKUP(Transactions[[#This Row],[Symbol]],Symbols[], COLUMN(Symbols[Currency])-COLUMN(Symbols[])+1,FALSE)</f>
        <v>HKD</v>
      </c>
    </row>
    <row r="850" spans="1:25">
      <c r="A850" s="155" t="s">
        <v>82</v>
      </c>
      <c r="B850" s="156">
        <v>42339</v>
      </c>
      <c r="C850" s="155" t="s">
        <v>238</v>
      </c>
      <c r="D850" s="155"/>
      <c r="E850" s="155" t="s">
        <v>211</v>
      </c>
      <c r="F850" s="157">
        <v>16198.26</v>
      </c>
      <c r="G850" s="158">
        <v>1</v>
      </c>
      <c r="H850" s="157"/>
      <c r="I850" s="157"/>
      <c r="J850" s="159">
        <v>16198.26</v>
      </c>
      <c r="K850" s="6" t="s">
        <v>663</v>
      </c>
      <c r="L850" s="20">
        <f>IF(ISNA(MATCH(Transactions[[#This Row],[TransType]],TransTypes[TransType],0)),1,MATCH(Transactions[[#This Row],[TransType]],TransTypes[TransType],0))</f>
        <v>16</v>
      </c>
      <c r="M850" s="160">
        <f>IF( AND( INDEX(TransTypes[],Transactions[[#This Row],[TTR]],TT_COL_GLFlag)=1, INDEX(TransTypes[],Transactions[[#This Row],[TTR]],TT_COL_LONGORSHORT)="S" ),
      Transactions[[#This Row],[PL]],
      IF(INDEX(TransTypes[],Transactions[[#This Row],[TTR]],TT_COL_LONGORSHORT)="S",0,Transactions[[#This Row],[CalCashImpact]])
)</f>
        <v>-16198.26</v>
      </c>
      <c r="N850" s="161">
        <f>IF(VLOOKUP(Transactions[[#This Row],[Symbol]],Symbols[],COLUMN(Symbols[Currency])-COLUMN(Symbols[])+1,FALSE)=
       VLOOKUP(Transactions[[#This Row],[Account]],Accounts[],COLUMN(Accounts[Currency])-COLUMN(Accounts[])+1,FALSE),
     Transactions[[#This Row],[OrigCashImpact]],
     0
)</f>
        <v>-16198.26</v>
      </c>
      <c r="O8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1321392.2299999997</v>
      </c>
      <c r="P8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50" s="41">
        <f>ROW()</f>
        <v>850</v>
      </c>
      <c r="S8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50" s="166">
        <f>IF(INDEX(TransTypes[],Transactions[[#This Row],[TTR]],TT_COL_GLFlag)=1,Transactions[[#This Row],[CalCashImpact]]+Transactions[[#This Row],[CostImpact]],0)</f>
        <v>0</v>
      </c>
      <c r="W850" s="167">
        <f>Transactions[[#This Row],[Amount]]*INDEX(TransTypes[],Transactions[[#This Row],[TTR]],TT_COL_AmntSign)</f>
        <v>-16198.26</v>
      </c>
      <c r="X850" s="167">
        <f>IF(INDEX(TransTypes[],Transactions[[#This Row],[TTR]],TT_COL_LONGORSHORT)="S",
      IF( OR(INDEX(TransTypes[],Transactions[[#This Row],[TTR]],TT_COL_GLFlag)=1, INDEX(TransTypes[], Transactions[[#This Row],[TTR]], TT_COL_ShareTransferFlag)=1),
            Transactions[[#This Row],[CostImpact]]*-1,
            Transactions[[#This Row],[CalCashImpact]]
      ),
     0
)</f>
        <v>0</v>
      </c>
      <c r="Y850" s="168" t="str">
        <f>VLOOKUP(Transactions[[#This Row],[Symbol]],Symbols[], COLUMN(Symbols[Currency])-COLUMN(Symbols[])+1,FALSE)</f>
        <v>CNY</v>
      </c>
    </row>
    <row r="851" spans="1:25">
      <c r="A851" s="155" t="s">
        <v>82</v>
      </c>
      <c r="B851" s="156">
        <v>42339</v>
      </c>
      <c r="C851" s="155" t="s">
        <v>113</v>
      </c>
      <c r="D851" s="155"/>
      <c r="E851" s="155" t="s">
        <v>646</v>
      </c>
      <c r="F851" s="157">
        <v>2000</v>
      </c>
      <c r="G851" s="158">
        <v>155.9</v>
      </c>
      <c r="H851" s="157">
        <v>1295.6500000000001</v>
      </c>
      <c r="I851" s="157"/>
      <c r="J851" s="159">
        <v>313095.65000000002</v>
      </c>
      <c r="K851" s="6" t="s">
        <v>641</v>
      </c>
      <c r="L851" s="20">
        <f>IF(ISNA(MATCH(Transactions[[#This Row],[TransType]],TransTypes[TransType],0)),1,MATCH(Transactions[[#This Row],[TransType]],TransTypes[TransType],0))</f>
        <v>2</v>
      </c>
      <c r="M851" s="160">
        <f>IF( AND( INDEX(TransTypes[],Transactions[[#This Row],[TTR]],TT_COL_GLFlag)=1, INDEX(TransTypes[],Transactions[[#This Row],[TTR]],TT_COL_LONGORSHORT)="S" ),
      Transactions[[#This Row],[PL]],
      IF(INDEX(TransTypes[],Transactions[[#This Row],[TTR]],TT_COL_LONGORSHORT)="S",0,Transactions[[#This Row],[CalCashImpact]])
)</f>
        <v>-313095.65000000002</v>
      </c>
      <c r="N851" s="161">
        <f>IF(VLOOKUP(Transactions[[#This Row],[Symbol]],Symbols[],COLUMN(Symbols[Currency])-COLUMN(Symbols[])+1,FALSE)=
       VLOOKUP(Transactions[[#This Row],[Account]],Accounts[],COLUMN(Accounts[Currency])-COLUMN(Accounts[])+1,FALSE),
     Transactions[[#This Row],[OrigCashImpact]],
     0
)</f>
        <v>0</v>
      </c>
      <c r="O8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1321392.2299999997</v>
      </c>
      <c r="P8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8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851" s="41">
        <f>ROW()</f>
        <v>851</v>
      </c>
      <c r="S8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313095.65000000002</v>
      </c>
      <c r="T8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579819.65</v>
      </c>
      <c r="U8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851" s="166">
        <f>IF(INDEX(TransTypes[],Transactions[[#This Row],[TTR]],TT_COL_GLFlag)=1,Transactions[[#This Row],[CalCashImpact]]+Transactions[[#This Row],[CostImpact]],0)</f>
        <v>0</v>
      </c>
      <c r="W851" s="167">
        <f>Transactions[[#This Row],[Amount]]*INDEX(TransTypes[],Transactions[[#This Row],[TTR]],TT_COL_AmntSign)</f>
        <v>-313095.65000000002</v>
      </c>
      <c r="X851" s="167">
        <f>IF(INDEX(TransTypes[],Transactions[[#This Row],[TTR]],TT_COL_LONGORSHORT)="S",
      IF( OR(INDEX(TransTypes[],Transactions[[#This Row],[TTR]],TT_COL_GLFlag)=1, INDEX(TransTypes[], Transactions[[#This Row],[TTR]], TT_COL_ShareTransferFlag)=1),
            Transactions[[#This Row],[CostImpact]]*-1,
            Transactions[[#This Row],[CalCashImpact]]
      ),
     0
)</f>
        <v>0</v>
      </c>
      <c r="Y851" s="168" t="str">
        <f>VLOOKUP(Transactions[[#This Row],[Symbol]],Symbols[], COLUMN(Symbols[Currency])-COLUMN(Symbols[])+1,FALSE)</f>
        <v>HKD</v>
      </c>
    </row>
    <row r="852" spans="1:25">
      <c r="A852" s="155" t="s">
        <v>82</v>
      </c>
      <c r="B852" s="156">
        <v>42339</v>
      </c>
      <c r="C852" s="155" t="s">
        <v>115</v>
      </c>
      <c r="D852" s="155"/>
      <c r="E852" s="155" t="s">
        <v>645</v>
      </c>
      <c r="F852" s="157">
        <v>120</v>
      </c>
      <c r="G852" s="158">
        <v>13.98</v>
      </c>
      <c r="H852" s="157">
        <v>10.83</v>
      </c>
      <c r="I852" s="157"/>
      <c r="J852" s="159">
        <v>1666.77</v>
      </c>
      <c r="K852" s="6" t="s">
        <v>641</v>
      </c>
      <c r="L852" s="20">
        <f>IF(ISNA(MATCH(Transactions[[#This Row],[TransType]],TransTypes[TransType],0)),1,MATCH(Transactions[[#This Row],[TransType]],TransTypes[TransType],0))</f>
        <v>3</v>
      </c>
      <c r="M852" s="160">
        <f>IF( AND( INDEX(TransTypes[],Transactions[[#This Row],[TTR]],TT_COL_GLFlag)=1, INDEX(TransTypes[],Transactions[[#This Row],[TTR]],TT_COL_LONGORSHORT)="S" ),
      Transactions[[#This Row],[PL]],
      IF(INDEX(TransTypes[],Transactions[[#This Row],[TTR]],TT_COL_LONGORSHORT)="S",0,Transactions[[#This Row],[CalCashImpact]])
)</f>
        <v>1666.77</v>
      </c>
      <c r="N852" s="161">
        <f>IF(VLOOKUP(Transactions[[#This Row],[Symbol]],Symbols[],COLUMN(Symbols[Currency])-COLUMN(Symbols[])+1,FALSE)=
       VLOOKUP(Transactions[[#This Row],[Account]],Accounts[],COLUMN(Accounts[Currency])-COLUMN(Accounts[])+1,FALSE),
     Transactions[[#This Row],[OrigCashImpact]],
     0
)</f>
        <v>0</v>
      </c>
      <c r="O8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1321392.2299999997</v>
      </c>
      <c r="P8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-120</v>
      </c>
      <c r="Q8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21000</v>
      </c>
      <c r="R852" s="41">
        <f>ROW()</f>
        <v>852</v>
      </c>
      <c r="S8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-1653.1840909090911</v>
      </c>
      <c r="T8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289307.21590909094</v>
      </c>
      <c r="U8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21120</v>
      </c>
      <c r="V852" s="166">
        <f>IF(INDEX(TransTypes[],Transactions[[#This Row],[TTR]],TT_COL_GLFlag)=1,Transactions[[#This Row],[CalCashImpact]]+Transactions[[#This Row],[CostImpact]],0)</f>
        <v>13.585909090908899</v>
      </c>
      <c r="W852" s="167">
        <f>Transactions[[#This Row],[Amount]]*INDEX(TransTypes[],Transactions[[#This Row],[TTR]],TT_COL_AmntSign)</f>
        <v>1666.77</v>
      </c>
      <c r="X852" s="167">
        <f>IF(INDEX(TransTypes[],Transactions[[#This Row],[TTR]],TT_COL_LONGORSHORT)="S",
      IF( OR(INDEX(TransTypes[],Transactions[[#This Row],[TTR]],TT_COL_GLFlag)=1, INDEX(TransTypes[], Transactions[[#This Row],[TTR]], TT_COL_ShareTransferFlag)=1),
            Transactions[[#This Row],[CostImpact]]*-1,
            Transactions[[#This Row],[CalCashImpact]]
      ),
     0
)</f>
        <v>0</v>
      </c>
      <c r="Y852" s="168" t="str">
        <f>VLOOKUP(Transactions[[#This Row],[Symbol]],Symbols[], COLUMN(Symbols[Currency])-COLUMN(Symbols[])+1,FALSE)</f>
        <v>HKD</v>
      </c>
    </row>
    <row r="853" spans="1:25">
      <c r="A853" s="155" t="s">
        <v>82</v>
      </c>
      <c r="B853" s="156">
        <v>42339</v>
      </c>
      <c r="C853" s="155" t="s">
        <v>115</v>
      </c>
      <c r="D853" s="155"/>
      <c r="E853" s="155" t="s">
        <v>645</v>
      </c>
      <c r="F853" s="157">
        <v>21000</v>
      </c>
      <c r="G853" s="158">
        <v>14.02</v>
      </c>
      <c r="H853" s="157">
        <v>1230.4100000000001</v>
      </c>
      <c r="I853" s="157"/>
      <c r="J853" s="159">
        <v>293189.59000000003</v>
      </c>
      <c r="K853" s="6" t="s">
        <v>641</v>
      </c>
      <c r="L853" s="20">
        <f>IF(ISNA(MATCH(Transactions[[#This Row],[TransType]],TransTypes[TransType],0)),1,MATCH(Transactions[[#This Row],[TransType]],TransTypes[TransType],0))</f>
        <v>3</v>
      </c>
      <c r="M853" s="160">
        <f>IF( AND( INDEX(TransTypes[],Transactions[[#This Row],[TTR]],TT_COL_GLFlag)=1, INDEX(TransTypes[],Transactions[[#This Row],[TTR]],TT_COL_LONGORSHORT)="S" ),
      Transactions[[#This Row],[PL]],
      IF(INDEX(TransTypes[],Transactions[[#This Row],[TTR]],TT_COL_LONGORSHORT)="S",0,Transactions[[#This Row],[CalCashImpact]])
)</f>
        <v>293189.59000000003</v>
      </c>
      <c r="N853" s="161">
        <f>IF(VLOOKUP(Transactions[[#This Row],[Symbol]],Symbols[],COLUMN(Symbols[Currency])-COLUMN(Symbols[])+1,FALSE)=
       VLOOKUP(Transactions[[#This Row],[Account]],Accounts[],COLUMN(Accounts[Currency])-COLUMN(Accounts[])+1,FALSE),
     Transactions[[#This Row],[OrigCashImpact]],
     0
)</f>
        <v>0</v>
      </c>
      <c r="O8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1321392.2299999997</v>
      </c>
      <c r="P8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-21000</v>
      </c>
      <c r="Q8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53" s="41">
        <f>ROW()</f>
        <v>853</v>
      </c>
      <c r="S8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-289307.21590909094</v>
      </c>
      <c r="T8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21000</v>
      </c>
      <c r="V853" s="166">
        <f>IF(INDEX(TransTypes[],Transactions[[#This Row],[TTR]],TT_COL_GLFlag)=1,Transactions[[#This Row],[CalCashImpact]]+Transactions[[#This Row],[CostImpact]],0)</f>
        <v>3882.3740909090848</v>
      </c>
      <c r="W853" s="167">
        <f>Transactions[[#This Row],[Amount]]*INDEX(TransTypes[],Transactions[[#This Row],[TTR]],TT_COL_AmntSign)</f>
        <v>293189.59000000003</v>
      </c>
      <c r="X853" s="167">
        <f>IF(INDEX(TransTypes[],Transactions[[#This Row],[TTR]],TT_COL_LONGORSHORT)="S",
      IF( OR(INDEX(TransTypes[],Transactions[[#This Row],[TTR]],TT_COL_GLFlag)=1, INDEX(TransTypes[], Transactions[[#This Row],[TTR]], TT_COL_ShareTransferFlag)=1),
            Transactions[[#This Row],[CostImpact]]*-1,
            Transactions[[#This Row],[CalCashImpact]]
      ),
     0
)</f>
        <v>0</v>
      </c>
      <c r="Y853" s="168" t="str">
        <f>VLOOKUP(Transactions[[#This Row],[Symbol]],Symbols[], COLUMN(Symbols[Currency])-COLUMN(Symbols[])+1,FALSE)</f>
        <v>HKD</v>
      </c>
    </row>
    <row r="854" spans="1:25">
      <c r="A854" s="155" t="s">
        <v>82</v>
      </c>
      <c r="B854" s="156">
        <v>42340</v>
      </c>
      <c r="C854" s="155" t="s">
        <v>113</v>
      </c>
      <c r="D854" s="155"/>
      <c r="E854" s="155" t="s">
        <v>661</v>
      </c>
      <c r="F854" s="157">
        <v>120000</v>
      </c>
      <c r="G854" s="158">
        <v>0.93300000000000005</v>
      </c>
      <c r="H854" s="157">
        <v>111.96</v>
      </c>
      <c r="I854" s="157"/>
      <c r="J854" s="159">
        <v>112071.96</v>
      </c>
      <c r="K854" s="6" t="s">
        <v>641</v>
      </c>
      <c r="L854" s="20">
        <f>IF(ISNA(MATCH(Transactions[[#This Row],[TransType]],TransTypes[TransType],0)),1,MATCH(Transactions[[#This Row],[TransType]],TransTypes[TransType],0))</f>
        <v>2</v>
      </c>
      <c r="M854" s="160">
        <f>IF( AND( INDEX(TransTypes[],Transactions[[#This Row],[TTR]],TT_COL_GLFlag)=1, INDEX(TransTypes[],Transactions[[#This Row],[TTR]],TT_COL_LONGORSHORT)="S" ),
      Transactions[[#This Row],[PL]],
      IF(INDEX(TransTypes[],Transactions[[#This Row],[TTR]],TT_COL_LONGORSHORT)="S",0,Transactions[[#This Row],[CalCashImpact]])
)</f>
        <v>-112071.96</v>
      </c>
      <c r="N854" s="161">
        <f>IF(VLOOKUP(Transactions[[#This Row],[Symbol]],Symbols[],COLUMN(Symbols[Currency])-COLUMN(Symbols[])+1,FALSE)=
       VLOOKUP(Transactions[[#This Row],[Account]],Accounts[],COLUMN(Accounts[Currency])-COLUMN(Accounts[])+1,FALSE),
     Transactions[[#This Row],[OrigCashImpact]],
     0
)</f>
        <v>-112071.96</v>
      </c>
      <c r="O8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1209320.2699999998</v>
      </c>
      <c r="P8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120000</v>
      </c>
      <c r="Q8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320000</v>
      </c>
      <c r="R854" s="41">
        <f>ROW()</f>
        <v>854</v>
      </c>
      <c r="S8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112071.96</v>
      </c>
      <c r="T8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301260.96000000002</v>
      </c>
      <c r="U8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320000</v>
      </c>
      <c r="V854" s="166">
        <f>IF(INDEX(TransTypes[],Transactions[[#This Row],[TTR]],TT_COL_GLFlag)=1,Transactions[[#This Row],[CalCashImpact]]+Transactions[[#This Row],[CostImpact]],0)</f>
        <v>0</v>
      </c>
      <c r="W854" s="167">
        <f>Transactions[[#This Row],[Amount]]*INDEX(TransTypes[],Transactions[[#This Row],[TTR]],TT_COL_AmntSign)</f>
        <v>-112071.96</v>
      </c>
      <c r="X854" s="167">
        <f>IF(INDEX(TransTypes[],Transactions[[#This Row],[TTR]],TT_COL_LONGORSHORT)="S",
      IF( OR(INDEX(TransTypes[],Transactions[[#This Row],[TTR]],TT_COL_GLFlag)=1, INDEX(TransTypes[], Transactions[[#This Row],[TTR]], TT_COL_ShareTransferFlag)=1),
            Transactions[[#This Row],[CostImpact]]*-1,
            Transactions[[#This Row],[CalCashImpact]]
      ),
     0
)</f>
        <v>0</v>
      </c>
      <c r="Y854" s="168" t="str">
        <f>VLOOKUP(Transactions[[#This Row],[Symbol]],Symbols[], COLUMN(Symbols[Currency])-COLUMN(Symbols[])+1,FALSE)</f>
        <v>CNY</v>
      </c>
    </row>
    <row r="855" spans="1:25">
      <c r="A855" s="155" t="s">
        <v>82</v>
      </c>
      <c r="B855" s="156">
        <v>42342</v>
      </c>
      <c r="C855" s="155" t="s">
        <v>113</v>
      </c>
      <c r="D855" s="155"/>
      <c r="E855" s="155" t="s">
        <v>664</v>
      </c>
      <c r="F855" s="157">
        <v>200000</v>
      </c>
      <c r="G855" s="158">
        <v>1.0189999999999999</v>
      </c>
      <c r="H855" s="157">
        <v>203.8</v>
      </c>
      <c r="I855" s="157"/>
      <c r="J855" s="159">
        <v>204003.8</v>
      </c>
      <c r="K855" s="6" t="s">
        <v>641</v>
      </c>
      <c r="L855" s="20">
        <f>IF(ISNA(MATCH(Transactions[[#This Row],[TransType]],TransTypes[TransType],0)),1,MATCH(Transactions[[#This Row],[TransType]],TransTypes[TransType],0))</f>
        <v>2</v>
      </c>
      <c r="M855" s="160">
        <f>IF( AND( INDEX(TransTypes[],Transactions[[#This Row],[TTR]],TT_COL_GLFlag)=1, INDEX(TransTypes[],Transactions[[#This Row],[TTR]],TT_COL_LONGORSHORT)="S" ),
      Transactions[[#This Row],[PL]],
      IF(INDEX(TransTypes[],Transactions[[#This Row],[TTR]],TT_COL_LONGORSHORT)="S",0,Transactions[[#This Row],[CalCashImpact]])
)</f>
        <v>-204003.8</v>
      </c>
      <c r="N855" s="161">
        <f>IF(VLOOKUP(Transactions[[#This Row],[Symbol]],Symbols[],COLUMN(Symbols[Currency])-COLUMN(Symbols[])+1,FALSE)=
       VLOOKUP(Transactions[[#This Row],[Account]],Accounts[],COLUMN(Accounts[Currency])-COLUMN(Accounts[])+1,FALSE),
     Transactions[[#This Row],[OrigCashImpact]],
     0
)</f>
        <v>-204003.8</v>
      </c>
      <c r="O8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1005316.4699999997</v>
      </c>
      <c r="P8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8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855" s="41">
        <f>ROW()</f>
        <v>855</v>
      </c>
      <c r="S8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204003.8</v>
      </c>
      <c r="T8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204003.8</v>
      </c>
      <c r="U8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855" s="166">
        <f>IF(INDEX(TransTypes[],Transactions[[#This Row],[TTR]],TT_COL_GLFlag)=1,Transactions[[#This Row],[CalCashImpact]]+Transactions[[#This Row],[CostImpact]],0)</f>
        <v>0</v>
      </c>
      <c r="W855" s="167">
        <f>Transactions[[#This Row],[Amount]]*INDEX(TransTypes[],Transactions[[#This Row],[TTR]],TT_COL_AmntSign)</f>
        <v>-204003.8</v>
      </c>
      <c r="X855" s="167">
        <f>IF(INDEX(TransTypes[],Transactions[[#This Row],[TTR]],TT_COL_LONGORSHORT)="S",
      IF( OR(INDEX(TransTypes[],Transactions[[#This Row],[TTR]],TT_COL_GLFlag)=1, INDEX(TransTypes[], Transactions[[#This Row],[TTR]], TT_COL_ShareTransferFlag)=1),
            Transactions[[#This Row],[CostImpact]]*-1,
            Transactions[[#This Row],[CalCashImpact]]
      ),
     0
)</f>
        <v>0</v>
      </c>
      <c r="Y855" s="168" t="str">
        <f>VLOOKUP(Transactions[[#This Row],[Symbol]],Symbols[], COLUMN(Symbols[Currency])-COLUMN(Symbols[])+1,FALSE)</f>
        <v>CNY</v>
      </c>
    </row>
    <row r="856" spans="1:25">
      <c r="A856" s="155" t="s">
        <v>82</v>
      </c>
      <c r="B856" s="156">
        <v>42342</v>
      </c>
      <c r="C856" s="155" t="s">
        <v>115</v>
      </c>
      <c r="D856" s="155"/>
      <c r="E856" s="155" t="s">
        <v>650</v>
      </c>
      <c r="F856" s="157">
        <v>1000</v>
      </c>
      <c r="G856" s="158">
        <v>31.26</v>
      </c>
      <c r="H856" s="157">
        <v>62.52</v>
      </c>
      <c r="I856" s="157"/>
      <c r="J856" s="159">
        <v>31197.48</v>
      </c>
      <c r="K856" s="6" t="s">
        <v>641</v>
      </c>
      <c r="L856" s="20">
        <f>IF(ISNA(MATCH(Transactions[[#This Row],[TransType]],TransTypes[TransType],0)),1,MATCH(Transactions[[#This Row],[TransType]],TransTypes[TransType],0))</f>
        <v>3</v>
      </c>
      <c r="M856" s="160">
        <f>IF( AND( INDEX(TransTypes[],Transactions[[#This Row],[TTR]],TT_COL_GLFlag)=1, INDEX(TransTypes[],Transactions[[#This Row],[TTR]],TT_COL_LONGORSHORT)="S" ),
      Transactions[[#This Row],[PL]],
      IF(INDEX(TransTypes[],Transactions[[#This Row],[TTR]],TT_COL_LONGORSHORT)="S",0,Transactions[[#This Row],[CalCashImpact]])
)</f>
        <v>31197.48</v>
      </c>
      <c r="N856" s="161">
        <f>IF(VLOOKUP(Transactions[[#This Row],[Symbol]],Symbols[],COLUMN(Symbols[Currency])-COLUMN(Symbols[])+1,FALSE)=
       VLOOKUP(Transactions[[#This Row],[Account]],Accounts[],COLUMN(Accounts[Currency])-COLUMN(Accounts[])+1,FALSE),
     Transactions[[#This Row],[OrigCashImpact]],
     0
)</f>
        <v>31197.48</v>
      </c>
      <c r="O8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1036513.9499999998</v>
      </c>
      <c r="P8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856" s="41">
        <f>ROW()</f>
        <v>856</v>
      </c>
      <c r="S8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-26307.288</v>
      </c>
      <c r="T8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78921.864000000001</v>
      </c>
      <c r="U8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856" s="166">
        <f>IF(INDEX(TransTypes[],Transactions[[#This Row],[TTR]],TT_COL_GLFlag)=1,Transactions[[#This Row],[CalCashImpact]]+Transactions[[#This Row],[CostImpact]],0)</f>
        <v>4890.1919999999991</v>
      </c>
      <c r="W856" s="167">
        <f>Transactions[[#This Row],[Amount]]*INDEX(TransTypes[],Transactions[[#This Row],[TTR]],TT_COL_AmntSign)</f>
        <v>31197.48</v>
      </c>
      <c r="X856" s="167">
        <f>IF(INDEX(TransTypes[],Transactions[[#This Row],[TTR]],TT_COL_LONGORSHORT)="S",
      IF( OR(INDEX(TransTypes[],Transactions[[#This Row],[TTR]],TT_COL_GLFlag)=1, INDEX(TransTypes[], Transactions[[#This Row],[TTR]], TT_COL_ShareTransferFlag)=1),
            Transactions[[#This Row],[CostImpact]]*-1,
            Transactions[[#This Row],[CalCashImpact]]
      ),
     0
)</f>
        <v>0</v>
      </c>
      <c r="Y856" s="168" t="str">
        <f>VLOOKUP(Transactions[[#This Row],[Symbol]],Symbols[], COLUMN(Symbols[Currency])-COLUMN(Symbols[])+1,FALSE)</f>
        <v>CNY</v>
      </c>
    </row>
    <row r="857" spans="1:25">
      <c r="A857" s="155" t="s">
        <v>82</v>
      </c>
      <c r="B857" s="156">
        <v>42342</v>
      </c>
      <c r="C857" s="155" t="s">
        <v>115</v>
      </c>
      <c r="D857" s="155"/>
      <c r="E857" s="155" t="s">
        <v>649</v>
      </c>
      <c r="F857" s="157">
        <v>1000</v>
      </c>
      <c r="G857" s="158">
        <v>47.52</v>
      </c>
      <c r="H857" s="157">
        <v>95.04</v>
      </c>
      <c r="I857" s="157"/>
      <c r="J857" s="159">
        <v>47424.959999999999</v>
      </c>
      <c r="K857" s="6" t="s">
        <v>641</v>
      </c>
      <c r="L857" s="20">
        <f>IF(ISNA(MATCH(Transactions[[#This Row],[TransType]],TransTypes[TransType],0)),1,MATCH(Transactions[[#This Row],[TransType]],TransTypes[TransType],0))</f>
        <v>3</v>
      </c>
      <c r="M857" s="160">
        <f>IF( AND( INDEX(TransTypes[],Transactions[[#This Row],[TTR]],TT_COL_GLFlag)=1, INDEX(TransTypes[],Transactions[[#This Row],[TTR]],TT_COL_LONGORSHORT)="S" ),
      Transactions[[#This Row],[PL]],
      IF(INDEX(TransTypes[],Transactions[[#This Row],[TTR]],TT_COL_LONGORSHORT)="S",0,Transactions[[#This Row],[CalCashImpact]])
)</f>
        <v>47424.959999999999</v>
      </c>
      <c r="N857" s="161">
        <f>IF(VLOOKUP(Transactions[[#This Row],[Symbol]],Symbols[],COLUMN(Symbols[Currency])-COLUMN(Symbols[])+1,FALSE)=
       VLOOKUP(Transactions[[#This Row],[Account]],Accounts[],COLUMN(Accounts[Currency])-COLUMN(Accounts[])+1,FALSE),
     Transactions[[#This Row],[OrigCashImpact]],
     0
)</f>
        <v>47424.959999999999</v>
      </c>
      <c r="O8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1083938.9099999997</v>
      </c>
      <c r="P8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857" s="41">
        <f>ROW()</f>
        <v>857</v>
      </c>
      <c r="S8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-45793.368000000002</v>
      </c>
      <c r="T8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45793.368000000002</v>
      </c>
      <c r="U8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857" s="166">
        <f>IF(INDEX(TransTypes[],Transactions[[#This Row],[TTR]],TT_COL_GLFlag)=1,Transactions[[#This Row],[CalCashImpact]]+Transactions[[#This Row],[CostImpact]],0)</f>
        <v>1631.5919999999969</v>
      </c>
      <c r="W857" s="167">
        <f>Transactions[[#This Row],[Amount]]*INDEX(TransTypes[],Transactions[[#This Row],[TTR]],TT_COL_AmntSign)</f>
        <v>47424.959999999999</v>
      </c>
      <c r="X857" s="167">
        <f>IF(INDEX(TransTypes[],Transactions[[#This Row],[TTR]],TT_COL_LONGORSHORT)="S",
      IF( OR(INDEX(TransTypes[],Transactions[[#This Row],[TTR]],TT_COL_GLFlag)=1, INDEX(TransTypes[], Transactions[[#This Row],[TTR]], TT_COL_ShareTransferFlag)=1),
            Transactions[[#This Row],[CostImpact]]*-1,
            Transactions[[#This Row],[CalCashImpact]]
      ),
     0
)</f>
        <v>0</v>
      </c>
      <c r="Y857" s="168" t="str">
        <f>VLOOKUP(Transactions[[#This Row],[Symbol]],Symbols[], COLUMN(Symbols[Currency])-COLUMN(Symbols[])+1,FALSE)</f>
        <v>CNY</v>
      </c>
    </row>
    <row r="858" spans="1:25">
      <c r="A858" s="155" t="s">
        <v>82</v>
      </c>
      <c r="B858" s="156">
        <v>42342</v>
      </c>
      <c r="C858" s="155" t="s">
        <v>115</v>
      </c>
      <c r="D858" s="155"/>
      <c r="E858" s="155" t="s">
        <v>644</v>
      </c>
      <c r="F858" s="157">
        <v>500</v>
      </c>
      <c r="G858" s="158">
        <v>59.99</v>
      </c>
      <c r="H858" s="157">
        <v>60</v>
      </c>
      <c r="I858" s="157"/>
      <c r="J858" s="159">
        <v>29935</v>
      </c>
      <c r="K858" s="6" t="s">
        <v>641</v>
      </c>
      <c r="L858" s="20">
        <f>IF(ISNA(MATCH(Transactions[[#This Row],[TransType]],TransTypes[TransType],0)),1,MATCH(Transactions[[#This Row],[TransType]],TransTypes[TransType],0))</f>
        <v>3</v>
      </c>
      <c r="M858" s="160">
        <f>IF( AND( INDEX(TransTypes[],Transactions[[#This Row],[TTR]],TT_COL_GLFlag)=1, INDEX(TransTypes[],Transactions[[#This Row],[TTR]],TT_COL_LONGORSHORT)="S" ),
      Transactions[[#This Row],[PL]],
      IF(INDEX(TransTypes[],Transactions[[#This Row],[TTR]],TT_COL_LONGORSHORT)="S",0,Transactions[[#This Row],[CalCashImpact]])
)</f>
        <v>29935</v>
      </c>
      <c r="N858" s="161">
        <f>IF(VLOOKUP(Transactions[[#This Row],[Symbol]],Symbols[],COLUMN(Symbols[Currency])-COLUMN(Symbols[])+1,FALSE)=
       VLOOKUP(Transactions[[#This Row],[Account]],Accounts[],COLUMN(Accounts[Currency])-COLUMN(Accounts[])+1,FALSE),
     Transactions[[#This Row],[OrigCashImpact]],
     0
)</f>
        <v>29935</v>
      </c>
      <c r="O8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1113873.9099999997</v>
      </c>
      <c r="P8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8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858" s="41">
        <f>ROW()</f>
        <v>858</v>
      </c>
      <c r="S8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-28233.695416666669</v>
      </c>
      <c r="T8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28233.695416666669</v>
      </c>
      <c r="U8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858" s="166">
        <f>IF(INDEX(TransTypes[],Transactions[[#This Row],[TTR]],TT_COL_GLFlag)=1,Transactions[[#This Row],[CalCashImpact]]+Transactions[[#This Row],[CostImpact]],0)</f>
        <v>1701.3045833333308</v>
      </c>
      <c r="W858" s="167">
        <f>Transactions[[#This Row],[Amount]]*INDEX(TransTypes[],Transactions[[#This Row],[TTR]],TT_COL_AmntSign)</f>
        <v>29935</v>
      </c>
      <c r="X858" s="167">
        <f>IF(INDEX(TransTypes[],Transactions[[#This Row],[TTR]],TT_COL_LONGORSHORT)="S",
      IF( OR(INDEX(TransTypes[],Transactions[[#This Row],[TTR]],TT_COL_GLFlag)=1, INDEX(TransTypes[], Transactions[[#This Row],[TTR]], TT_COL_ShareTransferFlag)=1),
            Transactions[[#This Row],[CostImpact]]*-1,
            Transactions[[#This Row],[CalCashImpact]]
      ),
     0
)</f>
        <v>0</v>
      </c>
      <c r="Y858" s="168" t="str">
        <f>VLOOKUP(Transactions[[#This Row],[Symbol]],Symbols[], COLUMN(Symbols[Currency])-COLUMN(Symbols[])+1,FALSE)</f>
        <v>CNY</v>
      </c>
    </row>
    <row r="859" spans="1:25">
      <c r="A859" s="155" t="s">
        <v>82</v>
      </c>
      <c r="B859" s="156">
        <v>42342</v>
      </c>
      <c r="C859" s="155" t="s">
        <v>115</v>
      </c>
      <c r="D859" s="155"/>
      <c r="E859" s="155" t="s">
        <v>642</v>
      </c>
      <c r="F859" s="157">
        <v>300</v>
      </c>
      <c r="G859" s="158">
        <v>31.41</v>
      </c>
      <c r="H859" s="157">
        <v>18.84</v>
      </c>
      <c r="I859" s="157"/>
      <c r="J859" s="159">
        <v>9404.16</v>
      </c>
      <c r="K859" s="6" t="s">
        <v>641</v>
      </c>
      <c r="L859" s="20">
        <f>IF(ISNA(MATCH(Transactions[[#This Row],[TransType]],TransTypes[TransType],0)),1,MATCH(Transactions[[#This Row],[TransType]],TransTypes[TransType],0))</f>
        <v>3</v>
      </c>
      <c r="M859" s="160">
        <f>IF( AND( INDEX(TransTypes[],Transactions[[#This Row],[TTR]],TT_COL_GLFlag)=1, INDEX(TransTypes[],Transactions[[#This Row],[TTR]],TT_COL_LONGORSHORT)="S" ),
      Transactions[[#This Row],[PL]],
      IF(INDEX(TransTypes[],Transactions[[#This Row],[TTR]],TT_COL_LONGORSHORT)="S",0,Transactions[[#This Row],[CalCashImpact]])
)</f>
        <v>9404.16</v>
      </c>
      <c r="N859" s="161">
        <f>IF(VLOOKUP(Transactions[[#This Row],[Symbol]],Symbols[],COLUMN(Symbols[Currency])-COLUMN(Symbols[])+1,FALSE)=
       VLOOKUP(Transactions[[#This Row],[Account]],Accounts[],COLUMN(Accounts[Currency])-COLUMN(Accounts[])+1,FALSE),
     Transactions[[#This Row],[OrigCashImpact]],
     0
)</f>
        <v>9404.16</v>
      </c>
      <c r="O8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1123278.0699999998</v>
      </c>
      <c r="P8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8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859" s="41">
        <f>ROW()</f>
        <v>859</v>
      </c>
      <c r="S8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-7634.6756249999999</v>
      </c>
      <c r="T8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50897.837500000009</v>
      </c>
      <c r="U8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2300</v>
      </c>
      <c r="V859" s="166">
        <f>IF(INDEX(TransTypes[],Transactions[[#This Row],[TTR]],TT_COL_GLFlag)=1,Transactions[[#This Row],[CalCashImpact]]+Transactions[[#This Row],[CostImpact]],0)</f>
        <v>1769.484375</v>
      </c>
      <c r="W859" s="167">
        <f>Transactions[[#This Row],[Amount]]*INDEX(TransTypes[],Transactions[[#This Row],[TTR]],TT_COL_AmntSign)</f>
        <v>9404.16</v>
      </c>
      <c r="X859" s="167">
        <f>IF(INDEX(TransTypes[],Transactions[[#This Row],[TTR]],TT_COL_LONGORSHORT)="S",
      IF( OR(INDEX(TransTypes[],Transactions[[#This Row],[TTR]],TT_COL_GLFlag)=1, INDEX(TransTypes[], Transactions[[#This Row],[TTR]], TT_COL_ShareTransferFlag)=1),
            Transactions[[#This Row],[CostImpact]]*-1,
            Transactions[[#This Row],[CalCashImpact]]
      ),
     0
)</f>
        <v>0</v>
      </c>
      <c r="Y859" s="168" t="str">
        <f>VLOOKUP(Transactions[[#This Row],[Symbol]],Symbols[], COLUMN(Symbols[Currency])-COLUMN(Symbols[])+1,FALSE)</f>
        <v>CNY</v>
      </c>
    </row>
    <row r="860" spans="1:25">
      <c r="A860" s="155" t="s">
        <v>82</v>
      </c>
      <c r="B860" s="156">
        <v>42342</v>
      </c>
      <c r="C860" s="155" t="s">
        <v>115</v>
      </c>
      <c r="D860" s="155"/>
      <c r="E860" s="155" t="s">
        <v>650</v>
      </c>
      <c r="F860" s="157">
        <v>2000</v>
      </c>
      <c r="G860" s="158">
        <v>31.398</v>
      </c>
      <c r="H860" s="157">
        <v>125.3</v>
      </c>
      <c r="I860" s="157"/>
      <c r="J860" s="159">
        <v>62670.7</v>
      </c>
      <c r="K860" s="6" t="s">
        <v>641</v>
      </c>
      <c r="L860" s="20">
        <f>IF(ISNA(MATCH(Transactions[[#This Row],[TransType]],TransTypes[TransType],0)),1,MATCH(Transactions[[#This Row],[TransType]],TransTypes[TransType],0))</f>
        <v>3</v>
      </c>
      <c r="M860" s="160">
        <f>IF( AND( INDEX(TransTypes[],Transactions[[#This Row],[TTR]],TT_COL_GLFlag)=1, INDEX(TransTypes[],Transactions[[#This Row],[TTR]],TT_COL_LONGORSHORT)="S" ),
      Transactions[[#This Row],[PL]],
      IF(INDEX(TransTypes[],Transactions[[#This Row],[TTR]],TT_COL_LONGORSHORT)="S",0,Transactions[[#This Row],[CalCashImpact]])
)</f>
        <v>62670.7</v>
      </c>
      <c r="N860" s="161">
        <f>IF(VLOOKUP(Transactions[[#This Row],[Symbol]],Symbols[],COLUMN(Symbols[Currency])-COLUMN(Symbols[])+1,FALSE)=
       VLOOKUP(Transactions[[#This Row],[Account]],Accounts[],COLUMN(Accounts[Currency])-COLUMN(Accounts[])+1,FALSE),
     Transactions[[#This Row],[OrigCashImpact]],
     0
)</f>
        <v>62670.7</v>
      </c>
      <c r="O8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1185948.7699999998</v>
      </c>
      <c r="P8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8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860" s="41">
        <f>ROW()</f>
        <v>860</v>
      </c>
      <c r="S8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-52614.576000000001</v>
      </c>
      <c r="T8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26307.288</v>
      </c>
      <c r="U8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860" s="166">
        <f>IF(INDEX(TransTypes[],Transactions[[#This Row],[TTR]],TT_COL_GLFlag)=1,Transactions[[#This Row],[CalCashImpact]]+Transactions[[#This Row],[CostImpact]],0)</f>
        <v>10056.123999999996</v>
      </c>
      <c r="W860" s="167">
        <f>Transactions[[#This Row],[Amount]]*INDEX(TransTypes[],Transactions[[#This Row],[TTR]],TT_COL_AmntSign)</f>
        <v>62670.7</v>
      </c>
      <c r="X860" s="167">
        <f>IF(INDEX(TransTypes[],Transactions[[#This Row],[TTR]],TT_COL_LONGORSHORT)="S",
      IF( OR(INDEX(TransTypes[],Transactions[[#This Row],[TTR]],TT_COL_GLFlag)=1, INDEX(TransTypes[], Transactions[[#This Row],[TTR]], TT_COL_ShareTransferFlag)=1),
            Transactions[[#This Row],[CostImpact]]*-1,
            Transactions[[#This Row],[CalCashImpact]]
      ),
     0
)</f>
        <v>0</v>
      </c>
      <c r="Y860" s="168" t="str">
        <f>VLOOKUP(Transactions[[#This Row],[Symbol]],Symbols[], COLUMN(Symbols[Currency])-COLUMN(Symbols[])+1,FALSE)</f>
        <v>CNY</v>
      </c>
    </row>
    <row r="861" spans="1:25">
      <c r="A861" s="155" t="s">
        <v>82</v>
      </c>
      <c r="B861" s="156">
        <v>42342</v>
      </c>
      <c r="C861" s="155" t="s">
        <v>115</v>
      </c>
      <c r="D861" s="155"/>
      <c r="E861" s="155" t="s">
        <v>468</v>
      </c>
      <c r="F861" s="157">
        <v>1000</v>
      </c>
      <c r="G861" s="158">
        <v>34.85</v>
      </c>
      <c r="H861" s="157">
        <v>70.400000000000006</v>
      </c>
      <c r="I861" s="157"/>
      <c r="J861" s="159">
        <v>34779.599999999999</v>
      </c>
      <c r="K861" s="6" t="s">
        <v>641</v>
      </c>
      <c r="L861" s="20">
        <f>IF(ISNA(MATCH(Transactions[[#This Row],[TransType]],TransTypes[TransType],0)),1,MATCH(Transactions[[#This Row],[TransType]],TransTypes[TransType],0))</f>
        <v>3</v>
      </c>
      <c r="M861" s="160">
        <f>IF( AND( INDEX(TransTypes[],Transactions[[#This Row],[TTR]],TT_COL_GLFlag)=1, INDEX(TransTypes[],Transactions[[#This Row],[TTR]],TT_COL_LONGORSHORT)="S" ),
      Transactions[[#This Row],[PL]],
      IF(INDEX(TransTypes[],Transactions[[#This Row],[TTR]],TT_COL_LONGORSHORT)="S",0,Transactions[[#This Row],[CalCashImpact]])
)</f>
        <v>34779.599999999999</v>
      </c>
      <c r="N861" s="161">
        <f>IF(VLOOKUP(Transactions[[#This Row],[Symbol]],Symbols[],COLUMN(Symbols[Currency])-COLUMN(Symbols[])+1,FALSE)=
       VLOOKUP(Transactions[[#This Row],[Account]],Accounts[],COLUMN(Accounts[Currency])-COLUMN(Accounts[])+1,FALSE),
     Transactions[[#This Row],[OrigCashImpact]],
     0
)</f>
        <v>34779.599999999999</v>
      </c>
      <c r="O8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1220728.3699999999</v>
      </c>
      <c r="P8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861" s="41">
        <f>ROW()</f>
        <v>861</v>
      </c>
      <c r="S8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-29880</v>
      </c>
      <c r="T8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29880</v>
      </c>
      <c r="U8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861" s="166">
        <f>IF(INDEX(TransTypes[],Transactions[[#This Row],[TTR]],TT_COL_GLFlag)=1,Transactions[[#This Row],[CalCashImpact]]+Transactions[[#This Row],[CostImpact]],0)</f>
        <v>4899.5999999999985</v>
      </c>
      <c r="W861" s="167">
        <f>Transactions[[#This Row],[Amount]]*INDEX(TransTypes[],Transactions[[#This Row],[TTR]],TT_COL_AmntSign)</f>
        <v>34779.599999999999</v>
      </c>
      <c r="X861" s="167">
        <f>IF(INDEX(TransTypes[],Transactions[[#This Row],[TTR]],TT_COL_LONGORSHORT)="S",
      IF( OR(INDEX(TransTypes[],Transactions[[#This Row],[TTR]],TT_COL_GLFlag)=1, INDEX(TransTypes[], Transactions[[#This Row],[TTR]], TT_COL_ShareTransferFlag)=1),
            Transactions[[#This Row],[CostImpact]]*-1,
            Transactions[[#This Row],[CalCashImpact]]
      ),
     0
)</f>
        <v>0</v>
      </c>
      <c r="Y861" s="168" t="str">
        <f>VLOOKUP(Transactions[[#This Row],[Symbol]],Symbols[], COLUMN(Symbols[Currency])-COLUMN(Symbols[])+1,FALSE)</f>
        <v>CNY</v>
      </c>
    </row>
    <row r="862" spans="1:25">
      <c r="A862" s="155" t="s">
        <v>82</v>
      </c>
      <c r="B862" s="156">
        <v>42342</v>
      </c>
      <c r="C862" s="155" t="s">
        <v>113</v>
      </c>
      <c r="D862" s="155"/>
      <c r="E862" s="155" t="s">
        <v>498</v>
      </c>
      <c r="F862" s="157">
        <v>9000</v>
      </c>
      <c r="G862" s="158">
        <v>103.242</v>
      </c>
      <c r="H862" s="157">
        <v>0</v>
      </c>
      <c r="I862" s="157"/>
      <c r="J862" s="159">
        <v>929178</v>
      </c>
      <c r="K862" s="6" t="s">
        <v>641</v>
      </c>
      <c r="L862" s="20">
        <f>IF(ISNA(MATCH(Transactions[[#This Row],[TransType]],TransTypes[TransType],0)),1,MATCH(Transactions[[#This Row],[TransType]],TransTypes[TransType],0))</f>
        <v>2</v>
      </c>
      <c r="M862" s="160">
        <f>IF( AND( INDEX(TransTypes[],Transactions[[#This Row],[TTR]],TT_COL_GLFlag)=1, INDEX(TransTypes[],Transactions[[#This Row],[TTR]],TT_COL_LONGORSHORT)="S" ),
      Transactions[[#This Row],[PL]],
      IF(INDEX(TransTypes[],Transactions[[#This Row],[TTR]],TT_COL_LONGORSHORT)="S",0,Transactions[[#This Row],[CalCashImpact]])
)</f>
        <v>-929178</v>
      </c>
      <c r="N862" s="161">
        <f>IF(VLOOKUP(Transactions[[#This Row],[Symbol]],Symbols[],COLUMN(Symbols[Currency])-COLUMN(Symbols[])+1,FALSE)=
       VLOOKUP(Transactions[[#This Row],[Account]],Accounts[],COLUMN(Accounts[Currency])-COLUMN(Accounts[])+1,FALSE),
     Transactions[[#This Row],[OrigCashImpact]],
     0
)</f>
        <v>-929178</v>
      </c>
      <c r="O8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291550.36999999976</v>
      </c>
      <c r="P8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9000</v>
      </c>
      <c r="Q8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862" s="41">
        <f>ROW()</f>
        <v>862</v>
      </c>
      <c r="S8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929178</v>
      </c>
      <c r="T8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929178</v>
      </c>
      <c r="U8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862" s="166">
        <f>IF(INDEX(TransTypes[],Transactions[[#This Row],[TTR]],TT_COL_GLFlag)=1,Transactions[[#This Row],[CalCashImpact]]+Transactions[[#This Row],[CostImpact]],0)</f>
        <v>0</v>
      </c>
      <c r="W862" s="167">
        <f>Transactions[[#This Row],[Amount]]*INDEX(TransTypes[],Transactions[[#This Row],[TTR]],TT_COL_AmntSign)</f>
        <v>-929178</v>
      </c>
      <c r="X862" s="167">
        <f>IF(INDEX(TransTypes[],Transactions[[#This Row],[TTR]],TT_COL_LONGORSHORT)="S",
      IF( OR(INDEX(TransTypes[],Transactions[[#This Row],[TTR]],TT_COL_GLFlag)=1, INDEX(TransTypes[], Transactions[[#This Row],[TTR]], TT_COL_ShareTransferFlag)=1),
            Transactions[[#This Row],[CostImpact]]*-1,
            Transactions[[#This Row],[CalCashImpact]]
      ),
     0
)</f>
        <v>0</v>
      </c>
      <c r="Y862" s="168" t="str">
        <f>VLOOKUP(Transactions[[#This Row],[Symbol]],Symbols[], COLUMN(Symbols[Currency])-COLUMN(Symbols[])+1,FALSE)</f>
        <v>CNY</v>
      </c>
    </row>
    <row r="863" spans="1:25">
      <c r="A863" s="155" t="s">
        <v>82</v>
      </c>
      <c r="B863" s="156">
        <v>42345</v>
      </c>
      <c r="C863" s="155" t="s">
        <v>113</v>
      </c>
      <c r="D863" s="155"/>
      <c r="E863" s="155" t="s">
        <v>661</v>
      </c>
      <c r="F863" s="157">
        <v>300000</v>
      </c>
      <c r="G863" s="158">
        <v>0.94199999999999995</v>
      </c>
      <c r="H863" s="157">
        <v>282.60000000000002</v>
      </c>
      <c r="I863" s="157"/>
      <c r="J863" s="159">
        <v>282882.59999999998</v>
      </c>
      <c r="K863" s="6" t="s">
        <v>641</v>
      </c>
      <c r="L863" s="20">
        <f>IF(ISNA(MATCH(Transactions[[#This Row],[TransType]],TransTypes[TransType],0)),1,MATCH(Transactions[[#This Row],[TransType]],TransTypes[TransType],0))</f>
        <v>2</v>
      </c>
      <c r="M863" s="160">
        <f>IF( AND( INDEX(TransTypes[],Transactions[[#This Row],[TTR]],TT_COL_GLFlag)=1, INDEX(TransTypes[],Transactions[[#This Row],[TTR]],TT_COL_LONGORSHORT)="S" ),
      Transactions[[#This Row],[PL]],
      IF(INDEX(TransTypes[],Transactions[[#This Row],[TTR]],TT_COL_LONGORSHORT)="S",0,Transactions[[#This Row],[CalCashImpact]])
)</f>
        <v>-282882.59999999998</v>
      </c>
      <c r="N863" s="161">
        <f>IF(VLOOKUP(Transactions[[#This Row],[Symbol]],Symbols[],COLUMN(Symbols[Currency])-COLUMN(Symbols[])+1,FALSE)=
       VLOOKUP(Transactions[[#This Row],[Account]],Accounts[],COLUMN(Accounts[Currency])-COLUMN(Accounts[])+1,FALSE),
     Transactions[[#This Row],[OrigCashImpact]],
     0
)</f>
        <v>-282882.59999999998</v>
      </c>
      <c r="O8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8667.7699999996694</v>
      </c>
      <c r="P8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300000</v>
      </c>
      <c r="Q8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620000</v>
      </c>
      <c r="R863" s="41">
        <f>ROW()</f>
        <v>863</v>
      </c>
      <c r="S8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282882.59999999998</v>
      </c>
      <c r="T8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584143.56000000006</v>
      </c>
      <c r="U8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620000</v>
      </c>
      <c r="V863" s="166">
        <f>IF(INDEX(TransTypes[],Transactions[[#This Row],[TTR]],TT_COL_GLFlag)=1,Transactions[[#This Row],[CalCashImpact]]+Transactions[[#This Row],[CostImpact]],0)</f>
        <v>0</v>
      </c>
      <c r="W863" s="167">
        <f>Transactions[[#This Row],[Amount]]*INDEX(TransTypes[],Transactions[[#This Row],[TTR]],TT_COL_AmntSign)</f>
        <v>-282882.59999999998</v>
      </c>
      <c r="X863" s="167">
        <f>IF(INDEX(TransTypes[],Transactions[[#This Row],[TTR]],TT_COL_LONGORSHORT)="S",
      IF( OR(INDEX(TransTypes[],Transactions[[#This Row],[TTR]],TT_COL_GLFlag)=1, INDEX(TransTypes[], Transactions[[#This Row],[TTR]], TT_COL_ShareTransferFlag)=1),
            Transactions[[#This Row],[CostImpact]]*-1,
            Transactions[[#This Row],[CalCashImpact]]
      ),
     0
)</f>
        <v>0</v>
      </c>
      <c r="Y863" s="168" t="str">
        <f>VLOOKUP(Transactions[[#This Row],[Symbol]],Symbols[], COLUMN(Symbols[Currency])-COLUMN(Symbols[])+1,FALSE)</f>
        <v>CNY</v>
      </c>
    </row>
    <row r="864" spans="1:25">
      <c r="A864" s="155" t="s">
        <v>82</v>
      </c>
      <c r="B864" s="156">
        <v>42346</v>
      </c>
      <c r="C864" s="155" t="s">
        <v>115</v>
      </c>
      <c r="D864" s="155"/>
      <c r="E864" s="155" t="s">
        <v>660</v>
      </c>
      <c r="F864" s="157">
        <v>1400</v>
      </c>
      <c r="G864" s="158">
        <v>29.43</v>
      </c>
      <c r="H864" s="157">
        <v>82.4</v>
      </c>
      <c r="I864" s="157"/>
      <c r="J864" s="159">
        <v>41119.599999999999</v>
      </c>
      <c r="K864" s="6" t="s">
        <v>641</v>
      </c>
      <c r="L864" s="20">
        <f>IF(ISNA(MATCH(Transactions[[#This Row],[TransType]],TransTypes[TransType],0)),1,MATCH(Transactions[[#This Row],[TransType]],TransTypes[TransType],0))</f>
        <v>3</v>
      </c>
      <c r="M864" s="160">
        <f>IF( AND( INDEX(TransTypes[],Transactions[[#This Row],[TTR]],TT_COL_GLFlag)=1, INDEX(TransTypes[],Transactions[[#This Row],[TTR]],TT_COL_LONGORSHORT)="S" ),
      Transactions[[#This Row],[PL]],
      IF(INDEX(TransTypes[],Transactions[[#This Row],[TTR]],TT_COL_LONGORSHORT)="S",0,Transactions[[#This Row],[CalCashImpact]])
)</f>
        <v>41119.599999999999</v>
      </c>
      <c r="N864" s="161">
        <f>IF(VLOOKUP(Transactions[[#This Row],[Symbol]],Symbols[],COLUMN(Symbols[Currency])-COLUMN(Symbols[])+1,FALSE)=
       VLOOKUP(Transactions[[#This Row],[Account]],Accounts[],COLUMN(Accounts[Currency])-COLUMN(Accounts[])+1,FALSE),
     Transactions[[#This Row],[OrigCashImpact]],
     0
)</f>
        <v>41119.599999999999</v>
      </c>
      <c r="O8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49787.369999999668</v>
      </c>
      <c r="P8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-1400</v>
      </c>
      <c r="Q8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864" s="41">
        <f>ROW()</f>
        <v>864</v>
      </c>
      <c r="S8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-44571.527368421055</v>
      </c>
      <c r="T8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15918.402631578945</v>
      </c>
      <c r="U8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1900</v>
      </c>
      <c r="V864" s="166">
        <f>IF(INDEX(TransTypes[],Transactions[[#This Row],[TTR]],TT_COL_GLFlag)=1,Transactions[[#This Row],[CalCashImpact]]+Transactions[[#This Row],[CostImpact]],0)</f>
        <v>-3451.9273684210566</v>
      </c>
      <c r="W864" s="167">
        <f>Transactions[[#This Row],[Amount]]*INDEX(TransTypes[],Transactions[[#This Row],[TTR]],TT_COL_AmntSign)</f>
        <v>41119.599999999999</v>
      </c>
      <c r="X864" s="167">
        <f>IF(INDEX(TransTypes[],Transactions[[#This Row],[TTR]],TT_COL_LONGORSHORT)="S",
      IF( OR(INDEX(TransTypes[],Transactions[[#This Row],[TTR]],TT_COL_GLFlag)=1, INDEX(TransTypes[], Transactions[[#This Row],[TTR]], TT_COL_ShareTransferFlag)=1),
            Transactions[[#This Row],[CostImpact]]*-1,
            Transactions[[#This Row],[CalCashImpact]]
      ),
     0
)</f>
        <v>0</v>
      </c>
      <c r="Y864" s="168" t="str">
        <f>VLOOKUP(Transactions[[#This Row],[Symbol]],Symbols[], COLUMN(Symbols[Currency])-COLUMN(Symbols[])+1,FALSE)</f>
        <v>CNY</v>
      </c>
    </row>
    <row r="865" spans="1:25">
      <c r="A865" s="155" t="s">
        <v>82</v>
      </c>
      <c r="B865" s="156">
        <v>42347</v>
      </c>
      <c r="C865" s="155" t="s">
        <v>113</v>
      </c>
      <c r="D865" s="155"/>
      <c r="E865" s="155" t="s">
        <v>665</v>
      </c>
      <c r="F865" s="157">
        <v>220000</v>
      </c>
      <c r="G865" s="158">
        <v>0.97599999999999998</v>
      </c>
      <c r="H865" s="157">
        <v>214.72</v>
      </c>
      <c r="I865" s="157"/>
      <c r="J865" s="159">
        <v>214934.72</v>
      </c>
      <c r="K865" s="6" t="s">
        <v>641</v>
      </c>
      <c r="L865" s="20">
        <f>IF(ISNA(MATCH(Transactions[[#This Row],[TransType]],TransTypes[TransType],0)),1,MATCH(Transactions[[#This Row],[TransType]],TransTypes[TransType],0))</f>
        <v>2</v>
      </c>
      <c r="M865" s="160">
        <f>IF( AND( INDEX(TransTypes[],Transactions[[#This Row],[TTR]],TT_COL_GLFlag)=1, INDEX(TransTypes[],Transactions[[#This Row],[TTR]],TT_COL_LONGORSHORT)="S" ),
      Transactions[[#This Row],[PL]],
      IF(INDEX(TransTypes[],Transactions[[#This Row],[TTR]],TT_COL_LONGORSHORT)="S",0,Transactions[[#This Row],[CalCashImpact]])
)</f>
        <v>-214934.72</v>
      </c>
      <c r="N865" s="161">
        <f>IF(VLOOKUP(Transactions[[#This Row],[Symbol]],Symbols[],COLUMN(Symbols[Currency])-COLUMN(Symbols[])+1,FALSE)=
       VLOOKUP(Transactions[[#This Row],[Account]],Accounts[],COLUMN(Accounts[Currency])-COLUMN(Accounts[])+1,FALSE),
     Transactions[[#This Row],[OrigCashImpact]],
     0
)</f>
        <v>-214934.72</v>
      </c>
      <c r="O8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-165147.35000000033</v>
      </c>
      <c r="P8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220000</v>
      </c>
      <c r="Q8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220000</v>
      </c>
      <c r="R865" s="41">
        <f>ROW()</f>
        <v>865</v>
      </c>
      <c r="S8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214934.72</v>
      </c>
      <c r="T8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214934.72</v>
      </c>
      <c r="U8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220000</v>
      </c>
      <c r="V865" s="166">
        <f>IF(INDEX(TransTypes[],Transactions[[#This Row],[TTR]],TT_COL_GLFlag)=1,Transactions[[#This Row],[CalCashImpact]]+Transactions[[#This Row],[CostImpact]],0)</f>
        <v>0</v>
      </c>
      <c r="W865" s="167">
        <f>Transactions[[#This Row],[Amount]]*INDEX(TransTypes[],Transactions[[#This Row],[TTR]],TT_COL_AmntSign)</f>
        <v>-214934.72</v>
      </c>
      <c r="X865" s="167">
        <f>IF(INDEX(TransTypes[],Transactions[[#This Row],[TTR]],TT_COL_LONGORSHORT)="S",
      IF( OR(INDEX(TransTypes[],Transactions[[#This Row],[TTR]],TT_COL_GLFlag)=1, INDEX(TransTypes[], Transactions[[#This Row],[TTR]], TT_COL_ShareTransferFlag)=1),
            Transactions[[#This Row],[CostImpact]]*-1,
            Transactions[[#This Row],[CalCashImpact]]
      ),
     0
)</f>
        <v>0</v>
      </c>
      <c r="Y865" s="168" t="str">
        <f>VLOOKUP(Transactions[[#This Row],[Symbol]],Symbols[], COLUMN(Symbols[Currency])-COLUMN(Symbols[])+1,FALSE)</f>
        <v>CNY</v>
      </c>
    </row>
    <row r="866" spans="1:25">
      <c r="A866" s="155" t="s">
        <v>82</v>
      </c>
      <c r="B866" s="156">
        <v>42347</v>
      </c>
      <c r="C866" s="155" t="s">
        <v>115</v>
      </c>
      <c r="D866" s="155"/>
      <c r="E866" s="155" t="s">
        <v>498</v>
      </c>
      <c r="F866" s="157">
        <v>2000</v>
      </c>
      <c r="G866" s="158">
        <v>103.27200000000001</v>
      </c>
      <c r="H866" s="157">
        <v>0</v>
      </c>
      <c r="I866" s="157"/>
      <c r="J866" s="159">
        <v>206544</v>
      </c>
      <c r="K866" s="6" t="s">
        <v>641</v>
      </c>
      <c r="L866" s="20">
        <f>IF(ISNA(MATCH(Transactions[[#This Row],[TransType]],TransTypes[TransType],0)),1,MATCH(Transactions[[#This Row],[TransType]],TransTypes[TransType],0))</f>
        <v>3</v>
      </c>
      <c r="M866" s="160">
        <f>IF( AND( INDEX(TransTypes[],Transactions[[#This Row],[TTR]],TT_COL_GLFlag)=1, INDEX(TransTypes[],Transactions[[#This Row],[TTR]],TT_COL_LONGORSHORT)="S" ),
      Transactions[[#This Row],[PL]],
      IF(INDEX(TransTypes[],Transactions[[#This Row],[TTR]],TT_COL_LONGORSHORT)="S",0,Transactions[[#This Row],[CalCashImpact]])
)</f>
        <v>206544</v>
      </c>
      <c r="N866" s="161">
        <f>IF(VLOOKUP(Transactions[[#This Row],[Symbol]],Symbols[],COLUMN(Symbols[Currency])-COLUMN(Symbols[])+1,FALSE)=
       VLOOKUP(Transactions[[#This Row],[Account]],Accounts[],COLUMN(Accounts[Currency])-COLUMN(Accounts[])+1,FALSE),
     Transactions[[#This Row],[OrigCashImpact]],
     0
)</f>
        <v>206544</v>
      </c>
      <c r="O8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41396.649999999667</v>
      </c>
      <c r="P8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8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866" s="41">
        <f>ROW()</f>
        <v>866</v>
      </c>
      <c r="S8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-206484</v>
      </c>
      <c r="T8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722694</v>
      </c>
      <c r="U8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866" s="166">
        <f>IF(INDEX(TransTypes[],Transactions[[#This Row],[TTR]],TT_COL_GLFlag)=1,Transactions[[#This Row],[CalCashImpact]]+Transactions[[#This Row],[CostImpact]],0)</f>
        <v>60</v>
      </c>
      <c r="W866" s="167">
        <f>Transactions[[#This Row],[Amount]]*INDEX(TransTypes[],Transactions[[#This Row],[TTR]],TT_COL_AmntSign)</f>
        <v>206544</v>
      </c>
      <c r="X866" s="167">
        <f>IF(INDEX(TransTypes[],Transactions[[#This Row],[TTR]],TT_COL_LONGORSHORT)="S",
      IF( OR(INDEX(TransTypes[],Transactions[[#This Row],[TTR]],TT_COL_GLFlag)=1, INDEX(TransTypes[], Transactions[[#This Row],[TTR]], TT_COL_ShareTransferFlag)=1),
            Transactions[[#This Row],[CostImpact]]*-1,
            Transactions[[#This Row],[CalCashImpact]]
      ),
     0
)</f>
        <v>0</v>
      </c>
      <c r="Y866" s="168" t="str">
        <f>VLOOKUP(Transactions[[#This Row],[Symbol]],Symbols[], COLUMN(Symbols[Currency])-COLUMN(Symbols[])+1,FALSE)</f>
        <v>CNY</v>
      </c>
    </row>
    <row r="867" spans="1:25">
      <c r="A867" s="155" t="s">
        <v>82</v>
      </c>
      <c r="B867" s="156">
        <v>42348</v>
      </c>
      <c r="C867" s="155" t="s">
        <v>113</v>
      </c>
      <c r="D867" s="155"/>
      <c r="E867" s="155" t="s">
        <v>660</v>
      </c>
      <c r="F867" s="157">
        <v>4000</v>
      </c>
      <c r="G867" s="158">
        <v>30.774999999999999</v>
      </c>
      <c r="H867" s="157">
        <v>123.1</v>
      </c>
      <c r="I867" s="157"/>
      <c r="J867" s="159">
        <v>123223.1</v>
      </c>
      <c r="K867" s="6" t="s">
        <v>641</v>
      </c>
      <c r="L867" s="20">
        <f>IF(ISNA(MATCH(Transactions[[#This Row],[TransType]],TransTypes[TransType],0)),1,MATCH(Transactions[[#This Row],[TransType]],TransTypes[TransType],0))</f>
        <v>2</v>
      </c>
      <c r="M867" s="160">
        <f>IF( AND( INDEX(TransTypes[],Transactions[[#This Row],[TTR]],TT_COL_GLFlag)=1, INDEX(TransTypes[],Transactions[[#This Row],[TTR]],TT_COL_LONGORSHORT)="S" ),
      Transactions[[#This Row],[PL]],
      IF(INDEX(TransTypes[],Transactions[[#This Row],[TTR]],TT_COL_LONGORSHORT)="S",0,Transactions[[#This Row],[CalCashImpact]])
)</f>
        <v>-123223.1</v>
      </c>
      <c r="N867" s="161">
        <f>IF(VLOOKUP(Transactions[[#This Row],[Symbol]],Symbols[],COLUMN(Symbols[Currency])-COLUMN(Symbols[])+1,FALSE)=
       VLOOKUP(Transactions[[#This Row],[Account]],Accounts[],COLUMN(Accounts[Currency])-COLUMN(Accounts[])+1,FALSE),
     Transactions[[#This Row],[OrigCashImpact]],
     0
)</f>
        <v>-123223.1</v>
      </c>
      <c r="O8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-81826.450000000332</v>
      </c>
      <c r="P8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8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4500</v>
      </c>
      <c r="R867" s="41">
        <f>ROW()</f>
        <v>867</v>
      </c>
      <c r="S8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123223.1</v>
      </c>
      <c r="T8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139141.50263157894</v>
      </c>
      <c r="U8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4500</v>
      </c>
      <c r="V867" s="166">
        <f>IF(INDEX(TransTypes[],Transactions[[#This Row],[TTR]],TT_COL_GLFlag)=1,Transactions[[#This Row],[CalCashImpact]]+Transactions[[#This Row],[CostImpact]],0)</f>
        <v>0</v>
      </c>
      <c r="W867" s="167">
        <f>Transactions[[#This Row],[Amount]]*INDEX(TransTypes[],Transactions[[#This Row],[TTR]],TT_COL_AmntSign)</f>
        <v>-123223.1</v>
      </c>
      <c r="X867" s="167">
        <f>IF(INDEX(TransTypes[],Transactions[[#This Row],[TTR]],TT_COL_LONGORSHORT)="S",
      IF( OR(INDEX(TransTypes[],Transactions[[#This Row],[TTR]],TT_COL_GLFlag)=1, INDEX(TransTypes[], Transactions[[#This Row],[TTR]], TT_COL_ShareTransferFlag)=1),
            Transactions[[#This Row],[CostImpact]]*-1,
            Transactions[[#This Row],[CalCashImpact]]
      ),
     0
)</f>
        <v>0</v>
      </c>
      <c r="Y867" s="168" t="str">
        <f>VLOOKUP(Transactions[[#This Row],[Symbol]],Symbols[], COLUMN(Symbols[Currency])-COLUMN(Symbols[])+1,FALSE)</f>
        <v>CNY</v>
      </c>
    </row>
    <row r="868" spans="1:25">
      <c r="A868" s="155" t="s">
        <v>82</v>
      </c>
      <c r="B868" s="156">
        <v>42348</v>
      </c>
      <c r="C868" s="155" t="s">
        <v>115</v>
      </c>
      <c r="D868" s="155"/>
      <c r="E868" s="155" t="s">
        <v>664</v>
      </c>
      <c r="F868" s="157">
        <v>200000</v>
      </c>
      <c r="G868" s="158">
        <v>1.022</v>
      </c>
      <c r="H868" s="157">
        <v>204.4</v>
      </c>
      <c r="I868" s="157"/>
      <c r="J868" s="159">
        <v>204195.6</v>
      </c>
      <c r="K868" s="6" t="s">
        <v>641</v>
      </c>
      <c r="L868" s="20">
        <f>IF(ISNA(MATCH(Transactions[[#This Row],[TransType]],TransTypes[TransType],0)),1,MATCH(Transactions[[#This Row],[TransType]],TransTypes[TransType],0))</f>
        <v>3</v>
      </c>
      <c r="M868" s="160">
        <f>IF( AND( INDEX(TransTypes[],Transactions[[#This Row],[TTR]],TT_COL_GLFlag)=1, INDEX(TransTypes[],Transactions[[#This Row],[TTR]],TT_COL_LONGORSHORT)="S" ),
      Transactions[[#This Row],[PL]],
      IF(INDEX(TransTypes[],Transactions[[#This Row],[TTR]],TT_COL_LONGORSHORT)="S",0,Transactions[[#This Row],[CalCashImpact]])
)</f>
        <v>204195.6</v>
      </c>
      <c r="N868" s="161">
        <f>IF(VLOOKUP(Transactions[[#This Row],[Symbol]],Symbols[],COLUMN(Symbols[Currency])-COLUMN(Symbols[])+1,FALSE)=
       VLOOKUP(Transactions[[#This Row],[Account]],Accounts[],COLUMN(Accounts[Currency])-COLUMN(Accounts[])+1,FALSE),
     Transactions[[#This Row],[OrigCashImpact]],
     0
)</f>
        <v>204195.6</v>
      </c>
      <c r="O8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122369.14999999967</v>
      </c>
      <c r="P8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8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68" s="41">
        <f>ROW()</f>
        <v>868</v>
      </c>
      <c r="S8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-204003.8</v>
      </c>
      <c r="T8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868" s="166">
        <f>IF(INDEX(TransTypes[],Transactions[[#This Row],[TTR]],TT_COL_GLFlag)=1,Transactions[[#This Row],[CalCashImpact]]+Transactions[[#This Row],[CostImpact]],0)</f>
        <v>191.80000000001746</v>
      </c>
      <c r="W868" s="167">
        <f>Transactions[[#This Row],[Amount]]*INDEX(TransTypes[],Transactions[[#This Row],[TTR]],TT_COL_AmntSign)</f>
        <v>204195.6</v>
      </c>
      <c r="X868" s="167">
        <f>IF(INDEX(TransTypes[],Transactions[[#This Row],[TTR]],TT_COL_LONGORSHORT)="S",
      IF( OR(INDEX(TransTypes[],Transactions[[#This Row],[TTR]],TT_COL_GLFlag)=1, INDEX(TransTypes[], Transactions[[#This Row],[TTR]], TT_COL_ShareTransferFlag)=1),
            Transactions[[#This Row],[CostImpact]]*-1,
            Transactions[[#This Row],[CalCashImpact]]
      ),
     0
)</f>
        <v>0</v>
      </c>
      <c r="Y868" s="168" t="str">
        <f>VLOOKUP(Transactions[[#This Row],[Symbol]],Symbols[], COLUMN(Symbols[Currency])-COLUMN(Symbols[])+1,FALSE)</f>
        <v>CNY</v>
      </c>
    </row>
    <row r="869" spans="1:25">
      <c r="A869" s="155" t="s">
        <v>82</v>
      </c>
      <c r="B869" s="156">
        <v>42348</v>
      </c>
      <c r="C869" s="155" t="s">
        <v>115</v>
      </c>
      <c r="D869" s="155"/>
      <c r="E869" s="155" t="s">
        <v>656</v>
      </c>
      <c r="F869" s="157">
        <v>110000</v>
      </c>
      <c r="G869" s="158">
        <v>0.95599999999999996</v>
      </c>
      <c r="H869" s="157">
        <v>105.16</v>
      </c>
      <c r="I869" s="157"/>
      <c r="J869" s="159">
        <v>105054.84</v>
      </c>
      <c r="K869" s="6" t="s">
        <v>641</v>
      </c>
      <c r="L869" s="20">
        <f>IF(ISNA(MATCH(Transactions[[#This Row],[TransType]],TransTypes[TransType],0)),1,MATCH(Transactions[[#This Row],[TransType]],TransTypes[TransType],0))</f>
        <v>3</v>
      </c>
      <c r="M869" s="160">
        <f>IF( AND( INDEX(TransTypes[],Transactions[[#This Row],[TTR]],TT_COL_GLFlag)=1, INDEX(TransTypes[],Transactions[[#This Row],[TTR]],TT_COL_LONGORSHORT)="S" ),
      Transactions[[#This Row],[PL]],
      IF(INDEX(TransTypes[],Transactions[[#This Row],[TTR]],TT_COL_LONGORSHORT)="S",0,Transactions[[#This Row],[CalCashImpact]])
)</f>
        <v>105054.84</v>
      </c>
      <c r="N869" s="161">
        <f>IF(VLOOKUP(Transactions[[#This Row],[Symbol]],Symbols[],COLUMN(Symbols[Currency])-COLUMN(Symbols[])+1,FALSE)=
       VLOOKUP(Transactions[[#This Row],[Account]],Accounts[],COLUMN(Accounts[Currency])-COLUMN(Accounts[])+1,FALSE),
     Transactions[[#This Row],[OrigCashImpact]],
     0
)</f>
        <v>105054.84</v>
      </c>
      <c r="O8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227423.98999999967</v>
      </c>
      <c r="P8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-110000</v>
      </c>
      <c r="Q8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69" s="41">
        <f>ROW()</f>
        <v>869</v>
      </c>
      <c r="S8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-106696.59</v>
      </c>
      <c r="T8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110000</v>
      </c>
      <c r="V869" s="166">
        <f>IF(INDEX(TransTypes[],Transactions[[#This Row],[TTR]],TT_COL_GLFlag)=1,Transactions[[#This Row],[CalCashImpact]]+Transactions[[#This Row],[CostImpact]],0)</f>
        <v>-1641.75</v>
      </c>
      <c r="W869" s="167">
        <f>Transactions[[#This Row],[Amount]]*INDEX(TransTypes[],Transactions[[#This Row],[TTR]],TT_COL_AmntSign)</f>
        <v>105054.84</v>
      </c>
      <c r="X869" s="167">
        <f>IF(INDEX(TransTypes[],Transactions[[#This Row],[TTR]],TT_COL_LONGORSHORT)="S",
      IF( OR(INDEX(TransTypes[],Transactions[[#This Row],[TTR]],TT_COL_GLFlag)=1, INDEX(TransTypes[], Transactions[[#This Row],[TTR]], TT_COL_ShareTransferFlag)=1),
            Transactions[[#This Row],[CostImpact]]*-1,
            Transactions[[#This Row],[CalCashImpact]]
      ),
     0
)</f>
        <v>0</v>
      </c>
      <c r="Y869" s="168" t="str">
        <f>VLOOKUP(Transactions[[#This Row],[Symbol]],Symbols[], COLUMN(Symbols[Currency])-COLUMN(Symbols[])+1,FALSE)</f>
        <v>CNY</v>
      </c>
    </row>
    <row r="870" spans="1:25">
      <c r="A870" s="155" t="s">
        <v>82</v>
      </c>
      <c r="B870" s="156">
        <v>42348</v>
      </c>
      <c r="C870" s="155" t="s">
        <v>115</v>
      </c>
      <c r="D870" s="155"/>
      <c r="E870" s="155" t="s">
        <v>661</v>
      </c>
      <c r="F870" s="157">
        <v>620000</v>
      </c>
      <c r="G870" s="158">
        <v>0.94199999999999995</v>
      </c>
      <c r="H870" s="157">
        <v>584.04</v>
      </c>
      <c r="I870" s="157"/>
      <c r="J870" s="159">
        <v>583455.96</v>
      </c>
      <c r="K870" s="6" t="s">
        <v>641</v>
      </c>
      <c r="L870" s="20">
        <f>IF(ISNA(MATCH(Transactions[[#This Row],[TransType]],TransTypes[TransType],0)),1,MATCH(Transactions[[#This Row],[TransType]],TransTypes[TransType],0))</f>
        <v>3</v>
      </c>
      <c r="M870" s="160">
        <f>IF( AND( INDEX(TransTypes[],Transactions[[#This Row],[TTR]],TT_COL_GLFlag)=1, INDEX(TransTypes[],Transactions[[#This Row],[TTR]],TT_COL_LONGORSHORT)="S" ),
      Transactions[[#This Row],[PL]],
      IF(INDEX(TransTypes[],Transactions[[#This Row],[TTR]],TT_COL_LONGORSHORT)="S",0,Transactions[[#This Row],[CalCashImpact]])
)</f>
        <v>583455.96</v>
      </c>
      <c r="N870" s="161">
        <f>IF(VLOOKUP(Transactions[[#This Row],[Symbol]],Symbols[],COLUMN(Symbols[Currency])-COLUMN(Symbols[])+1,FALSE)=
       VLOOKUP(Transactions[[#This Row],[Account]],Accounts[],COLUMN(Accounts[Currency])-COLUMN(Accounts[])+1,FALSE),
     Transactions[[#This Row],[OrigCashImpact]],
     0
)</f>
        <v>583455.96</v>
      </c>
      <c r="O8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810879.9499999996</v>
      </c>
      <c r="P8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-620000</v>
      </c>
      <c r="Q8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70" s="41">
        <f>ROW()</f>
        <v>870</v>
      </c>
      <c r="S8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-584143.56000000006</v>
      </c>
      <c r="T8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620000</v>
      </c>
      <c r="V870" s="166">
        <f>IF(INDEX(TransTypes[],Transactions[[#This Row],[TTR]],TT_COL_GLFlag)=1,Transactions[[#This Row],[CalCashImpact]]+Transactions[[#This Row],[CostImpact]],0)</f>
        <v>-687.60000000009313</v>
      </c>
      <c r="W870" s="167">
        <f>Transactions[[#This Row],[Amount]]*INDEX(TransTypes[],Transactions[[#This Row],[TTR]],TT_COL_AmntSign)</f>
        <v>583455.96</v>
      </c>
      <c r="X870" s="167">
        <f>IF(INDEX(TransTypes[],Transactions[[#This Row],[TTR]],TT_COL_LONGORSHORT)="S",
      IF( OR(INDEX(TransTypes[],Transactions[[#This Row],[TTR]],TT_COL_GLFlag)=1, INDEX(TransTypes[], Transactions[[#This Row],[TTR]], TT_COL_ShareTransferFlag)=1),
            Transactions[[#This Row],[CostImpact]]*-1,
            Transactions[[#This Row],[CalCashImpact]]
      ),
     0
)</f>
        <v>0</v>
      </c>
      <c r="Y870" s="168" t="str">
        <f>VLOOKUP(Transactions[[#This Row],[Symbol]],Symbols[], COLUMN(Symbols[Currency])-COLUMN(Symbols[])+1,FALSE)</f>
        <v>CNY</v>
      </c>
    </row>
    <row r="871" spans="1:25">
      <c r="A871" s="155" t="s">
        <v>82</v>
      </c>
      <c r="B871" s="156">
        <v>42351</v>
      </c>
      <c r="C871" s="155" t="s">
        <v>115</v>
      </c>
      <c r="D871" s="155"/>
      <c r="E871" s="155" t="s">
        <v>498</v>
      </c>
      <c r="F871" s="157">
        <v>7000</v>
      </c>
      <c r="G871" s="158">
        <v>103.304</v>
      </c>
      <c r="H871" s="157">
        <v>0</v>
      </c>
      <c r="I871" s="157"/>
      <c r="J871" s="159">
        <v>723128</v>
      </c>
      <c r="K871" s="6" t="s">
        <v>641</v>
      </c>
      <c r="L871" s="20">
        <f>IF(ISNA(MATCH(Transactions[[#This Row],[TransType]],TransTypes[TransType],0)),1,MATCH(Transactions[[#This Row],[TransType]],TransTypes[TransType],0))</f>
        <v>3</v>
      </c>
      <c r="M871" s="160">
        <f>IF( AND( INDEX(TransTypes[],Transactions[[#This Row],[TTR]],TT_COL_GLFlag)=1, INDEX(TransTypes[],Transactions[[#This Row],[TTR]],TT_COL_LONGORSHORT)="S" ),
      Transactions[[#This Row],[PL]],
      IF(INDEX(TransTypes[],Transactions[[#This Row],[TTR]],TT_COL_LONGORSHORT)="S",0,Transactions[[#This Row],[CalCashImpact]])
)</f>
        <v>723128</v>
      </c>
      <c r="N871" s="161">
        <f>IF(VLOOKUP(Transactions[[#This Row],[Symbol]],Symbols[],COLUMN(Symbols[Currency])-COLUMN(Symbols[])+1,FALSE)=
       VLOOKUP(Transactions[[#This Row],[Account]],Accounts[],COLUMN(Accounts[Currency])-COLUMN(Accounts[])+1,FALSE),
     Transactions[[#This Row],[OrigCashImpact]],
     0
)</f>
        <v>723128</v>
      </c>
      <c r="O8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1534007.9499999997</v>
      </c>
      <c r="P8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8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71" s="41">
        <f>ROW()</f>
        <v>871</v>
      </c>
      <c r="S8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-722694</v>
      </c>
      <c r="T8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871" s="166">
        <f>IF(INDEX(TransTypes[],Transactions[[#This Row],[TTR]],TT_COL_GLFlag)=1,Transactions[[#This Row],[CalCashImpact]]+Transactions[[#This Row],[CostImpact]],0)</f>
        <v>434</v>
      </c>
      <c r="W871" s="167">
        <f>Transactions[[#This Row],[Amount]]*INDEX(TransTypes[],Transactions[[#This Row],[TTR]],TT_COL_AmntSign)</f>
        <v>723128</v>
      </c>
      <c r="X871" s="167">
        <f>IF(INDEX(TransTypes[],Transactions[[#This Row],[TTR]],TT_COL_LONGORSHORT)="S",
      IF( OR(INDEX(TransTypes[],Transactions[[#This Row],[TTR]],TT_COL_GLFlag)=1, INDEX(TransTypes[], Transactions[[#This Row],[TTR]], TT_COL_ShareTransferFlag)=1),
            Transactions[[#This Row],[CostImpact]]*-1,
            Transactions[[#This Row],[CalCashImpact]]
      ),
     0
)</f>
        <v>0</v>
      </c>
      <c r="Y871" s="168" t="str">
        <f>VLOOKUP(Transactions[[#This Row],[Symbol]],Symbols[], COLUMN(Symbols[Currency])-COLUMN(Symbols[])+1,FALSE)</f>
        <v>CNY</v>
      </c>
    </row>
    <row r="872" spans="1:25">
      <c r="A872" s="155" t="s">
        <v>82</v>
      </c>
      <c r="B872" s="156">
        <v>42352</v>
      </c>
      <c r="C872" s="155" t="s">
        <v>115</v>
      </c>
      <c r="D872" s="155"/>
      <c r="E872" s="155" t="s">
        <v>649</v>
      </c>
      <c r="F872" s="157">
        <v>500</v>
      </c>
      <c r="G872" s="158">
        <v>49.44</v>
      </c>
      <c r="H872" s="157">
        <v>34.61</v>
      </c>
      <c r="I872" s="157"/>
      <c r="J872" s="159">
        <v>24685.39</v>
      </c>
      <c r="K872" s="6" t="s">
        <v>641</v>
      </c>
      <c r="L872" s="20">
        <f>IF(ISNA(MATCH(Transactions[[#This Row],[TransType]],TransTypes[TransType],0)),1,MATCH(Transactions[[#This Row],[TransType]],TransTypes[TransType],0))</f>
        <v>3</v>
      </c>
      <c r="M872" s="160">
        <f>IF( AND( INDEX(TransTypes[],Transactions[[#This Row],[TTR]],TT_COL_GLFlag)=1, INDEX(TransTypes[],Transactions[[#This Row],[TTR]],TT_COL_LONGORSHORT)="S" ),
      Transactions[[#This Row],[PL]],
      IF(INDEX(TransTypes[],Transactions[[#This Row],[TTR]],TT_COL_LONGORSHORT)="S",0,Transactions[[#This Row],[CalCashImpact]])
)</f>
        <v>24685.39</v>
      </c>
      <c r="N872" s="161">
        <f>IF(VLOOKUP(Transactions[[#This Row],[Symbol]],Symbols[],COLUMN(Symbols[Currency])-COLUMN(Symbols[])+1,FALSE)=
       VLOOKUP(Transactions[[#This Row],[Account]],Accounts[],COLUMN(Accounts[Currency])-COLUMN(Accounts[])+1,FALSE),
     Transactions[[#This Row],[OrigCashImpact]],
     0
)</f>
        <v>24685.39</v>
      </c>
      <c r="O8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1558693.3399999996</v>
      </c>
      <c r="P8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8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872" s="41">
        <f>ROW()</f>
        <v>872</v>
      </c>
      <c r="S8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-22896.684000000001</v>
      </c>
      <c r="T8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22896.684000000001</v>
      </c>
      <c r="U8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872" s="166">
        <f>IF(INDEX(TransTypes[],Transactions[[#This Row],[TTR]],TT_COL_GLFlag)=1,Transactions[[#This Row],[CalCashImpact]]+Transactions[[#This Row],[CostImpact]],0)</f>
        <v>1788.7059999999983</v>
      </c>
      <c r="W872" s="167">
        <f>Transactions[[#This Row],[Amount]]*INDEX(TransTypes[],Transactions[[#This Row],[TTR]],TT_COL_AmntSign)</f>
        <v>24685.39</v>
      </c>
      <c r="X872" s="167">
        <f>IF(INDEX(TransTypes[],Transactions[[#This Row],[TTR]],TT_COL_LONGORSHORT)="S",
      IF( OR(INDEX(TransTypes[],Transactions[[#This Row],[TTR]],TT_COL_GLFlag)=1, INDEX(TransTypes[], Transactions[[#This Row],[TTR]], TT_COL_ShareTransferFlag)=1),
            Transactions[[#This Row],[CostImpact]]*-1,
            Transactions[[#This Row],[CalCashImpact]]
      ),
     0
)</f>
        <v>0</v>
      </c>
      <c r="Y872" s="168" t="str">
        <f>VLOOKUP(Transactions[[#This Row],[Symbol]],Symbols[], COLUMN(Symbols[Currency])-COLUMN(Symbols[])+1,FALSE)</f>
        <v>CNY</v>
      </c>
    </row>
    <row r="873" spans="1:25">
      <c r="A873" s="155" t="s">
        <v>82</v>
      </c>
      <c r="B873" s="156">
        <v>42352</v>
      </c>
      <c r="C873" s="155" t="s">
        <v>115</v>
      </c>
      <c r="D873" s="155"/>
      <c r="E873" s="155" t="s">
        <v>642</v>
      </c>
      <c r="F873" s="157">
        <v>1000</v>
      </c>
      <c r="G873" s="158">
        <v>29.545999999999999</v>
      </c>
      <c r="H873" s="157">
        <v>41.37</v>
      </c>
      <c r="I873" s="157"/>
      <c r="J873" s="159">
        <v>29504.63</v>
      </c>
      <c r="K873" s="6" t="s">
        <v>641</v>
      </c>
      <c r="L873" s="20">
        <f>IF(ISNA(MATCH(Transactions[[#This Row],[TransType]],TransTypes[TransType],0)),1,MATCH(Transactions[[#This Row],[TransType]],TransTypes[TransType],0))</f>
        <v>3</v>
      </c>
      <c r="M873" s="160">
        <f>IF( AND( INDEX(TransTypes[],Transactions[[#This Row],[TTR]],TT_COL_GLFlag)=1, INDEX(TransTypes[],Transactions[[#This Row],[TTR]],TT_COL_LONGORSHORT)="S" ),
      Transactions[[#This Row],[PL]],
      IF(INDEX(TransTypes[],Transactions[[#This Row],[TTR]],TT_COL_LONGORSHORT)="S",0,Transactions[[#This Row],[CalCashImpact]])
)</f>
        <v>29504.63</v>
      </c>
      <c r="N873" s="161">
        <f>IF(VLOOKUP(Transactions[[#This Row],[Symbol]],Symbols[],COLUMN(Symbols[Currency])-COLUMN(Symbols[])+1,FALSE)=
       VLOOKUP(Transactions[[#This Row],[Account]],Accounts[],COLUMN(Accounts[Currency])-COLUMN(Accounts[])+1,FALSE),
     Transactions[[#This Row],[OrigCashImpact]],
     0
)</f>
        <v>29504.63</v>
      </c>
      <c r="O8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1588197.9699999997</v>
      </c>
      <c r="P8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873" s="41">
        <f>ROW()</f>
        <v>873</v>
      </c>
      <c r="S8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-25448.918750000004</v>
      </c>
      <c r="T8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25448.918750000004</v>
      </c>
      <c r="U8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873" s="166">
        <f>IF(INDEX(TransTypes[],Transactions[[#This Row],[TTR]],TT_COL_GLFlag)=1,Transactions[[#This Row],[CalCashImpact]]+Transactions[[#This Row],[CostImpact]],0)</f>
        <v>4055.7112499999967</v>
      </c>
      <c r="W873" s="167">
        <f>Transactions[[#This Row],[Amount]]*INDEX(TransTypes[],Transactions[[#This Row],[TTR]],TT_COL_AmntSign)</f>
        <v>29504.63</v>
      </c>
      <c r="X873" s="167">
        <f>IF(INDEX(TransTypes[],Transactions[[#This Row],[TTR]],TT_COL_LONGORSHORT)="S",
      IF( OR(INDEX(TransTypes[],Transactions[[#This Row],[TTR]],TT_COL_GLFlag)=1, INDEX(TransTypes[], Transactions[[#This Row],[TTR]], TT_COL_ShareTransferFlag)=1),
            Transactions[[#This Row],[CostImpact]]*-1,
            Transactions[[#This Row],[CalCashImpact]]
      ),
     0
)</f>
        <v>0</v>
      </c>
      <c r="Y873" s="168" t="str">
        <f>VLOOKUP(Transactions[[#This Row],[Symbol]],Symbols[], COLUMN(Symbols[Currency])-COLUMN(Symbols[])+1,FALSE)</f>
        <v>CNY</v>
      </c>
    </row>
    <row r="874" spans="1:25">
      <c r="A874" s="155" t="s">
        <v>82</v>
      </c>
      <c r="B874" s="156">
        <v>42352</v>
      </c>
      <c r="C874" s="155" t="s">
        <v>113</v>
      </c>
      <c r="D874" s="155"/>
      <c r="E874" s="155" t="s">
        <v>666</v>
      </c>
      <c r="F874" s="157">
        <v>13700</v>
      </c>
      <c r="G874" s="158">
        <v>108.681</v>
      </c>
      <c r="H874" s="157">
        <v>74.45</v>
      </c>
      <c r="I874" s="157"/>
      <c r="J874" s="159">
        <v>1489004.15</v>
      </c>
      <c r="K874" s="6" t="s">
        <v>641</v>
      </c>
      <c r="L874" s="20">
        <f>IF(ISNA(MATCH(Transactions[[#This Row],[TransType]],TransTypes[TransType],0)),1,MATCH(Transactions[[#This Row],[TransType]],TransTypes[TransType],0))</f>
        <v>2</v>
      </c>
      <c r="M874" s="160">
        <f>IF( AND( INDEX(TransTypes[],Transactions[[#This Row],[TTR]],TT_COL_GLFlag)=1, INDEX(TransTypes[],Transactions[[#This Row],[TTR]],TT_COL_LONGORSHORT)="S" ),
      Transactions[[#This Row],[PL]],
      IF(INDEX(TransTypes[],Transactions[[#This Row],[TTR]],TT_COL_LONGORSHORT)="S",0,Transactions[[#This Row],[CalCashImpact]])
)</f>
        <v>-1489004.15</v>
      </c>
      <c r="N874" s="161">
        <f>IF(VLOOKUP(Transactions[[#This Row],[Symbol]],Symbols[],COLUMN(Symbols[Currency])-COLUMN(Symbols[])+1,FALSE)=
       VLOOKUP(Transactions[[#This Row],[Account]],Accounts[],COLUMN(Accounts[Currency])-COLUMN(Accounts[])+1,FALSE),
     Transactions[[#This Row],[OrigCashImpact]],
     0
)</f>
        <v>-1489004.15</v>
      </c>
      <c r="O8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99193.819999999832</v>
      </c>
      <c r="P8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13700</v>
      </c>
      <c r="Q8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13700</v>
      </c>
      <c r="R874" s="41">
        <f>ROW()</f>
        <v>874</v>
      </c>
      <c r="S8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1489004.15</v>
      </c>
      <c r="T8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1489004.15</v>
      </c>
      <c r="U8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13700</v>
      </c>
      <c r="V874" s="166">
        <f>IF(INDEX(TransTypes[],Transactions[[#This Row],[TTR]],TT_COL_GLFlag)=1,Transactions[[#This Row],[CalCashImpact]]+Transactions[[#This Row],[CostImpact]],0)</f>
        <v>0</v>
      </c>
      <c r="W874" s="167">
        <f>Transactions[[#This Row],[Amount]]*INDEX(TransTypes[],Transactions[[#This Row],[TTR]],TT_COL_AmntSign)</f>
        <v>-1489004.15</v>
      </c>
      <c r="X874" s="167">
        <f>IF(INDEX(TransTypes[],Transactions[[#This Row],[TTR]],TT_COL_LONGORSHORT)="S",
      IF( OR(INDEX(TransTypes[],Transactions[[#This Row],[TTR]],TT_COL_GLFlag)=1, INDEX(TransTypes[], Transactions[[#This Row],[TTR]], TT_COL_ShareTransferFlag)=1),
            Transactions[[#This Row],[CostImpact]]*-1,
            Transactions[[#This Row],[CalCashImpact]]
      ),
     0
)</f>
        <v>0</v>
      </c>
      <c r="Y874" s="168" t="str">
        <f>VLOOKUP(Transactions[[#This Row],[Symbol]],Symbols[], COLUMN(Symbols[Currency])-COLUMN(Symbols[])+1,FALSE)</f>
        <v>CNY</v>
      </c>
    </row>
    <row r="875" spans="1:25">
      <c r="A875" s="155" t="s">
        <v>82</v>
      </c>
      <c r="B875" s="156">
        <v>42352</v>
      </c>
      <c r="C875" s="155" t="s">
        <v>115</v>
      </c>
      <c r="D875" s="155"/>
      <c r="E875" s="155" t="s">
        <v>666</v>
      </c>
      <c r="F875" s="157">
        <v>2000</v>
      </c>
      <c r="G875" s="158">
        <v>108.652</v>
      </c>
      <c r="H875" s="157">
        <v>10.87</v>
      </c>
      <c r="I875" s="157"/>
      <c r="J875" s="159">
        <v>217293.13</v>
      </c>
      <c r="K875" s="6" t="s">
        <v>641</v>
      </c>
      <c r="L875" s="20">
        <f>IF(ISNA(MATCH(Transactions[[#This Row],[TransType]],TransTypes[TransType],0)),1,MATCH(Transactions[[#This Row],[TransType]],TransTypes[TransType],0))</f>
        <v>3</v>
      </c>
      <c r="M875" s="160">
        <f>IF( AND( INDEX(TransTypes[],Transactions[[#This Row],[TTR]],TT_COL_GLFlag)=1, INDEX(TransTypes[],Transactions[[#This Row],[TTR]],TT_COL_LONGORSHORT)="S" ),
      Transactions[[#This Row],[PL]],
      IF(INDEX(TransTypes[],Transactions[[#This Row],[TTR]],TT_COL_LONGORSHORT)="S",0,Transactions[[#This Row],[CalCashImpact]])
)</f>
        <v>217293.13</v>
      </c>
      <c r="N875" s="161">
        <f>IF(VLOOKUP(Transactions[[#This Row],[Symbol]],Symbols[],COLUMN(Symbols[Currency])-COLUMN(Symbols[])+1,FALSE)=
       VLOOKUP(Transactions[[#This Row],[Account]],Accounts[],COLUMN(Accounts[Currency])-COLUMN(Accounts[])+1,FALSE),
     Transactions[[#This Row],[OrigCashImpact]],
     0
)</f>
        <v>217293.13</v>
      </c>
      <c r="O8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316486.94999999972</v>
      </c>
      <c r="P8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8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11700</v>
      </c>
      <c r="R875" s="41">
        <f>ROW()</f>
        <v>875</v>
      </c>
      <c r="S8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-217372.86861313868</v>
      </c>
      <c r="T8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1271631.2813868611</v>
      </c>
      <c r="U8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13700</v>
      </c>
      <c r="V875" s="166">
        <f>IF(INDEX(TransTypes[],Transactions[[#This Row],[TTR]],TT_COL_GLFlag)=1,Transactions[[#This Row],[CalCashImpact]]+Transactions[[#This Row],[CostImpact]],0)</f>
        <v>-79.738613138673827</v>
      </c>
      <c r="W875" s="167">
        <f>Transactions[[#This Row],[Amount]]*INDEX(TransTypes[],Transactions[[#This Row],[TTR]],TT_COL_AmntSign)</f>
        <v>217293.13</v>
      </c>
      <c r="X875" s="167">
        <f>IF(INDEX(TransTypes[],Transactions[[#This Row],[TTR]],TT_COL_LONGORSHORT)="S",
      IF( OR(INDEX(TransTypes[],Transactions[[#This Row],[TTR]],TT_COL_GLFlag)=1, INDEX(TransTypes[], Transactions[[#This Row],[TTR]], TT_COL_ShareTransferFlag)=1),
            Transactions[[#This Row],[CostImpact]]*-1,
            Transactions[[#This Row],[CalCashImpact]]
      ),
     0
)</f>
        <v>0</v>
      </c>
      <c r="Y875" s="168" t="str">
        <f>VLOOKUP(Transactions[[#This Row],[Symbol]],Symbols[], COLUMN(Symbols[Currency])-COLUMN(Symbols[])+1,FALSE)</f>
        <v>CNY</v>
      </c>
    </row>
    <row r="876" spans="1:25">
      <c r="A876" s="155" t="s">
        <v>82</v>
      </c>
      <c r="B876" s="156">
        <v>42352</v>
      </c>
      <c r="C876" s="155" t="s">
        <v>113</v>
      </c>
      <c r="D876" s="155"/>
      <c r="E876" s="155" t="s">
        <v>658</v>
      </c>
      <c r="F876" s="157">
        <v>4000</v>
      </c>
      <c r="G876" s="158">
        <v>23.72</v>
      </c>
      <c r="H876" s="157">
        <v>39.85</v>
      </c>
      <c r="I876" s="157"/>
      <c r="J876" s="159">
        <v>94919.85</v>
      </c>
      <c r="K876" s="6" t="s">
        <v>641</v>
      </c>
      <c r="L876" s="20">
        <f>IF(ISNA(MATCH(Transactions[[#This Row],[TransType]],TransTypes[TransType],0)),1,MATCH(Transactions[[#This Row],[TransType]],TransTypes[TransType],0))</f>
        <v>2</v>
      </c>
      <c r="M876" s="160">
        <f>IF( AND( INDEX(TransTypes[],Transactions[[#This Row],[TTR]],TT_COL_GLFlag)=1, INDEX(TransTypes[],Transactions[[#This Row],[TTR]],TT_COL_LONGORSHORT)="S" ),
      Transactions[[#This Row],[PL]],
      IF(INDEX(TransTypes[],Transactions[[#This Row],[TTR]],TT_COL_LONGORSHORT)="S",0,Transactions[[#This Row],[CalCashImpact]])
)</f>
        <v>-94919.85</v>
      </c>
      <c r="N876" s="161">
        <f>IF(VLOOKUP(Transactions[[#This Row],[Symbol]],Symbols[],COLUMN(Symbols[Currency])-COLUMN(Symbols[])+1,FALSE)=
       VLOOKUP(Transactions[[#This Row],[Account]],Accounts[],COLUMN(Accounts[Currency])-COLUMN(Accounts[])+1,FALSE),
     Transactions[[#This Row],[OrigCashImpact]],
     0
)</f>
        <v>-94919.85</v>
      </c>
      <c r="O8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221567.09999999963</v>
      </c>
      <c r="P8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8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876" s="41">
        <f>ROW()</f>
        <v>876</v>
      </c>
      <c r="S8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94919.85</v>
      </c>
      <c r="T8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94919.85</v>
      </c>
      <c r="U8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876" s="166">
        <f>IF(INDEX(TransTypes[],Transactions[[#This Row],[TTR]],TT_COL_GLFlag)=1,Transactions[[#This Row],[CalCashImpact]]+Transactions[[#This Row],[CostImpact]],0)</f>
        <v>0</v>
      </c>
      <c r="W876" s="167">
        <f>Transactions[[#This Row],[Amount]]*INDEX(TransTypes[],Transactions[[#This Row],[TTR]],TT_COL_AmntSign)</f>
        <v>-94919.85</v>
      </c>
      <c r="X876" s="167">
        <f>IF(INDEX(TransTypes[],Transactions[[#This Row],[TTR]],TT_COL_LONGORSHORT)="S",
      IF( OR(INDEX(TransTypes[],Transactions[[#This Row],[TTR]],TT_COL_GLFlag)=1, INDEX(TransTypes[], Transactions[[#This Row],[TTR]], TT_COL_ShareTransferFlag)=1),
            Transactions[[#This Row],[CostImpact]]*-1,
            Transactions[[#This Row],[CalCashImpact]]
      ),
     0
)</f>
        <v>0</v>
      </c>
      <c r="Y876" s="168" t="str">
        <f>VLOOKUP(Transactions[[#This Row],[Symbol]],Symbols[], COLUMN(Symbols[Currency])-COLUMN(Symbols[])+1,FALSE)</f>
        <v>CNY</v>
      </c>
    </row>
    <row r="877" spans="1:25">
      <c r="A877" s="155" t="s">
        <v>82</v>
      </c>
      <c r="B877" s="156">
        <v>42352</v>
      </c>
      <c r="C877" s="155" t="s">
        <v>115</v>
      </c>
      <c r="D877" s="155"/>
      <c r="E877" s="155" t="s">
        <v>666</v>
      </c>
      <c r="F877" s="157">
        <v>1000</v>
      </c>
      <c r="G877" s="158">
        <v>108.673</v>
      </c>
      <c r="H877" s="157">
        <v>5.43</v>
      </c>
      <c r="I877" s="157"/>
      <c r="J877" s="159">
        <v>108667.57</v>
      </c>
      <c r="K877" s="6" t="s">
        <v>641</v>
      </c>
      <c r="L877" s="20">
        <f>IF(ISNA(MATCH(Transactions[[#This Row],[TransType]],TransTypes[TransType],0)),1,MATCH(Transactions[[#This Row],[TransType]],TransTypes[TransType],0))</f>
        <v>3</v>
      </c>
      <c r="M877" s="160">
        <f>IF( AND( INDEX(TransTypes[],Transactions[[#This Row],[TTR]],TT_COL_GLFlag)=1, INDEX(TransTypes[],Transactions[[#This Row],[TTR]],TT_COL_LONGORSHORT)="S" ),
      Transactions[[#This Row],[PL]],
      IF(INDEX(TransTypes[],Transactions[[#This Row],[TTR]],TT_COL_LONGORSHORT)="S",0,Transactions[[#This Row],[CalCashImpact]])
)</f>
        <v>108667.57</v>
      </c>
      <c r="N877" s="161">
        <f>IF(VLOOKUP(Transactions[[#This Row],[Symbol]],Symbols[],COLUMN(Symbols[Currency])-COLUMN(Symbols[])+1,FALSE)=
       VLOOKUP(Transactions[[#This Row],[Account]],Accounts[],COLUMN(Accounts[Currency])-COLUMN(Accounts[])+1,FALSE),
     Transactions[[#This Row],[OrigCashImpact]],
     0
)</f>
        <v>108667.57</v>
      </c>
      <c r="O8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330234.66999999969</v>
      </c>
      <c r="P8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8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10700</v>
      </c>
      <c r="R877" s="41">
        <f>ROW()</f>
        <v>877</v>
      </c>
      <c r="S8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-108686.43430656932</v>
      </c>
      <c r="T8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1162944.8470802917</v>
      </c>
      <c r="U8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11700</v>
      </c>
      <c r="V877" s="166">
        <f>IF(INDEX(TransTypes[],Transactions[[#This Row],[TTR]],TT_COL_GLFlag)=1,Transactions[[#This Row],[CalCashImpact]]+Transactions[[#This Row],[CostImpact]],0)</f>
        <v>-18.864306569317705</v>
      </c>
      <c r="W877" s="167">
        <f>Transactions[[#This Row],[Amount]]*INDEX(TransTypes[],Transactions[[#This Row],[TTR]],TT_COL_AmntSign)</f>
        <v>108667.57</v>
      </c>
      <c r="X877" s="167">
        <f>IF(INDEX(TransTypes[],Transactions[[#This Row],[TTR]],TT_COL_LONGORSHORT)="S",
      IF( OR(INDEX(TransTypes[],Transactions[[#This Row],[TTR]],TT_COL_GLFlag)=1, INDEX(TransTypes[], Transactions[[#This Row],[TTR]], TT_COL_ShareTransferFlag)=1),
            Transactions[[#This Row],[CostImpact]]*-1,
            Transactions[[#This Row],[CalCashImpact]]
      ),
     0
)</f>
        <v>0</v>
      </c>
      <c r="Y877" s="168" t="str">
        <f>VLOOKUP(Transactions[[#This Row],[Symbol]],Symbols[], COLUMN(Symbols[Currency])-COLUMN(Symbols[])+1,FALSE)</f>
        <v>CNY</v>
      </c>
    </row>
    <row r="878" spans="1:25">
      <c r="A878" s="155" t="s">
        <v>82</v>
      </c>
      <c r="B878" s="156">
        <v>42352</v>
      </c>
      <c r="C878" s="155" t="s">
        <v>115</v>
      </c>
      <c r="D878" s="155"/>
      <c r="E878" s="155" t="s">
        <v>468</v>
      </c>
      <c r="F878" s="157">
        <v>500</v>
      </c>
      <c r="G878" s="158">
        <v>34.49</v>
      </c>
      <c r="H878" s="157">
        <v>24.49</v>
      </c>
      <c r="I878" s="157"/>
      <c r="J878" s="159">
        <v>17220.509999999998</v>
      </c>
      <c r="K878" s="6" t="s">
        <v>641</v>
      </c>
      <c r="L878" s="20">
        <f>IF(ISNA(MATCH(Transactions[[#This Row],[TransType]],TransTypes[TransType],0)),1,MATCH(Transactions[[#This Row],[TransType]],TransTypes[TransType],0))</f>
        <v>3</v>
      </c>
      <c r="M878" s="160">
        <f>IF( AND( INDEX(TransTypes[],Transactions[[#This Row],[TTR]],TT_COL_GLFlag)=1, INDEX(TransTypes[],Transactions[[#This Row],[TTR]],TT_COL_LONGORSHORT)="S" ),
      Transactions[[#This Row],[PL]],
      IF(INDEX(TransTypes[],Transactions[[#This Row],[TTR]],TT_COL_LONGORSHORT)="S",0,Transactions[[#This Row],[CalCashImpact]])
)</f>
        <v>17220.509999999998</v>
      </c>
      <c r="N878" s="161">
        <f>IF(VLOOKUP(Transactions[[#This Row],[Symbol]],Symbols[],COLUMN(Symbols[Currency])-COLUMN(Symbols[])+1,FALSE)=
       VLOOKUP(Transactions[[#This Row],[Account]],Accounts[],COLUMN(Accounts[Currency])-COLUMN(Accounts[])+1,FALSE),
     Transactions[[#This Row],[OrigCashImpact]],
     0
)</f>
        <v>17220.509999999998</v>
      </c>
      <c r="O8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347455.1799999997</v>
      </c>
      <c r="P8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8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878" s="41">
        <f>ROW()</f>
        <v>878</v>
      </c>
      <c r="S8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-14940</v>
      </c>
      <c r="T8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14940</v>
      </c>
      <c r="U8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878" s="166">
        <f>IF(INDEX(TransTypes[],Transactions[[#This Row],[TTR]],TT_COL_GLFlag)=1,Transactions[[#This Row],[CalCashImpact]]+Transactions[[#This Row],[CostImpact]],0)</f>
        <v>2280.5099999999984</v>
      </c>
      <c r="W878" s="167">
        <f>Transactions[[#This Row],[Amount]]*INDEX(TransTypes[],Transactions[[#This Row],[TTR]],TT_COL_AmntSign)</f>
        <v>17220.509999999998</v>
      </c>
      <c r="X878" s="167">
        <f>IF(INDEX(TransTypes[],Transactions[[#This Row],[TTR]],TT_COL_LONGORSHORT)="S",
      IF( OR(INDEX(TransTypes[],Transactions[[#This Row],[TTR]],TT_COL_GLFlag)=1, INDEX(TransTypes[], Transactions[[#This Row],[TTR]], TT_COL_ShareTransferFlag)=1),
            Transactions[[#This Row],[CostImpact]]*-1,
            Transactions[[#This Row],[CalCashImpact]]
      ),
     0
)</f>
        <v>0</v>
      </c>
      <c r="Y878" s="168" t="str">
        <f>VLOOKUP(Transactions[[#This Row],[Symbol]],Symbols[], COLUMN(Symbols[Currency])-COLUMN(Symbols[])+1,FALSE)</f>
        <v>CNY</v>
      </c>
    </row>
    <row r="879" spans="1:25">
      <c r="A879" s="155" t="s">
        <v>82</v>
      </c>
      <c r="B879" s="156">
        <v>42352</v>
      </c>
      <c r="C879" s="155" t="s">
        <v>152</v>
      </c>
      <c r="D879" s="155"/>
      <c r="E879" s="155" t="s">
        <v>210</v>
      </c>
      <c r="F879" s="157"/>
      <c r="G879" s="158"/>
      <c r="H879" s="157"/>
      <c r="I879" s="157"/>
      <c r="J879" s="159">
        <v>120882.75</v>
      </c>
      <c r="K879" s="6" t="s">
        <v>641</v>
      </c>
      <c r="L879" s="20">
        <f>IF(ISNA(MATCH(Transactions[[#This Row],[TransType]],TransTypes[TransType],0)),1,MATCH(Transactions[[#This Row],[TransType]],TransTypes[TransType],0))</f>
        <v>15</v>
      </c>
      <c r="M879" s="160">
        <f>IF( AND( INDEX(TransTypes[],Transactions[[#This Row],[TTR]],TT_COL_GLFlag)=1, INDEX(TransTypes[],Transactions[[#This Row],[TTR]],TT_COL_LONGORSHORT)="S" ),
      Transactions[[#This Row],[PL]],
      IF(INDEX(TransTypes[],Transactions[[#This Row],[TTR]],TT_COL_LONGORSHORT)="S",0,Transactions[[#This Row],[CalCashImpact]])
)</f>
        <v>120882.75</v>
      </c>
      <c r="N879" s="161">
        <f>IF(VLOOKUP(Transactions[[#This Row],[Symbol]],Symbols[],COLUMN(Symbols[Currency])-COLUMN(Symbols[])+1,FALSE)=
       VLOOKUP(Transactions[[#This Row],[Account]],Accounts[],COLUMN(Accounts[Currency])-COLUMN(Accounts[])+1,FALSE),
     Transactions[[#This Row],[OrigCashImpact]],
     0
)</f>
        <v>0</v>
      </c>
      <c r="O8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347455.1799999997</v>
      </c>
      <c r="P8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79" s="41">
        <f>ROW()</f>
        <v>879</v>
      </c>
      <c r="S8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79" s="166">
        <f>IF(INDEX(TransTypes[],Transactions[[#This Row],[TTR]],TT_COL_GLFlag)=1,Transactions[[#This Row],[CalCashImpact]]+Transactions[[#This Row],[CostImpact]],0)</f>
        <v>0</v>
      </c>
      <c r="W879" s="167">
        <f>Transactions[[#This Row],[Amount]]*INDEX(TransTypes[],Transactions[[#This Row],[TTR]],TT_COL_AmntSign)</f>
        <v>120882.75</v>
      </c>
      <c r="X879" s="167">
        <f>IF(INDEX(TransTypes[],Transactions[[#This Row],[TTR]],TT_COL_LONGORSHORT)="S",
      IF( OR(INDEX(TransTypes[],Transactions[[#This Row],[TTR]],TT_COL_GLFlag)=1, INDEX(TransTypes[], Transactions[[#This Row],[TTR]], TT_COL_ShareTransferFlag)=1),
            Transactions[[#This Row],[CostImpact]]*-1,
            Transactions[[#This Row],[CalCashImpact]]
      ),
     0
)</f>
        <v>0</v>
      </c>
      <c r="Y879" s="168" t="str">
        <f>VLOOKUP(Transactions[[#This Row],[Symbol]],Symbols[], COLUMN(Symbols[Currency])-COLUMN(Symbols[])+1,FALSE)</f>
        <v>HKD</v>
      </c>
    </row>
    <row r="880" spans="1:25">
      <c r="A880" s="155" t="s">
        <v>82</v>
      </c>
      <c r="B880" s="156">
        <v>42352</v>
      </c>
      <c r="C880" s="155" t="s">
        <v>238</v>
      </c>
      <c r="D880" s="155"/>
      <c r="E880" s="155" t="s">
        <v>211</v>
      </c>
      <c r="F880" s="157"/>
      <c r="G880" s="158"/>
      <c r="H880" s="157"/>
      <c r="I880" s="157"/>
      <c r="J880" s="159">
        <v>101965.98</v>
      </c>
      <c r="K880" s="6" t="s">
        <v>667</v>
      </c>
      <c r="L880" s="20">
        <f>IF(ISNA(MATCH(Transactions[[#This Row],[TransType]],TransTypes[TransType],0)),1,MATCH(Transactions[[#This Row],[TransType]],TransTypes[TransType],0))</f>
        <v>16</v>
      </c>
      <c r="M880" s="160">
        <f>IF( AND( INDEX(TransTypes[],Transactions[[#This Row],[TTR]],TT_COL_GLFlag)=1, INDEX(TransTypes[],Transactions[[#This Row],[TTR]],TT_COL_LONGORSHORT)="S" ),
      Transactions[[#This Row],[PL]],
      IF(INDEX(TransTypes[],Transactions[[#This Row],[TTR]],TT_COL_LONGORSHORT)="S",0,Transactions[[#This Row],[CalCashImpact]])
)</f>
        <v>-101965.98</v>
      </c>
      <c r="N880" s="161">
        <f>IF(VLOOKUP(Transactions[[#This Row],[Symbol]],Symbols[],COLUMN(Symbols[Currency])-COLUMN(Symbols[])+1,FALSE)=
       VLOOKUP(Transactions[[#This Row],[Account]],Accounts[],COLUMN(Accounts[Currency])-COLUMN(Accounts[])+1,FALSE),
     Transactions[[#This Row],[OrigCashImpact]],
     0
)</f>
        <v>-101965.98</v>
      </c>
      <c r="O8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245489.19999999972</v>
      </c>
      <c r="P8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8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80" s="41">
        <f>ROW()</f>
        <v>880</v>
      </c>
      <c r="S8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8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880" s="166">
        <f>IF(INDEX(TransTypes[],Transactions[[#This Row],[TTR]],TT_COL_GLFlag)=1,Transactions[[#This Row],[CalCashImpact]]+Transactions[[#This Row],[CostImpact]],0)</f>
        <v>0</v>
      </c>
      <c r="W880" s="167">
        <f>Transactions[[#This Row],[Amount]]*INDEX(TransTypes[],Transactions[[#This Row],[TTR]],TT_COL_AmntSign)</f>
        <v>-101965.98</v>
      </c>
      <c r="X880" s="167">
        <f>IF(INDEX(TransTypes[],Transactions[[#This Row],[TTR]],TT_COL_LONGORSHORT)="S",
      IF( OR(INDEX(TransTypes[],Transactions[[#This Row],[TTR]],TT_COL_GLFlag)=1, INDEX(TransTypes[], Transactions[[#This Row],[TTR]], TT_COL_ShareTransferFlag)=1),
            Transactions[[#This Row],[CostImpact]]*-1,
            Transactions[[#This Row],[CalCashImpact]]
      ),
     0
)</f>
        <v>0</v>
      </c>
      <c r="Y880" s="168" t="str">
        <f>VLOOKUP(Transactions[[#This Row],[Symbol]],Symbols[], COLUMN(Symbols[Currency])-COLUMN(Symbols[])+1,FALSE)</f>
        <v>CNY</v>
      </c>
    </row>
    <row r="881" spans="1:25">
      <c r="A881" s="155" t="s">
        <v>82</v>
      </c>
      <c r="B881" s="156">
        <v>42352</v>
      </c>
      <c r="C881" s="155" t="s">
        <v>113</v>
      </c>
      <c r="D881" s="155"/>
      <c r="E881" s="155" t="s">
        <v>645</v>
      </c>
      <c r="F881" s="157">
        <v>10000</v>
      </c>
      <c r="G881" s="158">
        <v>12.04</v>
      </c>
      <c r="H881" s="157">
        <v>482.75</v>
      </c>
      <c r="I881" s="157"/>
      <c r="J881" s="159">
        <v>120882.75</v>
      </c>
      <c r="K881" s="6" t="s">
        <v>641</v>
      </c>
      <c r="L881" s="20">
        <f>IF(ISNA(MATCH(Transactions[[#This Row],[TransType]],TransTypes[TransType],0)),1,MATCH(Transactions[[#This Row],[TransType]],TransTypes[TransType],0))</f>
        <v>2</v>
      </c>
      <c r="M881" s="160">
        <f>IF( AND( INDEX(TransTypes[],Transactions[[#This Row],[TTR]],TT_COL_GLFlag)=1, INDEX(TransTypes[],Transactions[[#This Row],[TTR]],TT_COL_LONGORSHORT)="S" ),
      Transactions[[#This Row],[PL]],
      IF(INDEX(TransTypes[],Transactions[[#This Row],[TTR]],TT_COL_LONGORSHORT)="S",0,Transactions[[#This Row],[CalCashImpact]])
)</f>
        <v>-120882.75</v>
      </c>
      <c r="N881" s="161">
        <f>IF(VLOOKUP(Transactions[[#This Row],[Symbol]],Symbols[],COLUMN(Symbols[Currency])-COLUMN(Symbols[])+1,FALSE)=
       VLOOKUP(Transactions[[#This Row],[Account]],Accounts[],COLUMN(Accounts[Currency])-COLUMN(Accounts[])+1,FALSE),
     Transactions[[#This Row],[OrigCashImpact]],
     0
)</f>
        <v>0</v>
      </c>
      <c r="O8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245489.19999999972</v>
      </c>
      <c r="P8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8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881" s="41">
        <f>ROW()</f>
        <v>881</v>
      </c>
      <c r="S8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120882.75</v>
      </c>
      <c r="T8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120882.75</v>
      </c>
      <c r="U8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881" s="166">
        <f>IF(INDEX(TransTypes[],Transactions[[#This Row],[TTR]],TT_COL_GLFlag)=1,Transactions[[#This Row],[CalCashImpact]]+Transactions[[#This Row],[CostImpact]],0)</f>
        <v>0</v>
      </c>
      <c r="W881" s="167">
        <f>Transactions[[#This Row],[Amount]]*INDEX(TransTypes[],Transactions[[#This Row],[TTR]],TT_COL_AmntSign)</f>
        <v>-120882.75</v>
      </c>
      <c r="X881" s="167">
        <f>IF(INDEX(TransTypes[],Transactions[[#This Row],[TTR]],TT_COL_LONGORSHORT)="S",
      IF( OR(INDEX(TransTypes[],Transactions[[#This Row],[TTR]],TT_COL_GLFlag)=1, INDEX(TransTypes[], Transactions[[#This Row],[TTR]], TT_COL_ShareTransferFlag)=1),
            Transactions[[#This Row],[CostImpact]]*-1,
            Transactions[[#This Row],[CalCashImpact]]
      ),
     0
)</f>
        <v>0</v>
      </c>
      <c r="Y881" s="168" t="str">
        <f>VLOOKUP(Transactions[[#This Row],[Symbol]],Symbols[], COLUMN(Symbols[Currency])-COLUMN(Symbols[])+1,FALSE)</f>
        <v>HKD</v>
      </c>
    </row>
    <row r="882" spans="1:25">
      <c r="A882" s="155" t="s">
        <v>82</v>
      </c>
      <c r="B882" s="156">
        <v>42354</v>
      </c>
      <c r="C882" s="155" t="s">
        <v>113</v>
      </c>
      <c r="D882" s="155"/>
      <c r="E882" s="155" t="s">
        <v>661</v>
      </c>
      <c r="F882" s="157">
        <v>100000</v>
      </c>
      <c r="G882" s="158">
        <v>0.93899999999999995</v>
      </c>
      <c r="H882" s="157">
        <v>37.56</v>
      </c>
      <c r="I882" s="157"/>
      <c r="J882" s="159">
        <v>93937.56</v>
      </c>
      <c r="K882" s="6" t="s">
        <v>641</v>
      </c>
      <c r="L882" s="20">
        <f>IF(ISNA(MATCH(Transactions[[#This Row],[TransType]],TransTypes[TransType],0)),1,MATCH(Transactions[[#This Row],[TransType]],TransTypes[TransType],0))</f>
        <v>2</v>
      </c>
      <c r="M882" s="160">
        <f>IF( AND( INDEX(TransTypes[],Transactions[[#This Row],[TTR]],TT_COL_GLFlag)=1, INDEX(TransTypes[],Transactions[[#This Row],[TTR]],TT_COL_LONGORSHORT)="S" ),
      Transactions[[#This Row],[PL]],
      IF(INDEX(TransTypes[],Transactions[[#This Row],[TTR]],TT_COL_LONGORSHORT)="S",0,Transactions[[#This Row],[CalCashImpact]])
)</f>
        <v>-93937.56</v>
      </c>
      <c r="N882" s="161">
        <f>IF(VLOOKUP(Transactions[[#This Row],[Symbol]],Symbols[],COLUMN(Symbols[Currency])-COLUMN(Symbols[])+1,FALSE)=
       VLOOKUP(Transactions[[#This Row],[Account]],Accounts[],COLUMN(Accounts[Currency])-COLUMN(Accounts[])+1,FALSE),
     Transactions[[#This Row],[OrigCashImpact]],
     0
)</f>
        <v>-93937.56</v>
      </c>
      <c r="O8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151551.63999999961</v>
      </c>
      <c r="P8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8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100000</v>
      </c>
      <c r="R882" s="41">
        <f>ROW()</f>
        <v>882</v>
      </c>
      <c r="S8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93937.56</v>
      </c>
      <c r="T8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93937.56</v>
      </c>
      <c r="U8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100000</v>
      </c>
      <c r="V882" s="166">
        <f>IF(INDEX(TransTypes[],Transactions[[#This Row],[TTR]],TT_COL_GLFlag)=1,Transactions[[#This Row],[CalCashImpact]]+Transactions[[#This Row],[CostImpact]],0)</f>
        <v>0</v>
      </c>
      <c r="W882" s="167">
        <f>Transactions[[#This Row],[Amount]]*INDEX(TransTypes[],Transactions[[#This Row],[TTR]],TT_COL_AmntSign)</f>
        <v>-93937.56</v>
      </c>
      <c r="X882" s="167">
        <f>IF(INDEX(TransTypes[],Transactions[[#This Row],[TTR]],TT_COL_LONGORSHORT)="S",
      IF( OR(INDEX(TransTypes[],Transactions[[#This Row],[TTR]],TT_COL_GLFlag)=1, INDEX(TransTypes[], Transactions[[#This Row],[TTR]], TT_COL_ShareTransferFlag)=1),
            Transactions[[#This Row],[CostImpact]]*-1,
            Transactions[[#This Row],[CalCashImpact]]
      ),
     0
)</f>
        <v>0</v>
      </c>
      <c r="Y882" s="168" t="str">
        <f>VLOOKUP(Transactions[[#This Row],[Symbol]],Symbols[], COLUMN(Symbols[Currency])-COLUMN(Symbols[])+1,FALSE)</f>
        <v>CNY</v>
      </c>
    </row>
    <row r="883" spans="1:25">
      <c r="A883" s="155" t="s">
        <v>82</v>
      </c>
      <c r="B883" s="156">
        <v>42354</v>
      </c>
      <c r="C883" s="155" t="s">
        <v>115</v>
      </c>
      <c r="D883" s="155"/>
      <c r="E883" s="155" t="s">
        <v>660</v>
      </c>
      <c r="F883" s="157">
        <v>4000</v>
      </c>
      <c r="G883" s="158">
        <v>32.950000000000003</v>
      </c>
      <c r="H883" s="157">
        <v>184.52</v>
      </c>
      <c r="I883" s="157"/>
      <c r="J883" s="159">
        <v>131615.48000000001</v>
      </c>
      <c r="K883" s="6" t="s">
        <v>641</v>
      </c>
      <c r="L883" s="20">
        <f>IF(ISNA(MATCH(Transactions[[#This Row],[TransType]],TransTypes[TransType],0)),1,MATCH(Transactions[[#This Row],[TransType]],TransTypes[TransType],0))</f>
        <v>3</v>
      </c>
      <c r="M883" s="160">
        <f>IF( AND( INDEX(TransTypes[],Transactions[[#This Row],[TTR]],TT_COL_GLFlag)=1, INDEX(TransTypes[],Transactions[[#This Row],[TTR]],TT_COL_LONGORSHORT)="S" ),
      Transactions[[#This Row],[PL]],
      IF(INDEX(TransTypes[],Transactions[[#This Row],[TTR]],TT_COL_LONGORSHORT)="S",0,Transactions[[#This Row],[CalCashImpact]])
)</f>
        <v>131615.48000000001</v>
      </c>
      <c r="N883" s="161">
        <f>IF(VLOOKUP(Transactions[[#This Row],[Symbol]],Symbols[],COLUMN(Symbols[Currency])-COLUMN(Symbols[])+1,FALSE)=
       VLOOKUP(Transactions[[#This Row],[Account]],Accounts[],COLUMN(Accounts[Currency])-COLUMN(Accounts[])+1,FALSE),
     Transactions[[#This Row],[OrigCashImpact]],
     0
)</f>
        <v>131615.48000000001</v>
      </c>
      <c r="O8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283167.11999999965</v>
      </c>
      <c r="P8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8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883" s="41">
        <f>ROW()</f>
        <v>883</v>
      </c>
      <c r="S8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-123681.33567251461</v>
      </c>
      <c r="T8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15460.166959064329</v>
      </c>
      <c r="U8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4500</v>
      </c>
      <c r="V883" s="166">
        <f>IF(INDEX(TransTypes[],Transactions[[#This Row],[TTR]],TT_COL_GLFlag)=1,Transactions[[#This Row],[CalCashImpact]]+Transactions[[#This Row],[CostImpact]],0)</f>
        <v>7934.1443274853955</v>
      </c>
      <c r="W883" s="167">
        <f>Transactions[[#This Row],[Amount]]*INDEX(TransTypes[],Transactions[[#This Row],[TTR]],TT_COL_AmntSign)</f>
        <v>131615.48000000001</v>
      </c>
      <c r="X883" s="167">
        <f>IF(INDEX(TransTypes[],Transactions[[#This Row],[TTR]],TT_COL_LONGORSHORT)="S",
      IF( OR(INDEX(TransTypes[],Transactions[[#This Row],[TTR]],TT_COL_GLFlag)=1, INDEX(TransTypes[], Transactions[[#This Row],[TTR]], TT_COL_ShareTransferFlag)=1),
            Transactions[[#This Row],[CostImpact]]*-1,
            Transactions[[#This Row],[CalCashImpact]]
      ),
     0
)</f>
        <v>0</v>
      </c>
      <c r="Y883" s="168" t="str">
        <f>VLOOKUP(Transactions[[#This Row],[Symbol]],Symbols[], COLUMN(Symbols[Currency])-COLUMN(Symbols[])+1,FALSE)</f>
        <v>CNY</v>
      </c>
    </row>
    <row r="884" spans="1:25">
      <c r="A884" s="155" t="s">
        <v>82</v>
      </c>
      <c r="B884" s="156">
        <v>42354</v>
      </c>
      <c r="C884" s="155" t="s">
        <v>113</v>
      </c>
      <c r="D884" s="155"/>
      <c r="E884" s="155" t="s">
        <v>498</v>
      </c>
      <c r="F884" s="157">
        <v>2700</v>
      </c>
      <c r="G884" s="158">
        <v>103.32599999999999</v>
      </c>
      <c r="H884" s="157">
        <v>0</v>
      </c>
      <c r="I884" s="157"/>
      <c r="J884" s="159">
        <v>278980.2</v>
      </c>
      <c r="K884" s="6" t="s">
        <v>641</v>
      </c>
      <c r="L884" s="20">
        <f>IF(ISNA(MATCH(Transactions[[#This Row],[TransType]],TransTypes[TransType],0)),1,MATCH(Transactions[[#This Row],[TransType]],TransTypes[TransType],0))</f>
        <v>2</v>
      </c>
      <c r="M884" s="160">
        <f>IF( AND( INDEX(TransTypes[],Transactions[[#This Row],[TTR]],TT_COL_GLFlag)=1, INDEX(TransTypes[],Transactions[[#This Row],[TTR]],TT_COL_LONGORSHORT)="S" ),
      Transactions[[#This Row],[PL]],
      IF(INDEX(TransTypes[],Transactions[[#This Row],[TTR]],TT_COL_LONGORSHORT)="S",0,Transactions[[#This Row],[CalCashImpact]])
)</f>
        <v>-278980.2</v>
      </c>
      <c r="N884" s="161">
        <f>IF(VLOOKUP(Transactions[[#This Row],[Symbol]],Symbols[],COLUMN(Symbols[Currency])-COLUMN(Symbols[])+1,FALSE)=
       VLOOKUP(Transactions[[#This Row],[Account]],Accounts[],COLUMN(Accounts[Currency])-COLUMN(Accounts[])+1,FALSE),
     Transactions[[#This Row],[OrigCashImpact]],
     0
)</f>
        <v>-278980.2</v>
      </c>
      <c r="O8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4186.9199999996054</v>
      </c>
      <c r="P8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2700</v>
      </c>
      <c r="Q8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2700</v>
      </c>
      <c r="R884" s="41">
        <f>ROW()</f>
        <v>884</v>
      </c>
      <c r="S8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278980.2</v>
      </c>
      <c r="T8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278980.2</v>
      </c>
      <c r="U8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2700</v>
      </c>
      <c r="V884" s="166">
        <f>IF(INDEX(TransTypes[],Transactions[[#This Row],[TTR]],TT_COL_GLFlag)=1,Transactions[[#This Row],[CalCashImpact]]+Transactions[[#This Row],[CostImpact]],0)</f>
        <v>0</v>
      </c>
      <c r="W884" s="167">
        <f>Transactions[[#This Row],[Amount]]*INDEX(TransTypes[],Transactions[[#This Row],[TTR]],TT_COL_AmntSign)</f>
        <v>-278980.2</v>
      </c>
      <c r="X884" s="167">
        <f>IF(INDEX(TransTypes[],Transactions[[#This Row],[TTR]],TT_COL_LONGORSHORT)="S",
      IF( OR(INDEX(TransTypes[],Transactions[[#This Row],[TTR]],TT_COL_GLFlag)=1, INDEX(TransTypes[], Transactions[[#This Row],[TTR]], TT_COL_ShareTransferFlag)=1),
            Transactions[[#This Row],[CostImpact]]*-1,
            Transactions[[#This Row],[CalCashImpact]]
      ),
     0
)</f>
        <v>0</v>
      </c>
      <c r="Y884" s="168" t="str">
        <f>VLOOKUP(Transactions[[#This Row],[Symbol]],Symbols[], COLUMN(Symbols[Currency])-COLUMN(Symbols[])+1,FALSE)</f>
        <v>CNY</v>
      </c>
    </row>
    <row r="885" spans="1:25">
      <c r="A885" s="155" t="s">
        <v>82</v>
      </c>
      <c r="B885" s="156">
        <v>42356</v>
      </c>
      <c r="C885" s="155" t="s">
        <v>113</v>
      </c>
      <c r="D885" s="155"/>
      <c r="E885" s="155" t="s">
        <v>668</v>
      </c>
      <c r="F885" s="157">
        <v>200000</v>
      </c>
      <c r="G885" s="158">
        <v>0.73499999999999999</v>
      </c>
      <c r="H885" s="157">
        <v>148.52000000000001</v>
      </c>
      <c r="I885" s="157"/>
      <c r="J885" s="159">
        <v>147148.51999999999</v>
      </c>
      <c r="K885" s="6" t="s">
        <v>641</v>
      </c>
      <c r="L885" s="20">
        <f>IF(ISNA(MATCH(Transactions[[#This Row],[TransType]],TransTypes[TransType],0)),1,MATCH(Transactions[[#This Row],[TransType]],TransTypes[TransType],0))</f>
        <v>2</v>
      </c>
      <c r="M885" s="160">
        <f>IF( AND( INDEX(TransTypes[],Transactions[[#This Row],[TTR]],TT_COL_GLFlag)=1, INDEX(TransTypes[],Transactions[[#This Row],[TTR]],TT_COL_LONGORSHORT)="S" ),
      Transactions[[#This Row],[PL]],
      IF(INDEX(TransTypes[],Transactions[[#This Row],[TTR]],TT_COL_LONGORSHORT)="S",0,Transactions[[#This Row],[CalCashImpact]])
)</f>
        <v>-147148.51999999999</v>
      </c>
      <c r="N885" s="161">
        <f>IF(VLOOKUP(Transactions[[#This Row],[Symbol]],Symbols[],COLUMN(Symbols[Currency])-COLUMN(Symbols[])+1,FALSE)=
       VLOOKUP(Transactions[[#This Row],[Account]],Accounts[],COLUMN(Accounts[Currency])-COLUMN(Accounts[])+1,FALSE),
     Transactions[[#This Row],[OrigCashImpact]],
     0
)</f>
        <v>-147148.51999999999</v>
      </c>
      <c r="O8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-142961.60000000036</v>
      </c>
      <c r="P8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8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885" s="41">
        <f>ROW()</f>
        <v>885</v>
      </c>
      <c r="S8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147148.51999999999</v>
      </c>
      <c r="T8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147148.51999999999</v>
      </c>
      <c r="U8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885" s="166">
        <f>IF(INDEX(TransTypes[],Transactions[[#This Row],[TTR]],TT_COL_GLFlag)=1,Transactions[[#This Row],[CalCashImpact]]+Transactions[[#This Row],[CostImpact]],0)</f>
        <v>0</v>
      </c>
      <c r="W885" s="167">
        <f>Transactions[[#This Row],[Amount]]*INDEX(TransTypes[],Transactions[[#This Row],[TTR]],TT_COL_AmntSign)</f>
        <v>-147148.51999999999</v>
      </c>
      <c r="X885" s="167">
        <f>IF(INDEX(TransTypes[],Transactions[[#This Row],[TTR]],TT_COL_LONGORSHORT)="S",
      IF( OR(INDEX(TransTypes[],Transactions[[#This Row],[TTR]],TT_COL_GLFlag)=1, INDEX(TransTypes[], Transactions[[#This Row],[TTR]], TT_COL_ShareTransferFlag)=1),
            Transactions[[#This Row],[CostImpact]]*-1,
            Transactions[[#This Row],[CalCashImpact]]
      ),
     0
)</f>
        <v>0</v>
      </c>
      <c r="Y885" s="168" t="str">
        <f>VLOOKUP(Transactions[[#This Row],[Symbol]],Symbols[], COLUMN(Symbols[Currency])-COLUMN(Symbols[])+1,FALSE)</f>
        <v>CNY</v>
      </c>
    </row>
    <row r="886" spans="1:25">
      <c r="A886" s="155" t="s">
        <v>82</v>
      </c>
      <c r="B886" s="156">
        <v>42356</v>
      </c>
      <c r="C886" s="155" t="s">
        <v>113</v>
      </c>
      <c r="D886" s="155"/>
      <c r="E886" s="155" t="s">
        <v>669</v>
      </c>
      <c r="F886" s="157">
        <v>10000</v>
      </c>
      <c r="G886" s="158">
        <v>4.78</v>
      </c>
      <c r="H886" s="157">
        <v>19.12</v>
      </c>
      <c r="I886" s="157"/>
      <c r="J886" s="159">
        <v>47819.12</v>
      </c>
      <c r="K886" s="6" t="s">
        <v>641</v>
      </c>
      <c r="L886" s="20">
        <f>IF(ISNA(MATCH(Transactions[[#This Row],[TransType]],TransTypes[TransType],0)),1,MATCH(Transactions[[#This Row],[TransType]],TransTypes[TransType],0))</f>
        <v>2</v>
      </c>
      <c r="M886" s="160">
        <f>IF( AND( INDEX(TransTypes[],Transactions[[#This Row],[TTR]],TT_COL_GLFlag)=1, INDEX(TransTypes[],Transactions[[#This Row],[TTR]],TT_COL_LONGORSHORT)="S" ),
      Transactions[[#This Row],[PL]],
      IF(INDEX(TransTypes[],Transactions[[#This Row],[TTR]],TT_COL_LONGORSHORT)="S",0,Transactions[[#This Row],[CalCashImpact]])
)</f>
        <v>-47819.12</v>
      </c>
      <c r="N886" s="161">
        <f>IF(VLOOKUP(Transactions[[#This Row],[Symbol]],Symbols[],COLUMN(Symbols[Currency])-COLUMN(Symbols[])+1,FALSE)=
       VLOOKUP(Transactions[[#This Row],[Account]],Accounts[],COLUMN(Accounts[Currency])-COLUMN(Accounts[])+1,FALSE),
     Transactions[[#This Row],[OrigCashImpact]],
     0
)</f>
        <v>-47819.12</v>
      </c>
      <c r="O8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-190780.72000000035</v>
      </c>
      <c r="P8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8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886" s="41">
        <f>ROW()</f>
        <v>886</v>
      </c>
      <c r="S8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47819.12</v>
      </c>
      <c r="T8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47819.12</v>
      </c>
      <c r="U8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886" s="166">
        <f>IF(INDEX(TransTypes[],Transactions[[#This Row],[TTR]],TT_COL_GLFlag)=1,Transactions[[#This Row],[CalCashImpact]]+Transactions[[#This Row],[CostImpact]],0)</f>
        <v>0</v>
      </c>
      <c r="W886" s="167">
        <f>Transactions[[#This Row],[Amount]]*INDEX(TransTypes[],Transactions[[#This Row],[TTR]],TT_COL_AmntSign)</f>
        <v>-47819.12</v>
      </c>
      <c r="X886" s="167">
        <f>IF(INDEX(TransTypes[],Transactions[[#This Row],[TTR]],TT_COL_LONGORSHORT)="S",
      IF( OR(INDEX(TransTypes[],Transactions[[#This Row],[TTR]],TT_COL_GLFlag)=1, INDEX(TransTypes[], Transactions[[#This Row],[TTR]], TT_COL_ShareTransferFlag)=1),
            Transactions[[#This Row],[CostImpact]]*-1,
            Transactions[[#This Row],[CalCashImpact]]
      ),
     0
)</f>
        <v>0</v>
      </c>
      <c r="Y886" s="168" t="str">
        <f>VLOOKUP(Transactions[[#This Row],[Symbol]],Symbols[], COLUMN(Symbols[Currency])-COLUMN(Symbols[])+1,FALSE)</f>
        <v>CNY</v>
      </c>
    </row>
    <row r="887" spans="1:25">
      <c r="A887" s="155" t="s">
        <v>82</v>
      </c>
      <c r="B887" s="156">
        <v>42356</v>
      </c>
      <c r="C887" s="155" t="s">
        <v>113</v>
      </c>
      <c r="D887" s="155"/>
      <c r="E887" s="155" t="s">
        <v>670</v>
      </c>
      <c r="F887" s="157">
        <v>5000</v>
      </c>
      <c r="G887" s="158">
        <v>32</v>
      </c>
      <c r="H887" s="157">
        <v>64</v>
      </c>
      <c r="I887" s="157"/>
      <c r="J887" s="159">
        <v>160064</v>
      </c>
      <c r="K887" s="6" t="s">
        <v>641</v>
      </c>
      <c r="L887" s="20">
        <f>IF(ISNA(MATCH(Transactions[[#This Row],[TransType]],TransTypes[TransType],0)),1,MATCH(Transactions[[#This Row],[TransType]],TransTypes[TransType],0))</f>
        <v>2</v>
      </c>
      <c r="M887" s="160">
        <f>IF( AND( INDEX(TransTypes[],Transactions[[#This Row],[TTR]],TT_COL_GLFlag)=1, INDEX(TransTypes[],Transactions[[#This Row],[TTR]],TT_COL_LONGORSHORT)="S" ),
      Transactions[[#This Row],[PL]],
      IF(INDEX(TransTypes[],Transactions[[#This Row],[TTR]],TT_COL_LONGORSHORT)="S",0,Transactions[[#This Row],[CalCashImpact]])
)</f>
        <v>-160064</v>
      </c>
      <c r="N887" s="161">
        <f>IF(VLOOKUP(Transactions[[#This Row],[Symbol]],Symbols[],COLUMN(Symbols[Currency])-COLUMN(Symbols[])+1,FALSE)=
       VLOOKUP(Transactions[[#This Row],[Account]],Accounts[],COLUMN(Accounts[Currency])-COLUMN(Accounts[])+1,FALSE),
     Transactions[[#This Row],[OrigCashImpact]],
     0
)</f>
        <v>-160064</v>
      </c>
      <c r="O8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-350844.72000000038</v>
      </c>
      <c r="P8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8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887" s="41">
        <f>ROW()</f>
        <v>887</v>
      </c>
      <c r="S8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160064</v>
      </c>
      <c r="T8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160064</v>
      </c>
      <c r="U8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887" s="166">
        <f>IF(INDEX(TransTypes[],Transactions[[#This Row],[TTR]],TT_COL_GLFlag)=1,Transactions[[#This Row],[CalCashImpact]]+Transactions[[#This Row],[CostImpact]],0)</f>
        <v>0</v>
      </c>
      <c r="W887" s="167">
        <f>Transactions[[#This Row],[Amount]]*INDEX(TransTypes[],Transactions[[#This Row],[TTR]],TT_COL_AmntSign)</f>
        <v>-160064</v>
      </c>
      <c r="X887" s="167">
        <f>IF(INDEX(TransTypes[],Transactions[[#This Row],[TTR]],TT_COL_LONGORSHORT)="S",
      IF( OR(INDEX(TransTypes[],Transactions[[#This Row],[TTR]],TT_COL_GLFlag)=1, INDEX(TransTypes[], Transactions[[#This Row],[TTR]], TT_COL_ShareTransferFlag)=1),
            Transactions[[#This Row],[CostImpact]]*-1,
            Transactions[[#This Row],[CalCashImpact]]
      ),
     0
)</f>
        <v>0</v>
      </c>
      <c r="Y887" s="168" t="str">
        <f>VLOOKUP(Transactions[[#This Row],[Symbol]],Symbols[], COLUMN(Symbols[Currency])-COLUMN(Symbols[])+1,FALSE)</f>
        <v>CNY</v>
      </c>
    </row>
    <row r="888" spans="1:25">
      <c r="A888" s="155" t="s">
        <v>82</v>
      </c>
      <c r="B888" s="156">
        <v>42356</v>
      </c>
      <c r="C888" s="155" t="s">
        <v>115</v>
      </c>
      <c r="D888" s="155"/>
      <c r="E888" s="155" t="s">
        <v>661</v>
      </c>
      <c r="F888" s="157">
        <v>100000</v>
      </c>
      <c r="G888" s="158">
        <v>0.93600000000000005</v>
      </c>
      <c r="H888" s="157">
        <v>37.44</v>
      </c>
      <c r="I888" s="157"/>
      <c r="J888" s="159">
        <v>93562.559999999998</v>
      </c>
      <c r="K888" s="6" t="s">
        <v>641</v>
      </c>
      <c r="L888" s="20">
        <f>IF(ISNA(MATCH(Transactions[[#This Row],[TransType]],TransTypes[TransType],0)),1,MATCH(Transactions[[#This Row],[TransType]],TransTypes[TransType],0))</f>
        <v>3</v>
      </c>
      <c r="M888" s="160">
        <f>IF( AND( INDEX(TransTypes[],Transactions[[#This Row],[TTR]],TT_COL_GLFlag)=1, INDEX(TransTypes[],Transactions[[#This Row],[TTR]],TT_COL_LONGORSHORT)="S" ),
      Transactions[[#This Row],[PL]],
      IF(INDEX(TransTypes[],Transactions[[#This Row],[TTR]],TT_COL_LONGORSHORT)="S",0,Transactions[[#This Row],[CalCashImpact]])
)</f>
        <v>93562.559999999998</v>
      </c>
      <c r="N888" s="161">
        <f>IF(VLOOKUP(Transactions[[#This Row],[Symbol]],Symbols[],COLUMN(Symbols[Currency])-COLUMN(Symbols[])+1,FALSE)=
       VLOOKUP(Transactions[[#This Row],[Account]],Accounts[],COLUMN(Accounts[Currency])-COLUMN(Accounts[])+1,FALSE),
     Transactions[[#This Row],[OrigCashImpact]],
     0
)</f>
        <v>93562.559999999998</v>
      </c>
      <c r="O8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-257282.16000000038</v>
      </c>
      <c r="P8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8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88" s="41">
        <f>ROW()</f>
        <v>888</v>
      </c>
      <c r="S8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-93937.56</v>
      </c>
      <c r="T8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100000</v>
      </c>
      <c r="V888" s="166">
        <f>IF(INDEX(TransTypes[],Transactions[[#This Row],[TTR]],TT_COL_GLFlag)=1,Transactions[[#This Row],[CalCashImpact]]+Transactions[[#This Row],[CostImpact]],0)</f>
        <v>-375</v>
      </c>
      <c r="W888" s="167">
        <f>Transactions[[#This Row],[Amount]]*INDEX(TransTypes[],Transactions[[#This Row],[TTR]],TT_COL_AmntSign)</f>
        <v>93562.559999999998</v>
      </c>
      <c r="X888" s="167">
        <f>IF(INDEX(TransTypes[],Transactions[[#This Row],[TTR]],TT_COL_LONGORSHORT)="S",
      IF( OR(INDEX(TransTypes[],Transactions[[#This Row],[TTR]],TT_COL_GLFlag)=1, INDEX(TransTypes[], Transactions[[#This Row],[TTR]], TT_COL_ShareTransferFlag)=1),
            Transactions[[#This Row],[CostImpact]]*-1,
            Transactions[[#This Row],[CalCashImpact]]
      ),
     0
)</f>
        <v>0</v>
      </c>
      <c r="Y888" s="168" t="str">
        <f>VLOOKUP(Transactions[[#This Row],[Symbol]],Symbols[], COLUMN(Symbols[Currency])-COLUMN(Symbols[])+1,FALSE)</f>
        <v>CNY</v>
      </c>
    </row>
    <row r="889" spans="1:25">
      <c r="A889" s="155" t="s">
        <v>82</v>
      </c>
      <c r="B889" s="156">
        <v>42356</v>
      </c>
      <c r="C889" s="155" t="s">
        <v>115</v>
      </c>
      <c r="D889" s="155"/>
      <c r="E889" s="155" t="s">
        <v>498</v>
      </c>
      <c r="F889" s="157">
        <v>2700</v>
      </c>
      <c r="G889" s="158">
        <v>103.346</v>
      </c>
      <c r="H889" s="157">
        <v>0</v>
      </c>
      <c r="I889" s="157"/>
      <c r="J889" s="159">
        <v>279034.2</v>
      </c>
      <c r="K889" s="6" t="s">
        <v>641</v>
      </c>
      <c r="L889" s="20">
        <f>IF(ISNA(MATCH(Transactions[[#This Row],[TransType]],TransTypes[TransType],0)),1,MATCH(Transactions[[#This Row],[TransType]],TransTypes[TransType],0))</f>
        <v>3</v>
      </c>
      <c r="M889" s="160">
        <f>IF( AND( INDEX(TransTypes[],Transactions[[#This Row],[TTR]],TT_COL_GLFlag)=1, INDEX(TransTypes[],Transactions[[#This Row],[TTR]],TT_COL_LONGORSHORT)="S" ),
      Transactions[[#This Row],[PL]],
      IF(INDEX(TransTypes[],Transactions[[#This Row],[TTR]],TT_COL_LONGORSHORT)="S",0,Transactions[[#This Row],[CalCashImpact]])
)</f>
        <v>279034.2</v>
      </c>
      <c r="N889" s="161">
        <f>IF(VLOOKUP(Transactions[[#This Row],[Symbol]],Symbols[],COLUMN(Symbols[Currency])-COLUMN(Symbols[])+1,FALSE)=
       VLOOKUP(Transactions[[#This Row],[Account]],Accounts[],COLUMN(Accounts[Currency])-COLUMN(Accounts[])+1,FALSE),
     Transactions[[#This Row],[OrigCashImpact]],
     0
)</f>
        <v>279034.2</v>
      </c>
      <c r="O8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21752.03999999963</v>
      </c>
      <c r="P8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-2700</v>
      </c>
      <c r="Q8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89" s="41">
        <f>ROW()</f>
        <v>889</v>
      </c>
      <c r="S8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-278980.2</v>
      </c>
      <c r="T8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2700</v>
      </c>
      <c r="V889" s="166">
        <f>IF(INDEX(TransTypes[],Transactions[[#This Row],[TTR]],TT_COL_GLFlag)=1,Transactions[[#This Row],[CalCashImpact]]+Transactions[[#This Row],[CostImpact]],0)</f>
        <v>54</v>
      </c>
      <c r="W889" s="167">
        <f>Transactions[[#This Row],[Amount]]*INDEX(TransTypes[],Transactions[[#This Row],[TTR]],TT_COL_AmntSign)</f>
        <v>279034.2</v>
      </c>
      <c r="X889" s="167">
        <f>IF(INDEX(TransTypes[],Transactions[[#This Row],[TTR]],TT_COL_LONGORSHORT)="S",
      IF( OR(INDEX(TransTypes[],Transactions[[#This Row],[TTR]],TT_COL_GLFlag)=1, INDEX(TransTypes[], Transactions[[#This Row],[TTR]], TT_COL_ShareTransferFlag)=1),
            Transactions[[#This Row],[CostImpact]]*-1,
            Transactions[[#This Row],[CalCashImpact]]
      ),
     0
)</f>
        <v>0</v>
      </c>
      <c r="Y889" s="168" t="str">
        <f>VLOOKUP(Transactions[[#This Row],[Symbol]],Symbols[], COLUMN(Symbols[Currency])-COLUMN(Symbols[])+1,FALSE)</f>
        <v>CNY</v>
      </c>
    </row>
    <row r="890" spans="1:25">
      <c r="A890" s="155" t="s">
        <v>82</v>
      </c>
      <c r="B890" s="156">
        <v>42356</v>
      </c>
      <c r="C890" s="155" t="s">
        <v>115</v>
      </c>
      <c r="D890" s="155"/>
      <c r="E890" s="155" t="s">
        <v>648</v>
      </c>
      <c r="F890" s="157">
        <v>2000</v>
      </c>
      <c r="G890" s="158">
        <v>8.83</v>
      </c>
      <c r="H890" s="157">
        <v>25.07</v>
      </c>
      <c r="I890" s="157"/>
      <c r="J890" s="159">
        <v>17634.93</v>
      </c>
      <c r="K890" s="6" t="s">
        <v>641</v>
      </c>
      <c r="L890" s="20">
        <f>IF(ISNA(MATCH(Transactions[[#This Row],[TransType]],TransTypes[TransType],0)),1,MATCH(Transactions[[#This Row],[TransType]],TransTypes[TransType],0))</f>
        <v>3</v>
      </c>
      <c r="M890" s="160">
        <f>IF( AND( INDEX(TransTypes[],Transactions[[#This Row],[TTR]],TT_COL_GLFlag)=1, INDEX(TransTypes[],Transactions[[#This Row],[TTR]],TT_COL_LONGORSHORT)="S" ),
      Transactions[[#This Row],[PL]],
      IF(INDEX(TransTypes[],Transactions[[#This Row],[TTR]],TT_COL_LONGORSHORT)="S",0,Transactions[[#This Row],[CalCashImpact]])
)</f>
        <v>17634.93</v>
      </c>
      <c r="N890" s="161">
        <f>IF(VLOOKUP(Transactions[[#This Row],[Symbol]],Symbols[],COLUMN(Symbols[Currency])-COLUMN(Symbols[])+1,FALSE)=
       VLOOKUP(Transactions[[#This Row],[Account]],Accounts[],COLUMN(Accounts[Currency])-COLUMN(Accounts[])+1,FALSE),
     Transactions[[#This Row],[OrigCashImpact]],
     0
)</f>
        <v>17634.93</v>
      </c>
      <c r="O8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39386.96999999963</v>
      </c>
      <c r="P8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8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90" s="41">
        <f>ROW()</f>
        <v>890</v>
      </c>
      <c r="S8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-18120</v>
      </c>
      <c r="T8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890" s="166">
        <f>IF(INDEX(TransTypes[],Transactions[[#This Row],[TTR]],TT_COL_GLFlag)=1,Transactions[[#This Row],[CalCashImpact]]+Transactions[[#This Row],[CostImpact]],0)</f>
        <v>-485.06999999999971</v>
      </c>
      <c r="W890" s="167">
        <f>Transactions[[#This Row],[Amount]]*INDEX(TransTypes[],Transactions[[#This Row],[TTR]],TT_COL_AmntSign)</f>
        <v>17634.93</v>
      </c>
      <c r="X890" s="167">
        <f>IF(INDEX(TransTypes[],Transactions[[#This Row],[TTR]],TT_COL_LONGORSHORT)="S",
      IF( OR(INDEX(TransTypes[],Transactions[[#This Row],[TTR]],TT_COL_GLFlag)=1, INDEX(TransTypes[], Transactions[[#This Row],[TTR]], TT_COL_ShareTransferFlag)=1),
            Transactions[[#This Row],[CostImpact]]*-1,
            Transactions[[#This Row],[CalCashImpact]]
      ),
     0
)</f>
        <v>0</v>
      </c>
      <c r="Y890" s="168" t="str">
        <f>VLOOKUP(Transactions[[#This Row],[Symbol]],Symbols[], COLUMN(Symbols[Currency])-COLUMN(Symbols[])+1,FALSE)</f>
        <v>CNY</v>
      </c>
    </row>
    <row r="891" spans="1:25">
      <c r="A891" s="155" t="s">
        <v>82</v>
      </c>
      <c r="B891" s="156">
        <v>42359</v>
      </c>
      <c r="C891" s="155" t="s">
        <v>113</v>
      </c>
      <c r="D891" s="155"/>
      <c r="E891" s="155" t="s">
        <v>670</v>
      </c>
      <c r="F891" s="157">
        <v>5000</v>
      </c>
      <c r="G891" s="158">
        <v>33.4</v>
      </c>
      <c r="H891" s="157">
        <v>66.8</v>
      </c>
      <c r="I891" s="157"/>
      <c r="J891" s="159">
        <v>167066.79999999999</v>
      </c>
      <c r="K891" s="6" t="s">
        <v>641</v>
      </c>
      <c r="L891" s="20">
        <f>IF(ISNA(MATCH(Transactions[[#This Row],[TransType]],TransTypes[TransType],0)),1,MATCH(Transactions[[#This Row],[TransType]],TransTypes[TransType],0))</f>
        <v>2</v>
      </c>
      <c r="M891" s="160">
        <f>IF( AND( INDEX(TransTypes[],Transactions[[#This Row],[TTR]],TT_COL_GLFlag)=1, INDEX(TransTypes[],Transactions[[#This Row],[TTR]],TT_COL_LONGORSHORT)="S" ),
      Transactions[[#This Row],[PL]],
      IF(INDEX(TransTypes[],Transactions[[#This Row],[TTR]],TT_COL_LONGORSHORT)="S",0,Transactions[[#This Row],[CalCashImpact]])
)</f>
        <v>-167066.79999999999</v>
      </c>
      <c r="N891" s="161">
        <f>IF(VLOOKUP(Transactions[[#This Row],[Symbol]],Symbols[],COLUMN(Symbols[Currency])-COLUMN(Symbols[])+1,FALSE)=
       VLOOKUP(Transactions[[#This Row],[Account]],Accounts[],COLUMN(Accounts[Currency])-COLUMN(Accounts[])+1,FALSE),
     Transactions[[#This Row],[OrigCashImpact]],
     0
)</f>
        <v>-167066.79999999999</v>
      </c>
      <c r="O8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-127679.83000000031</v>
      </c>
      <c r="P8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8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891" s="41">
        <f>ROW()</f>
        <v>891</v>
      </c>
      <c r="S8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167066.79999999999</v>
      </c>
      <c r="T8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327130.8</v>
      </c>
      <c r="U8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891" s="166">
        <f>IF(INDEX(TransTypes[],Transactions[[#This Row],[TTR]],TT_COL_GLFlag)=1,Transactions[[#This Row],[CalCashImpact]]+Transactions[[#This Row],[CostImpact]],0)</f>
        <v>0</v>
      </c>
      <c r="W891" s="167">
        <f>Transactions[[#This Row],[Amount]]*INDEX(TransTypes[],Transactions[[#This Row],[TTR]],TT_COL_AmntSign)</f>
        <v>-167066.79999999999</v>
      </c>
      <c r="X891" s="167">
        <f>IF(INDEX(TransTypes[],Transactions[[#This Row],[TTR]],TT_COL_LONGORSHORT)="S",
      IF( OR(INDEX(TransTypes[],Transactions[[#This Row],[TTR]],TT_COL_GLFlag)=1, INDEX(TransTypes[], Transactions[[#This Row],[TTR]], TT_COL_ShareTransferFlag)=1),
            Transactions[[#This Row],[CostImpact]]*-1,
            Transactions[[#This Row],[CalCashImpact]]
      ),
     0
)</f>
        <v>0</v>
      </c>
      <c r="Y891" s="168" t="str">
        <f>VLOOKUP(Transactions[[#This Row],[Symbol]],Symbols[], COLUMN(Symbols[Currency])-COLUMN(Symbols[])+1,FALSE)</f>
        <v>CNY</v>
      </c>
    </row>
    <row r="892" spans="1:25">
      <c r="A892" s="155" t="s">
        <v>82</v>
      </c>
      <c r="B892" s="156">
        <v>42359</v>
      </c>
      <c r="C892" s="155" t="s">
        <v>115</v>
      </c>
      <c r="D892" s="155"/>
      <c r="E892" s="155" t="s">
        <v>666</v>
      </c>
      <c r="F892" s="157">
        <v>2000</v>
      </c>
      <c r="G892" s="158">
        <v>109.476</v>
      </c>
      <c r="H892" s="157">
        <v>10.95</v>
      </c>
      <c r="I892" s="157"/>
      <c r="J892" s="159">
        <v>218941.05</v>
      </c>
      <c r="K892" s="6" t="s">
        <v>641</v>
      </c>
      <c r="L892" s="20">
        <f>IF(ISNA(MATCH(Transactions[[#This Row],[TransType]],TransTypes[TransType],0)),1,MATCH(Transactions[[#This Row],[TransType]],TransTypes[TransType],0))</f>
        <v>3</v>
      </c>
      <c r="M892" s="160">
        <f>IF( AND( INDEX(TransTypes[],Transactions[[#This Row],[TTR]],TT_COL_GLFlag)=1, INDEX(TransTypes[],Transactions[[#This Row],[TTR]],TT_COL_LONGORSHORT)="S" ),
      Transactions[[#This Row],[PL]],
      IF(INDEX(TransTypes[],Transactions[[#This Row],[TTR]],TT_COL_LONGORSHORT)="S",0,Transactions[[#This Row],[CalCashImpact]])
)</f>
        <v>218941.05</v>
      </c>
      <c r="N892" s="161">
        <f>IF(VLOOKUP(Transactions[[#This Row],[Symbol]],Symbols[],COLUMN(Symbols[Currency])-COLUMN(Symbols[])+1,FALSE)=
       VLOOKUP(Transactions[[#This Row],[Account]],Accounts[],COLUMN(Accounts[Currency])-COLUMN(Accounts[])+1,FALSE),
     Transactions[[#This Row],[OrigCashImpact]],
     0
)</f>
        <v>218941.05</v>
      </c>
      <c r="O8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91261.219999999681</v>
      </c>
      <c r="P8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8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8700</v>
      </c>
      <c r="R892" s="41">
        <f>ROW()</f>
        <v>892</v>
      </c>
      <c r="S8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-217372.86861313865</v>
      </c>
      <c r="T8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945571.97846715304</v>
      </c>
      <c r="U8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10700</v>
      </c>
      <c r="V892" s="166">
        <f>IF(INDEX(TransTypes[],Transactions[[#This Row],[TTR]],TT_COL_GLFlag)=1,Transactions[[#This Row],[CalCashImpact]]+Transactions[[#This Row],[CostImpact]],0)</f>
        <v>1568.181386861339</v>
      </c>
      <c r="W892" s="167">
        <f>Transactions[[#This Row],[Amount]]*INDEX(TransTypes[],Transactions[[#This Row],[TTR]],TT_COL_AmntSign)</f>
        <v>218941.05</v>
      </c>
      <c r="X892" s="167">
        <f>IF(INDEX(TransTypes[],Transactions[[#This Row],[TTR]],TT_COL_LONGORSHORT)="S",
      IF( OR(INDEX(TransTypes[],Transactions[[#This Row],[TTR]],TT_COL_GLFlag)=1, INDEX(TransTypes[], Transactions[[#This Row],[TTR]], TT_COL_ShareTransferFlag)=1),
            Transactions[[#This Row],[CostImpact]]*-1,
            Transactions[[#This Row],[CalCashImpact]]
      ),
     0
)</f>
        <v>0</v>
      </c>
      <c r="Y892" s="168" t="str">
        <f>VLOOKUP(Transactions[[#This Row],[Symbol]],Symbols[], COLUMN(Symbols[Currency])-COLUMN(Symbols[])+1,FALSE)</f>
        <v>CNY</v>
      </c>
    </row>
    <row r="893" spans="1:25">
      <c r="A893" s="155" t="s">
        <v>82</v>
      </c>
      <c r="B893" s="156">
        <v>42359</v>
      </c>
      <c r="C893" s="155" t="s">
        <v>115</v>
      </c>
      <c r="D893" s="155"/>
      <c r="E893" s="155" t="s">
        <v>666</v>
      </c>
      <c r="F893" s="157">
        <v>100</v>
      </c>
      <c r="G893" s="158">
        <v>109.5</v>
      </c>
      <c r="H893" s="157">
        <v>0.55000000000000004</v>
      </c>
      <c r="I893" s="157"/>
      <c r="J893" s="159">
        <v>10949.45</v>
      </c>
      <c r="K893" s="6" t="s">
        <v>641</v>
      </c>
      <c r="L893" s="20">
        <f>IF(ISNA(MATCH(Transactions[[#This Row],[TransType]],TransTypes[TransType],0)),1,MATCH(Transactions[[#This Row],[TransType]],TransTypes[TransType],0))</f>
        <v>3</v>
      </c>
      <c r="M893" s="160">
        <f>IF( AND( INDEX(TransTypes[],Transactions[[#This Row],[TTR]],TT_COL_GLFlag)=1, INDEX(TransTypes[],Transactions[[#This Row],[TTR]],TT_COL_LONGORSHORT)="S" ),
      Transactions[[#This Row],[PL]],
      IF(INDEX(TransTypes[],Transactions[[#This Row],[TTR]],TT_COL_LONGORSHORT)="S",0,Transactions[[#This Row],[CalCashImpact]])
)</f>
        <v>10949.45</v>
      </c>
      <c r="N893" s="161">
        <f>IF(VLOOKUP(Transactions[[#This Row],[Symbol]],Symbols[],COLUMN(Symbols[Currency])-COLUMN(Symbols[])+1,FALSE)=
       VLOOKUP(Transactions[[#This Row],[Account]],Accounts[],COLUMN(Accounts[Currency])-COLUMN(Accounts[])+1,FALSE),
     Transactions[[#This Row],[OrigCashImpact]],
     0
)</f>
        <v>10949.45</v>
      </c>
      <c r="O8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102210.66999999969</v>
      </c>
      <c r="P8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8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8600</v>
      </c>
      <c r="R893" s="41">
        <f>ROW()</f>
        <v>893</v>
      </c>
      <c r="S8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-10868.643430656932</v>
      </c>
      <c r="T8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934703.33503649617</v>
      </c>
      <c r="U8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8700</v>
      </c>
      <c r="V893" s="166">
        <f>IF(INDEX(TransTypes[],Transactions[[#This Row],[TTR]],TT_COL_GLFlag)=1,Transactions[[#This Row],[CalCashImpact]]+Transactions[[#This Row],[CostImpact]],0)</f>
        <v>80.806569343068986</v>
      </c>
      <c r="W893" s="167">
        <f>Transactions[[#This Row],[Amount]]*INDEX(TransTypes[],Transactions[[#This Row],[TTR]],TT_COL_AmntSign)</f>
        <v>10949.45</v>
      </c>
      <c r="X893" s="167">
        <f>IF(INDEX(TransTypes[],Transactions[[#This Row],[TTR]],TT_COL_LONGORSHORT)="S",
      IF( OR(INDEX(TransTypes[],Transactions[[#This Row],[TTR]],TT_COL_GLFlag)=1, INDEX(TransTypes[], Transactions[[#This Row],[TTR]], TT_COL_ShareTransferFlag)=1),
            Transactions[[#This Row],[CostImpact]]*-1,
            Transactions[[#This Row],[CalCashImpact]]
      ),
     0
)</f>
        <v>0</v>
      </c>
      <c r="Y893" s="168" t="str">
        <f>VLOOKUP(Transactions[[#This Row],[Symbol]],Symbols[], COLUMN(Symbols[Currency])-COLUMN(Symbols[])+1,FALSE)</f>
        <v>CNY</v>
      </c>
    </row>
    <row r="894" spans="1:25">
      <c r="A894" s="155" t="s">
        <v>82</v>
      </c>
      <c r="B894" s="156">
        <v>42361</v>
      </c>
      <c r="C894" s="155" t="s">
        <v>113</v>
      </c>
      <c r="D894" s="155"/>
      <c r="E894" s="155" t="s">
        <v>498</v>
      </c>
      <c r="F894" s="157">
        <v>2300</v>
      </c>
      <c r="G894" s="158">
        <v>103.357</v>
      </c>
      <c r="H894" s="157">
        <v>0</v>
      </c>
      <c r="I894" s="157"/>
      <c r="J894" s="159">
        <v>237721.1</v>
      </c>
      <c r="K894" s="6" t="s">
        <v>641</v>
      </c>
      <c r="L894" s="20">
        <f>IF(ISNA(MATCH(Transactions[[#This Row],[TransType]],TransTypes[TransType],0)),1,MATCH(Transactions[[#This Row],[TransType]],TransTypes[TransType],0))</f>
        <v>2</v>
      </c>
      <c r="M894" s="160">
        <f>IF( AND( INDEX(TransTypes[],Transactions[[#This Row],[TTR]],TT_COL_GLFlag)=1, INDEX(TransTypes[],Transactions[[#This Row],[TTR]],TT_COL_LONGORSHORT)="S" ),
      Transactions[[#This Row],[PL]],
      IF(INDEX(TransTypes[],Transactions[[#This Row],[TTR]],TT_COL_LONGORSHORT)="S",0,Transactions[[#This Row],[CalCashImpact]])
)</f>
        <v>-237721.1</v>
      </c>
      <c r="N894" s="161">
        <f>IF(VLOOKUP(Transactions[[#This Row],[Symbol]],Symbols[],COLUMN(Symbols[Currency])-COLUMN(Symbols[])+1,FALSE)=
       VLOOKUP(Transactions[[#This Row],[Account]],Accounts[],COLUMN(Accounts[Currency])-COLUMN(Accounts[])+1,FALSE),
     Transactions[[#This Row],[OrigCashImpact]],
     0
)</f>
        <v>-237721.1</v>
      </c>
      <c r="O8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-135510.43000000034</v>
      </c>
      <c r="P8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2300</v>
      </c>
      <c r="Q8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2300</v>
      </c>
      <c r="R894" s="41">
        <f>ROW()</f>
        <v>894</v>
      </c>
      <c r="S8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237721.1</v>
      </c>
      <c r="T8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237721.1</v>
      </c>
      <c r="U8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2300</v>
      </c>
      <c r="V894" s="166">
        <f>IF(INDEX(TransTypes[],Transactions[[#This Row],[TTR]],TT_COL_GLFlag)=1,Transactions[[#This Row],[CalCashImpact]]+Transactions[[#This Row],[CostImpact]],0)</f>
        <v>0</v>
      </c>
      <c r="W894" s="167">
        <f>Transactions[[#This Row],[Amount]]*INDEX(TransTypes[],Transactions[[#This Row],[TTR]],TT_COL_AmntSign)</f>
        <v>-237721.1</v>
      </c>
      <c r="X894" s="167">
        <f>IF(INDEX(TransTypes[],Transactions[[#This Row],[TTR]],TT_COL_LONGORSHORT)="S",
      IF( OR(INDEX(TransTypes[],Transactions[[#This Row],[TTR]],TT_COL_GLFlag)=1, INDEX(TransTypes[], Transactions[[#This Row],[TTR]], TT_COL_ShareTransferFlag)=1),
            Transactions[[#This Row],[CostImpact]]*-1,
            Transactions[[#This Row],[CalCashImpact]]
      ),
     0
)</f>
        <v>0</v>
      </c>
      <c r="Y894" s="168" t="str">
        <f>VLOOKUP(Transactions[[#This Row],[Symbol]],Symbols[], COLUMN(Symbols[Currency])-COLUMN(Symbols[])+1,FALSE)</f>
        <v>CNY</v>
      </c>
    </row>
    <row r="895" spans="1:25">
      <c r="A895" s="155" t="s">
        <v>82</v>
      </c>
      <c r="B895" s="156">
        <v>42361</v>
      </c>
      <c r="C895" s="155" t="s">
        <v>115</v>
      </c>
      <c r="D895" s="155"/>
      <c r="E895" s="155" t="s">
        <v>668</v>
      </c>
      <c r="F895" s="157">
        <v>200000</v>
      </c>
      <c r="G895" s="158">
        <v>0.70499999999999996</v>
      </c>
      <c r="H895" s="157">
        <v>56.38</v>
      </c>
      <c r="I895" s="157"/>
      <c r="J895" s="159">
        <v>140943.62</v>
      </c>
      <c r="K895" s="6" t="s">
        <v>641</v>
      </c>
      <c r="L895" s="20">
        <f>IF(ISNA(MATCH(Transactions[[#This Row],[TransType]],TransTypes[TransType],0)),1,MATCH(Transactions[[#This Row],[TransType]],TransTypes[TransType],0))</f>
        <v>3</v>
      </c>
      <c r="M895" s="160">
        <f>IF( AND( INDEX(TransTypes[],Transactions[[#This Row],[TTR]],TT_COL_GLFlag)=1, INDEX(TransTypes[],Transactions[[#This Row],[TTR]],TT_COL_LONGORSHORT)="S" ),
      Transactions[[#This Row],[PL]],
      IF(INDEX(TransTypes[],Transactions[[#This Row],[TTR]],TT_COL_LONGORSHORT)="S",0,Transactions[[#This Row],[CalCashImpact]])
)</f>
        <v>140943.62</v>
      </c>
      <c r="N895" s="161">
        <f>IF(VLOOKUP(Transactions[[#This Row],[Symbol]],Symbols[],COLUMN(Symbols[Currency])-COLUMN(Symbols[])+1,FALSE)=
       VLOOKUP(Transactions[[#This Row],[Account]],Accounts[],COLUMN(Accounts[Currency])-COLUMN(Accounts[])+1,FALSE),
     Transactions[[#This Row],[OrigCashImpact]],
     0
)</f>
        <v>140943.62</v>
      </c>
      <c r="O8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5433.1899999996676</v>
      </c>
      <c r="P8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8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95" s="41">
        <f>ROW()</f>
        <v>895</v>
      </c>
      <c r="S8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-147148.51999999999</v>
      </c>
      <c r="T8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895" s="166">
        <f>IF(INDEX(TransTypes[],Transactions[[#This Row],[TTR]],TT_COL_GLFlag)=1,Transactions[[#This Row],[CalCashImpact]]+Transactions[[#This Row],[CostImpact]],0)</f>
        <v>-6204.8999999999942</v>
      </c>
      <c r="W895" s="167">
        <f>Transactions[[#This Row],[Amount]]*INDEX(TransTypes[],Transactions[[#This Row],[TTR]],TT_COL_AmntSign)</f>
        <v>140943.62</v>
      </c>
      <c r="X895" s="167">
        <f>IF(INDEX(TransTypes[],Transactions[[#This Row],[TTR]],TT_COL_LONGORSHORT)="S",
      IF( OR(INDEX(TransTypes[],Transactions[[#This Row],[TTR]],TT_COL_GLFlag)=1, INDEX(TransTypes[], Transactions[[#This Row],[TTR]], TT_COL_ShareTransferFlag)=1),
            Transactions[[#This Row],[CostImpact]]*-1,
            Transactions[[#This Row],[CalCashImpact]]
      ),
     0
)</f>
        <v>0</v>
      </c>
      <c r="Y895" s="168" t="str">
        <f>VLOOKUP(Transactions[[#This Row],[Symbol]],Symbols[], COLUMN(Symbols[Currency])-COLUMN(Symbols[])+1,FALSE)</f>
        <v>CNY</v>
      </c>
    </row>
    <row r="896" spans="1:25">
      <c r="A896" s="155" t="s">
        <v>82</v>
      </c>
      <c r="B896" s="156">
        <v>42362</v>
      </c>
      <c r="C896" s="155" t="s">
        <v>113</v>
      </c>
      <c r="D896" s="155"/>
      <c r="E896" s="155" t="s">
        <v>664</v>
      </c>
      <c r="F896" s="157">
        <v>236100</v>
      </c>
      <c r="G896" s="158">
        <v>1.0289999999999999</v>
      </c>
      <c r="H896" s="157">
        <v>97.18</v>
      </c>
      <c r="I896" s="157"/>
      <c r="J896" s="159">
        <v>243044.08</v>
      </c>
      <c r="K896" s="6" t="s">
        <v>641</v>
      </c>
      <c r="L896" s="20">
        <f>IF(ISNA(MATCH(Transactions[[#This Row],[TransType]],TransTypes[TransType],0)),1,MATCH(Transactions[[#This Row],[TransType]],TransTypes[TransType],0))</f>
        <v>2</v>
      </c>
      <c r="M896" s="160">
        <f>IF( AND( INDEX(TransTypes[],Transactions[[#This Row],[TTR]],TT_COL_GLFlag)=1, INDEX(TransTypes[],Transactions[[#This Row],[TTR]],TT_COL_LONGORSHORT)="S" ),
      Transactions[[#This Row],[PL]],
      IF(INDEX(TransTypes[],Transactions[[#This Row],[TTR]],TT_COL_LONGORSHORT)="S",0,Transactions[[#This Row],[CalCashImpact]])
)</f>
        <v>-243044.08</v>
      </c>
      <c r="N896" s="161">
        <f>IF(VLOOKUP(Transactions[[#This Row],[Symbol]],Symbols[],COLUMN(Symbols[Currency])-COLUMN(Symbols[])+1,FALSE)=
       VLOOKUP(Transactions[[#This Row],[Account]],Accounts[],COLUMN(Accounts[Currency])-COLUMN(Accounts[])+1,FALSE),
     Transactions[[#This Row],[OrigCashImpact]],
     0
)</f>
        <v>-243044.08</v>
      </c>
      <c r="O8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-237610.89000000033</v>
      </c>
      <c r="P8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236100</v>
      </c>
      <c r="Q8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236100</v>
      </c>
      <c r="R896" s="41">
        <f>ROW()</f>
        <v>896</v>
      </c>
      <c r="S8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243044.08</v>
      </c>
      <c r="T8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243044.08</v>
      </c>
      <c r="U8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236100</v>
      </c>
      <c r="V896" s="166">
        <f>IF(INDEX(TransTypes[],Transactions[[#This Row],[TTR]],TT_COL_GLFlag)=1,Transactions[[#This Row],[CalCashImpact]]+Transactions[[#This Row],[CostImpact]],0)</f>
        <v>0</v>
      </c>
      <c r="W896" s="167">
        <f>Transactions[[#This Row],[Amount]]*INDEX(TransTypes[],Transactions[[#This Row],[TTR]],TT_COL_AmntSign)</f>
        <v>-243044.08</v>
      </c>
      <c r="X896" s="167">
        <f>IF(INDEX(TransTypes[],Transactions[[#This Row],[TTR]],TT_COL_LONGORSHORT)="S",
      IF( OR(INDEX(TransTypes[],Transactions[[#This Row],[TTR]],TT_COL_GLFlag)=1, INDEX(TransTypes[], Transactions[[#This Row],[TTR]], TT_COL_ShareTransferFlag)=1),
            Transactions[[#This Row],[CostImpact]]*-1,
            Transactions[[#This Row],[CalCashImpact]]
      ),
     0
)</f>
        <v>0</v>
      </c>
      <c r="Y896" s="168" t="str">
        <f>VLOOKUP(Transactions[[#This Row],[Symbol]],Symbols[], COLUMN(Symbols[Currency])-COLUMN(Symbols[])+1,FALSE)</f>
        <v>CNY</v>
      </c>
    </row>
    <row r="897" spans="1:25">
      <c r="A897" s="155" t="s">
        <v>82</v>
      </c>
      <c r="B897" s="156">
        <v>42362</v>
      </c>
      <c r="C897" s="155" t="s">
        <v>115</v>
      </c>
      <c r="D897" s="155"/>
      <c r="E897" s="155" t="s">
        <v>498</v>
      </c>
      <c r="F897" s="157">
        <v>2300</v>
      </c>
      <c r="G897" s="158">
        <v>103.372</v>
      </c>
      <c r="H897" s="157">
        <v>0</v>
      </c>
      <c r="I897" s="157"/>
      <c r="J897" s="159">
        <v>237755.6</v>
      </c>
      <c r="K897" s="6" t="s">
        <v>641</v>
      </c>
      <c r="L897" s="20">
        <f>IF(ISNA(MATCH(Transactions[[#This Row],[TransType]],TransTypes[TransType],0)),1,MATCH(Transactions[[#This Row],[TransType]],TransTypes[TransType],0))</f>
        <v>3</v>
      </c>
      <c r="M897" s="160">
        <f>IF( AND( INDEX(TransTypes[],Transactions[[#This Row],[TTR]],TT_COL_GLFlag)=1, INDEX(TransTypes[],Transactions[[#This Row],[TTR]],TT_COL_LONGORSHORT)="S" ),
      Transactions[[#This Row],[PL]],
      IF(INDEX(TransTypes[],Transactions[[#This Row],[TTR]],TT_COL_LONGORSHORT)="S",0,Transactions[[#This Row],[CalCashImpact]])
)</f>
        <v>237755.6</v>
      </c>
      <c r="N897" s="161">
        <f>IF(VLOOKUP(Transactions[[#This Row],[Symbol]],Symbols[],COLUMN(Symbols[Currency])-COLUMN(Symbols[])+1,FALSE)=
       VLOOKUP(Transactions[[#This Row],[Account]],Accounts[],COLUMN(Accounts[Currency])-COLUMN(Accounts[])+1,FALSE),
     Transactions[[#This Row],[OrigCashImpact]],
     0
)</f>
        <v>237755.6</v>
      </c>
      <c r="O8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144.70999999967171</v>
      </c>
      <c r="P8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-2300</v>
      </c>
      <c r="Q8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897" s="41">
        <f>ROW()</f>
        <v>897</v>
      </c>
      <c r="S8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-237721.1</v>
      </c>
      <c r="T8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8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2300</v>
      </c>
      <c r="V897" s="166">
        <f>IF(INDEX(TransTypes[],Transactions[[#This Row],[TTR]],TT_COL_GLFlag)=1,Transactions[[#This Row],[CalCashImpact]]+Transactions[[#This Row],[CostImpact]],0)</f>
        <v>34.5</v>
      </c>
      <c r="W897" s="167">
        <f>Transactions[[#This Row],[Amount]]*INDEX(TransTypes[],Transactions[[#This Row],[TTR]],TT_COL_AmntSign)</f>
        <v>237755.6</v>
      </c>
      <c r="X897" s="167">
        <f>IF(INDEX(TransTypes[],Transactions[[#This Row],[TTR]],TT_COL_LONGORSHORT)="S",
      IF( OR(INDEX(TransTypes[],Transactions[[#This Row],[TTR]],TT_COL_GLFlag)=1, INDEX(TransTypes[], Transactions[[#This Row],[TTR]], TT_COL_ShareTransferFlag)=1),
            Transactions[[#This Row],[CostImpact]]*-1,
            Transactions[[#This Row],[CalCashImpact]]
      ),
     0
)</f>
        <v>0</v>
      </c>
      <c r="Y897" s="168" t="str">
        <f>VLOOKUP(Transactions[[#This Row],[Symbol]],Symbols[], COLUMN(Symbols[Currency])-COLUMN(Symbols[])+1,FALSE)</f>
        <v>CNY</v>
      </c>
    </row>
    <row r="898" spans="1:25">
      <c r="A898" s="155" t="s">
        <v>82</v>
      </c>
      <c r="B898" s="156">
        <v>42363</v>
      </c>
      <c r="C898" s="155" t="s">
        <v>113</v>
      </c>
      <c r="D898" s="155"/>
      <c r="E898" s="155" t="s">
        <v>671</v>
      </c>
      <c r="F898" s="157">
        <v>185200</v>
      </c>
      <c r="G898" s="158">
        <v>0.94299999999999995</v>
      </c>
      <c r="H898" s="157">
        <v>69.86</v>
      </c>
      <c r="I898" s="157"/>
      <c r="J898" s="159">
        <v>174713.46</v>
      </c>
      <c r="K898" s="6" t="s">
        <v>641</v>
      </c>
      <c r="L898" s="20">
        <f>IF(ISNA(MATCH(Transactions[[#This Row],[TransType]],TransTypes[TransType],0)),1,MATCH(Transactions[[#This Row],[TransType]],TransTypes[TransType],0))</f>
        <v>2</v>
      </c>
      <c r="M898" s="160">
        <f>IF( AND( INDEX(TransTypes[],Transactions[[#This Row],[TTR]],TT_COL_GLFlag)=1, INDEX(TransTypes[],Transactions[[#This Row],[TTR]],TT_COL_LONGORSHORT)="S" ),
      Transactions[[#This Row],[PL]],
      IF(INDEX(TransTypes[],Transactions[[#This Row],[TTR]],TT_COL_LONGORSHORT)="S",0,Transactions[[#This Row],[CalCashImpact]])
)</f>
        <v>-174713.46</v>
      </c>
      <c r="N898" s="161">
        <f>IF(VLOOKUP(Transactions[[#This Row],[Symbol]],Symbols[],COLUMN(Symbols[Currency])-COLUMN(Symbols[])+1,FALSE)=
       VLOOKUP(Transactions[[#This Row],[Account]],Accounts[],COLUMN(Accounts[Currency])-COLUMN(Accounts[])+1,FALSE),
     Transactions[[#This Row],[OrigCashImpact]],
     0
)</f>
        <v>-174713.46</v>
      </c>
      <c r="O8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-174568.75000000032</v>
      </c>
      <c r="P8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185200</v>
      </c>
      <c r="Q8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185200</v>
      </c>
      <c r="R898" s="41">
        <f>ROW()</f>
        <v>898</v>
      </c>
      <c r="S8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174713.46</v>
      </c>
      <c r="T8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174713.46</v>
      </c>
      <c r="U8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185200</v>
      </c>
      <c r="V898" s="166">
        <f>IF(INDEX(TransTypes[],Transactions[[#This Row],[TTR]],TT_COL_GLFlag)=1,Transactions[[#This Row],[CalCashImpact]]+Transactions[[#This Row],[CostImpact]],0)</f>
        <v>0</v>
      </c>
      <c r="W898" s="167">
        <f>Transactions[[#This Row],[Amount]]*INDEX(TransTypes[],Transactions[[#This Row],[TTR]],TT_COL_AmntSign)</f>
        <v>-174713.46</v>
      </c>
      <c r="X898" s="167">
        <f>IF(INDEX(TransTypes[],Transactions[[#This Row],[TTR]],TT_COL_LONGORSHORT)="S",
      IF( OR(INDEX(TransTypes[],Transactions[[#This Row],[TTR]],TT_COL_GLFlag)=1, INDEX(TransTypes[], Transactions[[#This Row],[TTR]], TT_COL_ShareTransferFlag)=1),
            Transactions[[#This Row],[CostImpact]]*-1,
            Transactions[[#This Row],[CalCashImpact]]
      ),
     0
)</f>
        <v>0</v>
      </c>
      <c r="Y898" s="168" t="str">
        <f>VLOOKUP(Transactions[[#This Row],[Symbol]],Symbols[], COLUMN(Symbols[Currency])-COLUMN(Symbols[])+1,FALSE)</f>
        <v>CNY</v>
      </c>
    </row>
    <row r="899" spans="1:25">
      <c r="A899" s="155" t="s">
        <v>82</v>
      </c>
      <c r="B899" s="156">
        <v>42363</v>
      </c>
      <c r="C899" s="155" t="s">
        <v>113</v>
      </c>
      <c r="D899" s="155"/>
      <c r="E899" s="155" t="s">
        <v>665</v>
      </c>
      <c r="F899" s="157">
        <v>200000</v>
      </c>
      <c r="G899" s="158">
        <v>1.016</v>
      </c>
      <c r="H899" s="157">
        <v>81.28</v>
      </c>
      <c r="I899" s="157"/>
      <c r="J899" s="159">
        <v>203281.28</v>
      </c>
      <c r="K899" s="6" t="s">
        <v>641</v>
      </c>
      <c r="L899" s="20">
        <f>IF(ISNA(MATCH(Transactions[[#This Row],[TransType]],TransTypes[TransType],0)),1,MATCH(Transactions[[#This Row],[TransType]],TransTypes[TransType],0))</f>
        <v>2</v>
      </c>
      <c r="M899" s="160">
        <f>IF( AND( INDEX(TransTypes[],Transactions[[#This Row],[TTR]],TT_COL_GLFlag)=1, INDEX(TransTypes[],Transactions[[#This Row],[TTR]],TT_COL_LONGORSHORT)="S" ),
      Transactions[[#This Row],[PL]],
      IF(INDEX(TransTypes[],Transactions[[#This Row],[TTR]],TT_COL_LONGORSHORT)="S",0,Transactions[[#This Row],[CalCashImpact]])
)</f>
        <v>-203281.28</v>
      </c>
      <c r="N899" s="161">
        <f>IF(VLOOKUP(Transactions[[#This Row],[Symbol]],Symbols[],COLUMN(Symbols[Currency])-COLUMN(Symbols[])+1,FALSE)=
       VLOOKUP(Transactions[[#This Row],[Account]],Accounts[],COLUMN(Accounts[Currency])-COLUMN(Accounts[])+1,FALSE),
     Transactions[[#This Row],[OrigCashImpact]],
     0
)</f>
        <v>-203281.28</v>
      </c>
      <c r="O8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-377850.03000000032</v>
      </c>
      <c r="P8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8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420000</v>
      </c>
      <c r="R899" s="41">
        <f>ROW()</f>
        <v>899</v>
      </c>
      <c r="S8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203281.28</v>
      </c>
      <c r="T8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418216</v>
      </c>
      <c r="U8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420000</v>
      </c>
      <c r="V899" s="166">
        <f>IF(INDEX(TransTypes[],Transactions[[#This Row],[TTR]],TT_COL_GLFlag)=1,Transactions[[#This Row],[CalCashImpact]]+Transactions[[#This Row],[CostImpact]],0)</f>
        <v>0</v>
      </c>
      <c r="W899" s="167">
        <f>Transactions[[#This Row],[Amount]]*INDEX(TransTypes[],Transactions[[#This Row],[TTR]],TT_COL_AmntSign)</f>
        <v>-203281.28</v>
      </c>
      <c r="X899" s="167">
        <f>IF(INDEX(TransTypes[],Transactions[[#This Row],[TTR]],TT_COL_LONGORSHORT)="S",
      IF( OR(INDEX(TransTypes[],Transactions[[#This Row],[TTR]],TT_COL_GLFlag)=1, INDEX(TransTypes[], Transactions[[#This Row],[TTR]], TT_COL_ShareTransferFlag)=1),
            Transactions[[#This Row],[CostImpact]]*-1,
            Transactions[[#This Row],[CalCashImpact]]
      ),
     0
)</f>
        <v>0</v>
      </c>
      <c r="Y899" s="168" t="str">
        <f>VLOOKUP(Transactions[[#This Row],[Symbol]],Symbols[], COLUMN(Symbols[Currency])-COLUMN(Symbols[])+1,FALSE)</f>
        <v>CNY</v>
      </c>
    </row>
    <row r="900" spans="1:25">
      <c r="A900" s="155" t="s">
        <v>82</v>
      </c>
      <c r="B900" s="156">
        <v>42363</v>
      </c>
      <c r="C900" s="155" t="s">
        <v>115</v>
      </c>
      <c r="D900" s="155"/>
      <c r="E900" s="155" t="s">
        <v>670</v>
      </c>
      <c r="F900" s="157">
        <v>10000</v>
      </c>
      <c r="G900" s="158">
        <v>31</v>
      </c>
      <c r="H900" s="157">
        <v>434</v>
      </c>
      <c r="I900" s="157"/>
      <c r="J900" s="159">
        <v>309566</v>
      </c>
      <c r="K900" s="6" t="s">
        <v>641</v>
      </c>
      <c r="L900" s="20">
        <f>IF(ISNA(MATCH(Transactions[[#This Row],[TransType]],TransTypes[TransType],0)),1,MATCH(Transactions[[#This Row],[TransType]],TransTypes[TransType],0))</f>
        <v>3</v>
      </c>
      <c r="M900" s="160">
        <f>IF( AND( INDEX(TransTypes[],Transactions[[#This Row],[TTR]],TT_COL_GLFlag)=1, INDEX(TransTypes[],Transactions[[#This Row],[TTR]],TT_COL_LONGORSHORT)="S" ),
      Transactions[[#This Row],[PL]],
      IF(INDEX(TransTypes[],Transactions[[#This Row],[TTR]],TT_COL_LONGORSHORT)="S",0,Transactions[[#This Row],[CalCashImpact]])
)</f>
        <v>309566</v>
      </c>
      <c r="N900" s="161">
        <f>IF(VLOOKUP(Transactions[[#This Row],[Symbol]],Symbols[],COLUMN(Symbols[Currency])-COLUMN(Symbols[])+1,FALSE)=
       VLOOKUP(Transactions[[#This Row],[Account]],Accounts[],COLUMN(Accounts[Currency])-COLUMN(Accounts[])+1,FALSE),
     Transactions[[#This Row],[OrigCashImpact]],
     0
)</f>
        <v>309566</v>
      </c>
      <c r="O9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-68284.030000000319</v>
      </c>
      <c r="P9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9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00" s="41">
        <f>ROW()</f>
        <v>900</v>
      </c>
      <c r="S9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-327130.8</v>
      </c>
      <c r="T9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900" s="166">
        <f>IF(INDEX(TransTypes[],Transactions[[#This Row],[TTR]],TT_COL_GLFlag)=1,Transactions[[#This Row],[CalCashImpact]]+Transactions[[#This Row],[CostImpact]],0)</f>
        <v>-17564.799999999988</v>
      </c>
      <c r="W900" s="167">
        <f>Transactions[[#This Row],[Amount]]*INDEX(TransTypes[],Transactions[[#This Row],[TTR]],TT_COL_AmntSign)</f>
        <v>309566</v>
      </c>
      <c r="X900" s="167">
        <f>IF(INDEX(TransTypes[],Transactions[[#This Row],[TTR]],TT_COL_LONGORSHORT)="S",
      IF( OR(INDEX(TransTypes[],Transactions[[#This Row],[TTR]],TT_COL_GLFlag)=1, INDEX(TransTypes[], Transactions[[#This Row],[TTR]], TT_COL_ShareTransferFlag)=1),
            Transactions[[#This Row],[CostImpact]]*-1,
            Transactions[[#This Row],[CalCashImpact]]
      ),
     0
)</f>
        <v>0</v>
      </c>
      <c r="Y900" s="168" t="str">
        <f>VLOOKUP(Transactions[[#This Row],[Symbol]],Symbols[], COLUMN(Symbols[Currency])-COLUMN(Symbols[])+1,FALSE)</f>
        <v>CNY</v>
      </c>
    </row>
    <row r="901" spans="1:25">
      <c r="A901" s="155" t="s">
        <v>82</v>
      </c>
      <c r="B901" s="156">
        <v>42363</v>
      </c>
      <c r="C901" s="155" t="s">
        <v>115</v>
      </c>
      <c r="D901" s="155"/>
      <c r="E901" s="155" t="s">
        <v>664</v>
      </c>
      <c r="F901" s="157">
        <v>236100</v>
      </c>
      <c r="G901" s="158">
        <v>1.0289999999999999</v>
      </c>
      <c r="H901" s="157">
        <v>97.18</v>
      </c>
      <c r="I901" s="157"/>
      <c r="J901" s="159">
        <v>242849.72</v>
      </c>
      <c r="K901" s="6" t="s">
        <v>641</v>
      </c>
      <c r="L901" s="20">
        <f>IF(ISNA(MATCH(Transactions[[#This Row],[TransType]],TransTypes[TransType],0)),1,MATCH(Transactions[[#This Row],[TransType]],TransTypes[TransType],0))</f>
        <v>3</v>
      </c>
      <c r="M901" s="160">
        <f>IF( AND( INDEX(TransTypes[],Transactions[[#This Row],[TTR]],TT_COL_GLFlag)=1, INDEX(TransTypes[],Transactions[[#This Row],[TTR]],TT_COL_LONGORSHORT)="S" ),
      Transactions[[#This Row],[PL]],
      IF(INDEX(TransTypes[],Transactions[[#This Row],[TTR]],TT_COL_LONGORSHORT)="S",0,Transactions[[#This Row],[CalCashImpact]])
)</f>
        <v>242849.72</v>
      </c>
      <c r="N901" s="161">
        <f>IF(VLOOKUP(Transactions[[#This Row],[Symbol]],Symbols[],COLUMN(Symbols[Currency])-COLUMN(Symbols[])+1,FALSE)=
       VLOOKUP(Transactions[[#This Row],[Account]],Accounts[],COLUMN(Accounts[Currency])-COLUMN(Accounts[])+1,FALSE),
     Transactions[[#This Row],[OrigCashImpact]],
     0
)</f>
        <v>242849.72</v>
      </c>
      <c r="O9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174565.68999999968</v>
      </c>
      <c r="P9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-236100</v>
      </c>
      <c r="Q9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01" s="41">
        <f>ROW()</f>
        <v>901</v>
      </c>
      <c r="S9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-243044.07999999996</v>
      </c>
      <c r="T9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236100</v>
      </c>
      <c r="V901" s="166">
        <f>IF(INDEX(TransTypes[],Transactions[[#This Row],[TTR]],TT_COL_GLFlag)=1,Transactions[[#This Row],[CalCashImpact]]+Transactions[[#This Row],[CostImpact]],0)</f>
        <v>-194.35999999995693</v>
      </c>
      <c r="W901" s="167">
        <f>Transactions[[#This Row],[Amount]]*INDEX(TransTypes[],Transactions[[#This Row],[TTR]],TT_COL_AmntSign)</f>
        <v>242849.72</v>
      </c>
      <c r="X901" s="167">
        <f>IF(INDEX(TransTypes[],Transactions[[#This Row],[TTR]],TT_COL_LONGORSHORT)="S",
      IF( OR(INDEX(TransTypes[],Transactions[[#This Row],[TTR]],TT_COL_GLFlag)=1, INDEX(TransTypes[], Transactions[[#This Row],[TTR]], TT_COL_ShareTransferFlag)=1),
            Transactions[[#This Row],[CostImpact]]*-1,
            Transactions[[#This Row],[CalCashImpact]]
      ),
     0
)</f>
        <v>0</v>
      </c>
      <c r="Y901" s="168" t="str">
        <f>VLOOKUP(Transactions[[#This Row],[Symbol]],Symbols[], COLUMN(Symbols[Currency])-COLUMN(Symbols[])+1,FALSE)</f>
        <v>CNY</v>
      </c>
    </row>
    <row r="902" spans="1:25">
      <c r="A902" s="155" t="s">
        <v>82</v>
      </c>
      <c r="B902" s="156">
        <v>42366</v>
      </c>
      <c r="C902" s="155" t="s">
        <v>113</v>
      </c>
      <c r="D902" s="155"/>
      <c r="E902" s="155" t="s">
        <v>661</v>
      </c>
      <c r="F902" s="157">
        <v>400000</v>
      </c>
      <c r="G902" s="158">
        <v>0.93899999999999995</v>
      </c>
      <c r="H902" s="157">
        <v>150.24</v>
      </c>
      <c r="I902" s="157"/>
      <c r="J902" s="159">
        <v>375750.24</v>
      </c>
      <c r="K902" s="6" t="s">
        <v>641</v>
      </c>
      <c r="L902" s="20">
        <f>IF(ISNA(MATCH(Transactions[[#This Row],[TransType]],TransTypes[TransType],0)),1,MATCH(Transactions[[#This Row],[TransType]],TransTypes[TransType],0))</f>
        <v>2</v>
      </c>
      <c r="M902" s="160">
        <f>IF( AND( INDEX(TransTypes[],Transactions[[#This Row],[TTR]],TT_COL_GLFlag)=1, INDEX(TransTypes[],Transactions[[#This Row],[TTR]],TT_COL_LONGORSHORT)="S" ),
      Transactions[[#This Row],[PL]],
      IF(INDEX(TransTypes[],Transactions[[#This Row],[TTR]],TT_COL_LONGORSHORT)="S",0,Transactions[[#This Row],[CalCashImpact]])
)</f>
        <v>-375750.24</v>
      </c>
      <c r="N902" s="161">
        <f>IF(VLOOKUP(Transactions[[#This Row],[Symbol]],Symbols[],COLUMN(Symbols[Currency])-COLUMN(Symbols[])+1,FALSE)=
       VLOOKUP(Transactions[[#This Row],[Account]],Accounts[],COLUMN(Accounts[Currency])-COLUMN(Accounts[])+1,FALSE),
     Transactions[[#This Row],[OrigCashImpact]],
     0
)</f>
        <v>-375750.24</v>
      </c>
      <c r="O9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-201184.55000000031</v>
      </c>
      <c r="P9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400000</v>
      </c>
      <c r="Q9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400000</v>
      </c>
      <c r="R902" s="41">
        <f>ROW()</f>
        <v>902</v>
      </c>
      <c r="S9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375750.24</v>
      </c>
      <c r="T9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375750.24</v>
      </c>
      <c r="U9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400000</v>
      </c>
      <c r="V902" s="166">
        <f>IF(INDEX(TransTypes[],Transactions[[#This Row],[TTR]],TT_COL_GLFlag)=1,Transactions[[#This Row],[CalCashImpact]]+Transactions[[#This Row],[CostImpact]],0)</f>
        <v>0</v>
      </c>
      <c r="W902" s="167">
        <f>Transactions[[#This Row],[Amount]]*INDEX(TransTypes[],Transactions[[#This Row],[TTR]],TT_COL_AmntSign)</f>
        <v>-375750.24</v>
      </c>
      <c r="X902" s="167">
        <f>IF(INDEX(TransTypes[],Transactions[[#This Row],[TTR]],TT_COL_LONGORSHORT)="S",
      IF( OR(INDEX(TransTypes[],Transactions[[#This Row],[TTR]],TT_COL_GLFlag)=1, INDEX(TransTypes[], Transactions[[#This Row],[TTR]], TT_COL_ShareTransferFlag)=1),
            Transactions[[#This Row],[CostImpact]]*-1,
            Transactions[[#This Row],[CalCashImpact]]
      ),
     0
)</f>
        <v>0</v>
      </c>
      <c r="Y902" s="168" t="str">
        <f>VLOOKUP(Transactions[[#This Row],[Symbol]],Symbols[], COLUMN(Symbols[Currency])-COLUMN(Symbols[])+1,FALSE)</f>
        <v>CNY</v>
      </c>
    </row>
    <row r="903" spans="1:25">
      <c r="A903" s="155" t="s">
        <v>82</v>
      </c>
      <c r="B903" s="156">
        <v>42366</v>
      </c>
      <c r="C903" s="155" t="s">
        <v>115</v>
      </c>
      <c r="D903" s="155"/>
      <c r="E903" s="155" t="s">
        <v>650</v>
      </c>
      <c r="F903" s="157">
        <v>1000</v>
      </c>
      <c r="G903" s="158">
        <v>31.25</v>
      </c>
      <c r="H903" s="157">
        <v>43.75</v>
      </c>
      <c r="I903" s="157"/>
      <c r="J903" s="159">
        <v>31206.25</v>
      </c>
      <c r="K903" s="6" t="s">
        <v>641</v>
      </c>
      <c r="L903" s="20">
        <f>IF(ISNA(MATCH(Transactions[[#This Row],[TransType]],TransTypes[TransType],0)),1,MATCH(Transactions[[#This Row],[TransType]],TransTypes[TransType],0))</f>
        <v>3</v>
      </c>
      <c r="M903" s="160">
        <f>IF( AND( INDEX(TransTypes[],Transactions[[#This Row],[TTR]],TT_COL_GLFlag)=1, INDEX(TransTypes[],Transactions[[#This Row],[TTR]],TT_COL_LONGORSHORT)="S" ),
      Transactions[[#This Row],[PL]],
      IF(INDEX(TransTypes[],Transactions[[#This Row],[TTR]],TT_COL_LONGORSHORT)="S",0,Transactions[[#This Row],[CalCashImpact]])
)</f>
        <v>31206.25</v>
      </c>
      <c r="N903" s="161">
        <f>IF(VLOOKUP(Transactions[[#This Row],[Symbol]],Symbols[],COLUMN(Symbols[Currency])-COLUMN(Symbols[])+1,FALSE)=
       VLOOKUP(Transactions[[#This Row],[Account]],Accounts[],COLUMN(Accounts[Currency])-COLUMN(Accounts[])+1,FALSE),
     Transactions[[#This Row],[OrigCashImpact]],
     0
)</f>
        <v>31206.25</v>
      </c>
      <c r="O9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-169978.30000000031</v>
      </c>
      <c r="P9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03" s="41">
        <f>ROW()</f>
        <v>903</v>
      </c>
      <c r="S9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-26307.288</v>
      </c>
      <c r="T9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03" s="166">
        <f>IF(INDEX(TransTypes[],Transactions[[#This Row],[TTR]],TT_COL_GLFlag)=1,Transactions[[#This Row],[CalCashImpact]]+Transactions[[#This Row],[CostImpact]],0)</f>
        <v>4898.9619999999995</v>
      </c>
      <c r="W903" s="167">
        <f>Transactions[[#This Row],[Amount]]*INDEX(TransTypes[],Transactions[[#This Row],[TTR]],TT_COL_AmntSign)</f>
        <v>31206.25</v>
      </c>
      <c r="X903" s="167">
        <f>IF(INDEX(TransTypes[],Transactions[[#This Row],[TTR]],TT_COL_LONGORSHORT)="S",
      IF( OR(INDEX(TransTypes[],Transactions[[#This Row],[TTR]],TT_COL_GLFlag)=1, INDEX(TransTypes[], Transactions[[#This Row],[TTR]], TT_COL_ShareTransferFlag)=1),
            Transactions[[#This Row],[CostImpact]]*-1,
            Transactions[[#This Row],[CalCashImpact]]
      ),
     0
)</f>
        <v>0</v>
      </c>
      <c r="Y903" s="168" t="str">
        <f>VLOOKUP(Transactions[[#This Row],[Symbol]],Symbols[], COLUMN(Symbols[Currency])-COLUMN(Symbols[])+1,FALSE)</f>
        <v>CNY</v>
      </c>
    </row>
    <row r="904" spans="1:25">
      <c r="A904" s="155" t="s">
        <v>82</v>
      </c>
      <c r="B904" s="156">
        <v>42366</v>
      </c>
      <c r="C904" s="155" t="s">
        <v>113</v>
      </c>
      <c r="D904" s="155"/>
      <c r="E904" s="155" t="s">
        <v>665</v>
      </c>
      <c r="F904" s="157">
        <v>100000</v>
      </c>
      <c r="G904" s="158">
        <v>1.01</v>
      </c>
      <c r="H904" s="157">
        <v>40.4</v>
      </c>
      <c r="I904" s="157"/>
      <c r="J904" s="159">
        <v>101040.4</v>
      </c>
      <c r="K904" s="6" t="s">
        <v>641</v>
      </c>
      <c r="L904" s="20">
        <f>IF(ISNA(MATCH(Transactions[[#This Row],[TransType]],TransTypes[TransType],0)),1,MATCH(Transactions[[#This Row],[TransType]],TransTypes[TransType],0))</f>
        <v>2</v>
      </c>
      <c r="M904" s="160">
        <f>IF( AND( INDEX(TransTypes[],Transactions[[#This Row],[TTR]],TT_COL_GLFlag)=1, INDEX(TransTypes[],Transactions[[#This Row],[TTR]],TT_COL_LONGORSHORT)="S" ),
      Transactions[[#This Row],[PL]],
      IF(INDEX(TransTypes[],Transactions[[#This Row],[TTR]],TT_COL_LONGORSHORT)="S",0,Transactions[[#This Row],[CalCashImpact]])
)</f>
        <v>-101040.4</v>
      </c>
      <c r="N904" s="161">
        <f>IF(VLOOKUP(Transactions[[#This Row],[Symbol]],Symbols[],COLUMN(Symbols[Currency])-COLUMN(Symbols[])+1,FALSE)=
       VLOOKUP(Transactions[[#This Row],[Account]],Accounts[],COLUMN(Accounts[Currency])-COLUMN(Accounts[])+1,FALSE),
     Transactions[[#This Row],[OrigCashImpact]],
     0
)</f>
        <v>-101040.4</v>
      </c>
      <c r="O9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-271018.7000000003</v>
      </c>
      <c r="P9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9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520000</v>
      </c>
      <c r="R904" s="41">
        <f>ROW()</f>
        <v>904</v>
      </c>
      <c r="S9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101040.4</v>
      </c>
      <c r="T9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519256.4</v>
      </c>
      <c r="U9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520000</v>
      </c>
      <c r="V904" s="166">
        <f>IF(INDEX(TransTypes[],Transactions[[#This Row],[TTR]],TT_COL_GLFlag)=1,Transactions[[#This Row],[CalCashImpact]]+Transactions[[#This Row],[CostImpact]],0)</f>
        <v>0</v>
      </c>
      <c r="W904" s="167">
        <f>Transactions[[#This Row],[Amount]]*INDEX(TransTypes[],Transactions[[#This Row],[TTR]],TT_COL_AmntSign)</f>
        <v>-101040.4</v>
      </c>
      <c r="X904" s="167">
        <f>IF(INDEX(TransTypes[],Transactions[[#This Row],[TTR]],TT_COL_LONGORSHORT)="S",
      IF( OR(INDEX(TransTypes[],Transactions[[#This Row],[TTR]],TT_COL_GLFlag)=1, INDEX(TransTypes[], Transactions[[#This Row],[TTR]], TT_COL_ShareTransferFlag)=1),
            Transactions[[#This Row],[CostImpact]]*-1,
            Transactions[[#This Row],[CalCashImpact]]
      ),
     0
)</f>
        <v>0</v>
      </c>
      <c r="Y904" s="168" t="str">
        <f>VLOOKUP(Transactions[[#This Row],[Symbol]],Symbols[], COLUMN(Symbols[Currency])-COLUMN(Symbols[])+1,FALSE)</f>
        <v>CNY</v>
      </c>
    </row>
    <row r="905" spans="1:25">
      <c r="A905" s="155" t="s">
        <v>82</v>
      </c>
      <c r="B905" s="156">
        <v>42366</v>
      </c>
      <c r="C905" s="155" t="s">
        <v>115</v>
      </c>
      <c r="D905" s="155"/>
      <c r="E905" s="155" t="s">
        <v>666</v>
      </c>
      <c r="F905" s="157">
        <v>2600</v>
      </c>
      <c r="G905" s="158">
        <v>109.72199999999999</v>
      </c>
      <c r="H905" s="157">
        <v>14.26</v>
      </c>
      <c r="I905" s="157"/>
      <c r="J905" s="159">
        <v>285262.94</v>
      </c>
      <c r="K905" s="6" t="s">
        <v>641</v>
      </c>
      <c r="L905" s="20">
        <f>IF(ISNA(MATCH(Transactions[[#This Row],[TransType]],TransTypes[TransType],0)),1,MATCH(Transactions[[#This Row],[TransType]],TransTypes[TransType],0))</f>
        <v>3</v>
      </c>
      <c r="M905" s="160">
        <f>IF( AND( INDEX(TransTypes[],Transactions[[#This Row],[TTR]],TT_COL_GLFlag)=1, INDEX(TransTypes[],Transactions[[#This Row],[TTR]],TT_COL_LONGORSHORT)="S" ),
      Transactions[[#This Row],[PL]],
      IF(INDEX(TransTypes[],Transactions[[#This Row],[TTR]],TT_COL_LONGORSHORT)="S",0,Transactions[[#This Row],[CalCashImpact]])
)</f>
        <v>285262.94</v>
      </c>
      <c r="N905" s="161">
        <f>IF(VLOOKUP(Transactions[[#This Row],[Symbol]],Symbols[],COLUMN(Symbols[Currency])-COLUMN(Symbols[])+1,FALSE)=
       VLOOKUP(Transactions[[#This Row],[Account]],Accounts[],COLUMN(Accounts[Currency])-COLUMN(Accounts[])+1,FALSE),
     Transactions[[#This Row],[OrigCashImpact]],
     0
)</f>
        <v>285262.94</v>
      </c>
      <c r="O9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14244.239999999671</v>
      </c>
      <c r="P9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-2600</v>
      </c>
      <c r="Q9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905" s="41">
        <f>ROW()</f>
        <v>905</v>
      </c>
      <c r="S9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-282584.72919708019</v>
      </c>
      <c r="T9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652118.60583941592</v>
      </c>
      <c r="U9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8600</v>
      </c>
      <c r="V905" s="166">
        <f>IF(INDEX(TransTypes[],Transactions[[#This Row],[TTR]],TT_COL_GLFlag)=1,Transactions[[#This Row],[CalCashImpact]]+Transactions[[#This Row],[CostImpact]],0)</f>
        <v>2678.2108029198134</v>
      </c>
      <c r="W905" s="167">
        <f>Transactions[[#This Row],[Amount]]*INDEX(TransTypes[],Transactions[[#This Row],[TTR]],TT_COL_AmntSign)</f>
        <v>285262.94</v>
      </c>
      <c r="X905" s="167">
        <f>IF(INDEX(TransTypes[],Transactions[[#This Row],[TTR]],TT_COL_LONGORSHORT)="S",
      IF( OR(INDEX(TransTypes[],Transactions[[#This Row],[TTR]],TT_COL_GLFlag)=1, INDEX(TransTypes[], Transactions[[#This Row],[TTR]], TT_COL_ShareTransferFlag)=1),
            Transactions[[#This Row],[CostImpact]]*-1,
            Transactions[[#This Row],[CalCashImpact]]
      ),
     0
)</f>
        <v>0</v>
      </c>
      <c r="Y905" s="168" t="str">
        <f>VLOOKUP(Transactions[[#This Row],[Symbol]],Symbols[], COLUMN(Symbols[Currency])-COLUMN(Symbols[])+1,FALSE)</f>
        <v>CNY</v>
      </c>
    </row>
    <row r="906" spans="1:25">
      <c r="A906" s="155" t="s">
        <v>82</v>
      </c>
      <c r="B906" s="156">
        <v>42367</v>
      </c>
      <c r="C906" s="155" t="s">
        <v>113</v>
      </c>
      <c r="D906" s="155"/>
      <c r="E906" s="155" t="s">
        <v>661</v>
      </c>
      <c r="F906" s="157">
        <v>200000</v>
      </c>
      <c r="G906" s="158">
        <v>0.94099999999999995</v>
      </c>
      <c r="H906" s="157">
        <v>75.28</v>
      </c>
      <c r="I906" s="157"/>
      <c r="J906" s="159">
        <v>188275.28</v>
      </c>
      <c r="K906" s="6" t="s">
        <v>641</v>
      </c>
      <c r="L906" s="20">
        <f>IF(ISNA(MATCH(Transactions[[#This Row],[TransType]],TransTypes[TransType],0)),1,MATCH(Transactions[[#This Row],[TransType]],TransTypes[TransType],0))</f>
        <v>2</v>
      </c>
      <c r="M906" s="160">
        <f>IF( AND( INDEX(TransTypes[],Transactions[[#This Row],[TTR]],TT_COL_GLFlag)=1, INDEX(TransTypes[],Transactions[[#This Row],[TTR]],TT_COL_LONGORSHORT)="S" ),
      Transactions[[#This Row],[PL]],
      IF(INDEX(TransTypes[],Transactions[[#This Row],[TTR]],TT_COL_LONGORSHORT)="S",0,Transactions[[#This Row],[CalCashImpact]])
)</f>
        <v>-188275.28</v>
      </c>
      <c r="N906" s="161">
        <f>IF(VLOOKUP(Transactions[[#This Row],[Symbol]],Symbols[],COLUMN(Symbols[Currency])-COLUMN(Symbols[])+1,FALSE)=
       VLOOKUP(Transactions[[#This Row],[Account]],Accounts[],COLUMN(Accounts[Currency])-COLUMN(Accounts[])+1,FALSE),
     Transactions[[#This Row],[OrigCashImpact]],
     0
)</f>
        <v>-188275.28</v>
      </c>
      <c r="O9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-174031.0400000003</v>
      </c>
      <c r="P9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9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600000</v>
      </c>
      <c r="R906" s="41">
        <f>ROW()</f>
        <v>906</v>
      </c>
      <c r="S9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188275.28</v>
      </c>
      <c r="T9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564025.52</v>
      </c>
      <c r="U9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600000</v>
      </c>
      <c r="V906" s="166">
        <f>IF(INDEX(TransTypes[],Transactions[[#This Row],[TTR]],TT_COL_GLFlag)=1,Transactions[[#This Row],[CalCashImpact]]+Transactions[[#This Row],[CostImpact]],0)</f>
        <v>0</v>
      </c>
      <c r="W906" s="167">
        <f>Transactions[[#This Row],[Amount]]*INDEX(TransTypes[],Transactions[[#This Row],[TTR]],TT_COL_AmntSign)</f>
        <v>-188275.28</v>
      </c>
      <c r="X906" s="167">
        <f>IF(INDEX(TransTypes[],Transactions[[#This Row],[TTR]],TT_COL_LONGORSHORT)="S",
      IF( OR(INDEX(TransTypes[],Transactions[[#This Row],[TTR]],TT_COL_GLFlag)=1, INDEX(TransTypes[], Transactions[[#This Row],[TTR]], TT_COL_ShareTransferFlag)=1),
            Transactions[[#This Row],[CostImpact]]*-1,
            Transactions[[#This Row],[CalCashImpact]]
      ),
     0
)</f>
        <v>0</v>
      </c>
      <c r="Y906" s="168" t="str">
        <f>VLOOKUP(Transactions[[#This Row],[Symbol]],Symbols[], COLUMN(Symbols[Currency])-COLUMN(Symbols[])+1,FALSE)</f>
        <v>CNY</v>
      </c>
    </row>
    <row r="907" spans="1:25">
      <c r="A907" s="155" t="s">
        <v>82</v>
      </c>
      <c r="B907" s="156">
        <v>42367</v>
      </c>
      <c r="C907" s="155" t="s">
        <v>113</v>
      </c>
      <c r="D907" s="155"/>
      <c r="E907" s="155" t="s">
        <v>498</v>
      </c>
      <c r="F907" s="157">
        <v>4300</v>
      </c>
      <c r="G907" s="158">
        <v>103.416</v>
      </c>
      <c r="H907" s="157">
        <v>0</v>
      </c>
      <c r="I907" s="157"/>
      <c r="J907" s="159">
        <v>444688.8</v>
      </c>
      <c r="K907" s="6" t="s">
        <v>641</v>
      </c>
      <c r="L907" s="20">
        <f>IF(ISNA(MATCH(Transactions[[#This Row],[TransType]],TransTypes[TransType],0)),1,MATCH(Transactions[[#This Row],[TransType]],TransTypes[TransType],0))</f>
        <v>2</v>
      </c>
      <c r="M907" s="160">
        <f>IF( AND( INDEX(TransTypes[],Transactions[[#This Row],[TTR]],TT_COL_GLFlag)=1, INDEX(TransTypes[],Transactions[[#This Row],[TTR]],TT_COL_LONGORSHORT)="S" ),
      Transactions[[#This Row],[PL]],
      IF(INDEX(TransTypes[],Transactions[[#This Row],[TTR]],TT_COL_LONGORSHORT)="S",0,Transactions[[#This Row],[CalCashImpact]])
)</f>
        <v>-444688.8</v>
      </c>
      <c r="N907" s="161">
        <f>IF(VLOOKUP(Transactions[[#This Row],[Symbol]],Symbols[],COLUMN(Symbols[Currency])-COLUMN(Symbols[])+1,FALSE)=
       VLOOKUP(Transactions[[#This Row],[Account]],Accounts[],COLUMN(Accounts[Currency])-COLUMN(Accounts[])+1,FALSE),
     Transactions[[#This Row],[OrigCashImpact]],
     0
)</f>
        <v>-444688.8</v>
      </c>
      <c r="O9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-618719.84000000032</v>
      </c>
      <c r="P9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4300</v>
      </c>
      <c r="Q9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4300</v>
      </c>
      <c r="R907" s="41">
        <f>ROW()</f>
        <v>907</v>
      </c>
      <c r="S9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444688.8</v>
      </c>
      <c r="T9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444688.8</v>
      </c>
      <c r="U9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4300</v>
      </c>
      <c r="V907" s="166">
        <f>IF(INDEX(TransTypes[],Transactions[[#This Row],[TTR]],TT_COL_GLFlag)=1,Transactions[[#This Row],[CalCashImpact]]+Transactions[[#This Row],[CostImpact]],0)</f>
        <v>0</v>
      </c>
      <c r="W907" s="167">
        <f>Transactions[[#This Row],[Amount]]*INDEX(TransTypes[],Transactions[[#This Row],[TTR]],TT_COL_AmntSign)</f>
        <v>-444688.8</v>
      </c>
      <c r="X907" s="167">
        <f>IF(INDEX(TransTypes[],Transactions[[#This Row],[TTR]],TT_COL_LONGORSHORT)="S",
      IF( OR(INDEX(TransTypes[],Transactions[[#This Row],[TTR]],TT_COL_GLFlag)=1, INDEX(TransTypes[], Transactions[[#This Row],[TTR]], TT_COL_ShareTransferFlag)=1),
            Transactions[[#This Row],[CostImpact]]*-1,
            Transactions[[#This Row],[CalCashImpact]]
      ),
     0
)</f>
        <v>0</v>
      </c>
      <c r="Y907" s="168" t="str">
        <f>VLOOKUP(Transactions[[#This Row],[Symbol]],Symbols[], COLUMN(Symbols[Currency])-COLUMN(Symbols[])+1,FALSE)</f>
        <v>CNY</v>
      </c>
    </row>
    <row r="908" spans="1:25">
      <c r="A908" s="155" t="s">
        <v>82</v>
      </c>
      <c r="B908" s="156">
        <v>42367</v>
      </c>
      <c r="C908" s="155" t="s">
        <v>115</v>
      </c>
      <c r="D908" s="155"/>
      <c r="E908" s="155" t="s">
        <v>666</v>
      </c>
      <c r="F908" s="157">
        <v>6000</v>
      </c>
      <c r="G908" s="158">
        <v>109.91200000000001</v>
      </c>
      <c r="H908" s="157">
        <v>32.97</v>
      </c>
      <c r="I908" s="157"/>
      <c r="J908" s="159">
        <v>659439.03</v>
      </c>
      <c r="K908" s="6" t="s">
        <v>641</v>
      </c>
      <c r="L908" s="20">
        <f>IF(ISNA(MATCH(Transactions[[#This Row],[TransType]],TransTypes[TransType],0)),1,MATCH(Transactions[[#This Row],[TransType]],TransTypes[TransType],0))</f>
        <v>3</v>
      </c>
      <c r="M908" s="160">
        <f>IF( AND( INDEX(TransTypes[],Transactions[[#This Row],[TTR]],TT_COL_GLFlag)=1, INDEX(TransTypes[],Transactions[[#This Row],[TTR]],TT_COL_LONGORSHORT)="S" ),
      Transactions[[#This Row],[PL]],
      IF(INDEX(TransTypes[],Transactions[[#This Row],[TTR]],TT_COL_LONGORSHORT)="S",0,Transactions[[#This Row],[CalCashImpact]])
)</f>
        <v>659439.03</v>
      </c>
      <c r="N908" s="161">
        <f>IF(VLOOKUP(Transactions[[#This Row],[Symbol]],Symbols[],COLUMN(Symbols[Currency])-COLUMN(Symbols[])+1,FALSE)=
       VLOOKUP(Transactions[[#This Row],[Account]],Accounts[],COLUMN(Accounts[Currency])-COLUMN(Accounts[])+1,FALSE),
     Transactions[[#This Row],[OrigCashImpact]],
     0
)</f>
        <v>659439.03</v>
      </c>
      <c r="O9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40719.189999999769</v>
      </c>
      <c r="P9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9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08" s="41">
        <f>ROW()</f>
        <v>908</v>
      </c>
      <c r="S9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-652118.60583941592</v>
      </c>
      <c r="T9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908" s="166">
        <f>IF(INDEX(TransTypes[],Transactions[[#This Row],[TTR]],TT_COL_GLFlag)=1,Transactions[[#This Row],[CalCashImpact]]+Transactions[[#This Row],[CostImpact]],0)</f>
        <v>7320.4241605841089</v>
      </c>
      <c r="W908" s="167">
        <f>Transactions[[#This Row],[Amount]]*INDEX(TransTypes[],Transactions[[#This Row],[TTR]],TT_COL_AmntSign)</f>
        <v>659439.03</v>
      </c>
      <c r="X908" s="167">
        <f>IF(INDEX(TransTypes[],Transactions[[#This Row],[TTR]],TT_COL_LONGORSHORT)="S",
      IF( OR(INDEX(TransTypes[],Transactions[[#This Row],[TTR]],TT_COL_GLFlag)=1, INDEX(TransTypes[], Transactions[[#This Row],[TTR]], TT_COL_ShareTransferFlag)=1),
            Transactions[[#This Row],[CostImpact]]*-1,
            Transactions[[#This Row],[CalCashImpact]]
      ),
     0
)</f>
        <v>0</v>
      </c>
      <c r="Y908" s="168" t="str">
        <f>VLOOKUP(Transactions[[#This Row],[Symbol]],Symbols[], COLUMN(Symbols[Currency])-COLUMN(Symbols[])+1,FALSE)</f>
        <v>CNY</v>
      </c>
    </row>
    <row r="909" spans="1:25">
      <c r="A909" s="155" t="s">
        <v>82</v>
      </c>
      <c r="B909" s="156">
        <v>42369</v>
      </c>
      <c r="C909" s="155" t="s">
        <v>118</v>
      </c>
      <c r="D909" s="155"/>
      <c r="E909" s="155" t="s">
        <v>498</v>
      </c>
      <c r="F909" s="157"/>
      <c r="G909" s="158"/>
      <c r="H909" s="157"/>
      <c r="I909" s="157"/>
      <c r="J909" s="159">
        <v>14306.1</v>
      </c>
      <c r="K909" s="6" t="s">
        <v>641</v>
      </c>
      <c r="L909" s="20">
        <f>IF(ISNA(MATCH(Transactions[[#This Row],[TransType]],TransTypes[TransType],0)),1,MATCH(Transactions[[#This Row],[TransType]],TransTypes[TransType],0))</f>
        <v>4</v>
      </c>
      <c r="M909" s="160">
        <f>IF( AND( INDEX(TransTypes[],Transactions[[#This Row],[TTR]],TT_COL_GLFlag)=1, INDEX(TransTypes[],Transactions[[#This Row],[TTR]],TT_COL_LONGORSHORT)="S" ),
      Transactions[[#This Row],[PL]],
      IF(INDEX(TransTypes[],Transactions[[#This Row],[TTR]],TT_COL_LONGORSHORT)="S",0,Transactions[[#This Row],[CalCashImpact]])
)</f>
        <v>14306.1</v>
      </c>
      <c r="N909" s="161">
        <f>IF(VLOOKUP(Transactions[[#This Row],[Symbol]],Symbols[],COLUMN(Symbols[Currency])-COLUMN(Symbols[])+1,FALSE)=
       VLOOKUP(Transactions[[#This Row],[Account]],Accounts[],COLUMN(Accounts[Currency])-COLUMN(Accounts[])+1,FALSE),
     Transactions[[#This Row],[OrigCashImpact]],
     0
)</f>
        <v>14306.1</v>
      </c>
      <c r="O9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55025.28999999971</v>
      </c>
      <c r="P9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4300</v>
      </c>
      <c r="R909" s="41">
        <f>ROW()</f>
        <v>909</v>
      </c>
      <c r="S9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444688.8</v>
      </c>
      <c r="U9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4300</v>
      </c>
      <c r="V909" s="166">
        <f>IF(INDEX(TransTypes[],Transactions[[#This Row],[TTR]],TT_COL_GLFlag)=1,Transactions[[#This Row],[CalCashImpact]]+Transactions[[#This Row],[CostImpact]],0)</f>
        <v>0</v>
      </c>
      <c r="W909" s="167">
        <f>Transactions[[#This Row],[Amount]]*INDEX(TransTypes[],Transactions[[#This Row],[TTR]],TT_COL_AmntSign)</f>
        <v>14306.1</v>
      </c>
      <c r="X909" s="167">
        <f>IF(INDEX(TransTypes[],Transactions[[#This Row],[TTR]],TT_COL_LONGORSHORT)="S",
      IF( OR(INDEX(TransTypes[],Transactions[[#This Row],[TTR]],TT_COL_GLFlag)=1, INDEX(TransTypes[], Transactions[[#This Row],[TTR]], TT_COL_ShareTransferFlag)=1),
            Transactions[[#This Row],[CostImpact]]*-1,
            Transactions[[#This Row],[CalCashImpact]]
      ),
     0
)</f>
        <v>0</v>
      </c>
      <c r="Y909" s="168" t="str">
        <f>VLOOKUP(Transactions[[#This Row],[Symbol]],Symbols[], COLUMN(Symbols[Currency])-COLUMN(Symbols[])+1,FALSE)</f>
        <v>CNY</v>
      </c>
    </row>
    <row r="910" spans="1:25">
      <c r="A910" s="155" t="s">
        <v>82</v>
      </c>
      <c r="B910" s="156">
        <v>42373</v>
      </c>
      <c r="C910" s="155" t="s">
        <v>112</v>
      </c>
      <c r="D910" s="155"/>
      <c r="E910" s="155" t="s">
        <v>211</v>
      </c>
      <c r="F910" s="157"/>
      <c r="G910" s="158"/>
      <c r="H910" s="157"/>
      <c r="I910" s="157"/>
      <c r="J910" s="159">
        <v>550000</v>
      </c>
      <c r="K910" s="6" t="s">
        <v>641</v>
      </c>
      <c r="L910" s="20">
        <f>IF(ISNA(MATCH(Transactions[[#This Row],[TransType]],TransTypes[TransType],0)),1,MATCH(Transactions[[#This Row],[TransType]],TransTypes[TransType],0))</f>
        <v>1</v>
      </c>
      <c r="M910" s="160">
        <f>IF( AND( INDEX(TransTypes[],Transactions[[#This Row],[TTR]],TT_COL_GLFlag)=1, INDEX(TransTypes[],Transactions[[#This Row],[TTR]],TT_COL_LONGORSHORT)="S" ),
      Transactions[[#This Row],[PL]],
      IF(INDEX(TransTypes[],Transactions[[#This Row],[TTR]],TT_COL_LONGORSHORT)="S",0,Transactions[[#This Row],[CalCashImpact]])
)</f>
        <v>550000</v>
      </c>
      <c r="N910" s="161">
        <f>IF(VLOOKUP(Transactions[[#This Row],[Symbol]],Symbols[],COLUMN(Symbols[Currency])-COLUMN(Symbols[])+1,FALSE)=
       VLOOKUP(Transactions[[#This Row],[Account]],Accounts[],COLUMN(Accounts[Currency])-COLUMN(Accounts[])+1,FALSE),
     Transactions[[#This Row],[OrigCashImpact]],
     0
)</f>
        <v>550000</v>
      </c>
      <c r="O9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605025.28999999969</v>
      </c>
      <c r="P9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10" s="41">
        <f>ROW()</f>
        <v>910</v>
      </c>
      <c r="S9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910" s="166">
        <f>IF(INDEX(TransTypes[],Transactions[[#This Row],[TTR]],TT_COL_GLFlag)=1,Transactions[[#This Row],[CalCashImpact]]+Transactions[[#This Row],[CostImpact]],0)</f>
        <v>0</v>
      </c>
      <c r="W910" s="167">
        <f>Transactions[[#This Row],[Amount]]*INDEX(TransTypes[],Transactions[[#This Row],[TTR]],TT_COL_AmntSign)</f>
        <v>550000</v>
      </c>
      <c r="X910" s="167">
        <f>IF(INDEX(TransTypes[],Transactions[[#This Row],[TTR]],TT_COL_LONGORSHORT)="S",
      IF( OR(INDEX(TransTypes[],Transactions[[#This Row],[TTR]],TT_COL_GLFlag)=1, INDEX(TransTypes[], Transactions[[#This Row],[TTR]], TT_COL_ShareTransferFlag)=1),
            Transactions[[#This Row],[CostImpact]]*-1,
            Transactions[[#This Row],[CalCashImpact]]
      ),
     0
)</f>
        <v>0</v>
      </c>
      <c r="Y910" s="168" t="str">
        <f>VLOOKUP(Transactions[[#This Row],[Symbol]],Symbols[], COLUMN(Symbols[Currency])-COLUMN(Symbols[])+1,FALSE)</f>
        <v>CNY</v>
      </c>
    </row>
    <row r="911" spans="1:25">
      <c r="A911" s="155" t="s">
        <v>82</v>
      </c>
      <c r="B911" s="156">
        <v>42373</v>
      </c>
      <c r="C911" s="155" t="s">
        <v>113</v>
      </c>
      <c r="D911" s="155"/>
      <c r="E911" s="155" t="s">
        <v>656</v>
      </c>
      <c r="F911" s="157">
        <v>100000</v>
      </c>
      <c r="G911" s="158">
        <v>0.93899999999999995</v>
      </c>
      <c r="H911" s="157">
        <v>37.56</v>
      </c>
      <c r="I911" s="157"/>
      <c r="J911" s="159">
        <v>93937.56</v>
      </c>
      <c r="K911" s="6" t="s">
        <v>641</v>
      </c>
      <c r="L911" s="20">
        <f>IF(ISNA(MATCH(Transactions[[#This Row],[TransType]],TransTypes[TransType],0)),1,MATCH(Transactions[[#This Row],[TransType]],TransTypes[TransType],0))</f>
        <v>2</v>
      </c>
      <c r="M911" s="160">
        <f>IF( AND( INDEX(TransTypes[],Transactions[[#This Row],[TTR]],TT_COL_GLFlag)=1, INDEX(TransTypes[],Transactions[[#This Row],[TTR]],TT_COL_LONGORSHORT)="S" ),
      Transactions[[#This Row],[PL]],
      IF(INDEX(TransTypes[],Transactions[[#This Row],[TTR]],TT_COL_LONGORSHORT)="S",0,Transactions[[#This Row],[CalCashImpact]])
)</f>
        <v>-93937.56</v>
      </c>
      <c r="N911" s="161">
        <f>IF(VLOOKUP(Transactions[[#This Row],[Symbol]],Symbols[],COLUMN(Symbols[Currency])-COLUMN(Symbols[])+1,FALSE)=
       VLOOKUP(Transactions[[#This Row],[Account]],Accounts[],COLUMN(Accounts[Currency])-COLUMN(Accounts[])+1,FALSE),
     Transactions[[#This Row],[OrigCashImpact]],
     0
)</f>
        <v>-93937.56</v>
      </c>
      <c r="O9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511087.72999999969</v>
      </c>
      <c r="P9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9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100000</v>
      </c>
      <c r="R911" s="41">
        <f>ROW()</f>
        <v>911</v>
      </c>
      <c r="S9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93937.56</v>
      </c>
      <c r="T9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93937.56</v>
      </c>
      <c r="U9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100000</v>
      </c>
      <c r="V911" s="166">
        <f>IF(INDEX(TransTypes[],Transactions[[#This Row],[TTR]],TT_COL_GLFlag)=1,Transactions[[#This Row],[CalCashImpact]]+Transactions[[#This Row],[CostImpact]],0)</f>
        <v>0</v>
      </c>
      <c r="W911" s="167">
        <f>Transactions[[#This Row],[Amount]]*INDEX(TransTypes[],Transactions[[#This Row],[TTR]],TT_COL_AmntSign)</f>
        <v>-93937.56</v>
      </c>
      <c r="X911" s="167">
        <f>IF(INDEX(TransTypes[],Transactions[[#This Row],[TTR]],TT_COL_LONGORSHORT)="S",
      IF( OR(INDEX(TransTypes[],Transactions[[#This Row],[TTR]],TT_COL_GLFlag)=1, INDEX(TransTypes[], Transactions[[#This Row],[TTR]], TT_COL_ShareTransferFlag)=1),
            Transactions[[#This Row],[CostImpact]]*-1,
            Transactions[[#This Row],[CalCashImpact]]
      ),
     0
)</f>
        <v>0</v>
      </c>
      <c r="Y911" s="168" t="str">
        <f>VLOOKUP(Transactions[[#This Row],[Symbol]],Symbols[], COLUMN(Symbols[Currency])-COLUMN(Symbols[])+1,FALSE)</f>
        <v>CNY</v>
      </c>
    </row>
    <row r="912" spans="1:25">
      <c r="A912" s="155" t="s">
        <v>82</v>
      </c>
      <c r="B912" s="156">
        <v>42373</v>
      </c>
      <c r="C912" s="155" t="s">
        <v>113</v>
      </c>
      <c r="D912" s="155"/>
      <c r="E912" s="155" t="s">
        <v>672</v>
      </c>
      <c r="F912" s="157">
        <v>140000</v>
      </c>
      <c r="G912" s="158">
        <v>0.94299999999999995</v>
      </c>
      <c r="H912" s="157">
        <v>52.81</v>
      </c>
      <c r="I912" s="157"/>
      <c r="J912" s="159">
        <v>132072.81</v>
      </c>
      <c r="K912" s="6" t="s">
        <v>641</v>
      </c>
      <c r="L912" s="20">
        <f>IF(ISNA(MATCH(Transactions[[#This Row],[TransType]],TransTypes[TransType],0)),1,MATCH(Transactions[[#This Row],[TransType]],TransTypes[TransType],0))</f>
        <v>2</v>
      </c>
      <c r="M912" s="160">
        <f>IF( AND( INDEX(TransTypes[],Transactions[[#This Row],[TTR]],TT_COL_GLFlag)=1, INDEX(TransTypes[],Transactions[[#This Row],[TTR]],TT_COL_LONGORSHORT)="S" ),
      Transactions[[#This Row],[PL]],
      IF(INDEX(TransTypes[],Transactions[[#This Row],[TTR]],TT_COL_LONGORSHORT)="S",0,Transactions[[#This Row],[CalCashImpact]])
)</f>
        <v>-132072.81</v>
      </c>
      <c r="N912" s="161">
        <f>IF(VLOOKUP(Transactions[[#This Row],[Symbol]],Symbols[],COLUMN(Symbols[Currency])-COLUMN(Symbols[])+1,FALSE)=
       VLOOKUP(Transactions[[#This Row],[Account]],Accounts[],COLUMN(Accounts[Currency])-COLUMN(Accounts[])+1,FALSE),
     Transactions[[#This Row],[OrigCashImpact]],
     0
)</f>
        <v>-132072.81</v>
      </c>
      <c r="O9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379014.91999999969</v>
      </c>
      <c r="P9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140000</v>
      </c>
      <c r="Q9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140000</v>
      </c>
      <c r="R912" s="41">
        <f>ROW()</f>
        <v>912</v>
      </c>
      <c r="S9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132072.81</v>
      </c>
      <c r="T9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132072.81</v>
      </c>
      <c r="U9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140000</v>
      </c>
      <c r="V912" s="166">
        <f>IF(INDEX(TransTypes[],Transactions[[#This Row],[TTR]],TT_COL_GLFlag)=1,Transactions[[#This Row],[CalCashImpact]]+Transactions[[#This Row],[CostImpact]],0)</f>
        <v>0</v>
      </c>
      <c r="W912" s="167">
        <f>Transactions[[#This Row],[Amount]]*INDEX(TransTypes[],Transactions[[#This Row],[TTR]],TT_COL_AmntSign)</f>
        <v>-132072.81</v>
      </c>
      <c r="X912" s="167">
        <f>IF(INDEX(TransTypes[],Transactions[[#This Row],[TTR]],TT_COL_LONGORSHORT)="S",
      IF( OR(INDEX(TransTypes[],Transactions[[#This Row],[TTR]],TT_COL_GLFlag)=1, INDEX(TransTypes[], Transactions[[#This Row],[TTR]], TT_COL_ShareTransferFlag)=1),
            Transactions[[#This Row],[CostImpact]]*-1,
            Transactions[[#This Row],[CalCashImpact]]
      ),
     0
)</f>
        <v>0</v>
      </c>
      <c r="Y912" s="168" t="str">
        <f>VLOOKUP(Transactions[[#This Row],[Symbol]],Symbols[], COLUMN(Symbols[Currency])-COLUMN(Symbols[])+1,FALSE)</f>
        <v>CNY</v>
      </c>
    </row>
    <row r="913" spans="1:25">
      <c r="A913" s="155" t="s">
        <v>82</v>
      </c>
      <c r="B913" s="156">
        <v>42373</v>
      </c>
      <c r="C913" s="155" t="s">
        <v>115</v>
      </c>
      <c r="D913" s="155"/>
      <c r="E913" s="155" t="s">
        <v>669</v>
      </c>
      <c r="F913" s="157">
        <v>10000</v>
      </c>
      <c r="G913" s="158">
        <v>4.7750000000000004</v>
      </c>
      <c r="H913" s="157">
        <v>66.86</v>
      </c>
      <c r="I913" s="157"/>
      <c r="J913" s="159">
        <v>47683.14</v>
      </c>
      <c r="K913" s="6" t="s">
        <v>641</v>
      </c>
      <c r="L913" s="20">
        <f>IF(ISNA(MATCH(Transactions[[#This Row],[TransType]],TransTypes[TransType],0)),1,MATCH(Transactions[[#This Row],[TransType]],TransTypes[TransType],0))</f>
        <v>3</v>
      </c>
      <c r="M913" s="160">
        <f>IF( AND( INDEX(TransTypes[],Transactions[[#This Row],[TTR]],TT_COL_GLFlag)=1, INDEX(TransTypes[],Transactions[[#This Row],[TTR]],TT_COL_LONGORSHORT)="S" ),
      Transactions[[#This Row],[PL]],
      IF(INDEX(TransTypes[],Transactions[[#This Row],[TTR]],TT_COL_LONGORSHORT)="S",0,Transactions[[#This Row],[CalCashImpact]])
)</f>
        <v>47683.14</v>
      </c>
      <c r="N913" s="161">
        <f>IF(VLOOKUP(Transactions[[#This Row],[Symbol]],Symbols[],COLUMN(Symbols[Currency])-COLUMN(Symbols[])+1,FALSE)=
       VLOOKUP(Transactions[[#This Row],[Account]],Accounts[],COLUMN(Accounts[Currency])-COLUMN(Accounts[])+1,FALSE),
     Transactions[[#This Row],[OrigCashImpact]],
     0
)</f>
        <v>47683.14</v>
      </c>
      <c r="O9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426698.05999999971</v>
      </c>
      <c r="P9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9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13" s="41">
        <f>ROW()</f>
        <v>913</v>
      </c>
      <c r="S9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-47819.12</v>
      </c>
      <c r="T9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913" s="166">
        <f>IF(INDEX(TransTypes[],Transactions[[#This Row],[TTR]],TT_COL_GLFlag)=1,Transactions[[#This Row],[CalCashImpact]]+Transactions[[#This Row],[CostImpact]],0)</f>
        <v>-135.9800000000032</v>
      </c>
      <c r="W913" s="167">
        <f>Transactions[[#This Row],[Amount]]*INDEX(TransTypes[],Transactions[[#This Row],[TTR]],TT_COL_AmntSign)</f>
        <v>47683.14</v>
      </c>
      <c r="X913" s="167">
        <f>IF(INDEX(TransTypes[],Transactions[[#This Row],[TTR]],TT_COL_LONGORSHORT)="S",
      IF( OR(INDEX(TransTypes[],Transactions[[#This Row],[TTR]],TT_COL_GLFlag)=1, INDEX(TransTypes[], Transactions[[#This Row],[TTR]], TT_COL_ShareTransferFlag)=1),
            Transactions[[#This Row],[CostImpact]]*-1,
            Transactions[[#This Row],[CalCashImpact]]
      ),
     0
)</f>
        <v>0</v>
      </c>
      <c r="Y913" s="168" t="str">
        <f>VLOOKUP(Transactions[[#This Row],[Symbol]],Symbols[], COLUMN(Symbols[Currency])-COLUMN(Symbols[])+1,FALSE)</f>
        <v>CNY</v>
      </c>
    </row>
    <row r="914" spans="1:25">
      <c r="A914" s="155" t="s">
        <v>82</v>
      </c>
      <c r="B914" s="156">
        <v>42373</v>
      </c>
      <c r="C914" s="155" t="s">
        <v>115</v>
      </c>
      <c r="D914" s="155"/>
      <c r="E914" s="155" t="s">
        <v>498</v>
      </c>
      <c r="F914" s="157">
        <v>1300</v>
      </c>
      <c r="G914" s="158">
        <v>100.116</v>
      </c>
      <c r="H914" s="157">
        <v>0</v>
      </c>
      <c r="I914" s="157"/>
      <c r="J914" s="159">
        <v>130150.8</v>
      </c>
      <c r="K914" s="6" t="s">
        <v>641</v>
      </c>
      <c r="L914" s="20">
        <f>IF(ISNA(MATCH(Transactions[[#This Row],[TransType]],TransTypes[TransType],0)),1,MATCH(Transactions[[#This Row],[TransType]],TransTypes[TransType],0))</f>
        <v>3</v>
      </c>
      <c r="M914" s="160">
        <f>IF( AND( INDEX(TransTypes[],Transactions[[#This Row],[TTR]],TT_COL_GLFlag)=1, INDEX(TransTypes[],Transactions[[#This Row],[TTR]],TT_COL_LONGORSHORT)="S" ),
      Transactions[[#This Row],[PL]],
      IF(INDEX(TransTypes[],Transactions[[#This Row],[TTR]],TT_COL_LONGORSHORT)="S",0,Transactions[[#This Row],[CalCashImpact]])
)</f>
        <v>130150.8</v>
      </c>
      <c r="N914" s="161">
        <f>IF(VLOOKUP(Transactions[[#This Row],[Symbol]],Symbols[],COLUMN(Symbols[Currency])-COLUMN(Symbols[])+1,FALSE)=
       VLOOKUP(Transactions[[#This Row],[Account]],Accounts[],COLUMN(Accounts[Currency])-COLUMN(Accounts[])+1,FALSE),
     Transactions[[#This Row],[OrigCashImpact]],
     0
)</f>
        <v>130150.8</v>
      </c>
      <c r="O9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556848.85999999975</v>
      </c>
      <c r="P9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-1300</v>
      </c>
      <c r="Q9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914" s="41">
        <f>ROW()</f>
        <v>914</v>
      </c>
      <c r="S9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-134440.79999999999</v>
      </c>
      <c r="T9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310248</v>
      </c>
      <c r="U9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4300</v>
      </c>
      <c r="V914" s="166">
        <f>IF(INDEX(TransTypes[],Transactions[[#This Row],[TTR]],TT_COL_GLFlag)=1,Transactions[[#This Row],[CalCashImpact]]+Transactions[[#This Row],[CostImpact]],0)</f>
        <v>-4289.9999999999854</v>
      </c>
      <c r="W914" s="167">
        <f>Transactions[[#This Row],[Amount]]*INDEX(TransTypes[],Transactions[[#This Row],[TTR]],TT_COL_AmntSign)</f>
        <v>130150.8</v>
      </c>
      <c r="X914" s="167">
        <f>IF(INDEX(TransTypes[],Transactions[[#This Row],[TTR]],TT_COL_LONGORSHORT)="S",
      IF( OR(INDEX(TransTypes[],Transactions[[#This Row],[TTR]],TT_COL_GLFlag)=1, INDEX(TransTypes[], Transactions[[#This Row],[TTR]], TT_COL_ShareTransferFlag)=1),
            Transactions[[#This Row],[CostImpact]]*-1,
            Transactions[[#This Row],[CalCashImpact]]
      ),
     0
)</f>
        <v>0</v>
      </c>
      <c r="Y914" s="168" t="str">
        <f>VLOOKUP(Transactions[[#This Row],[Symbol]],Symbols[], COLUMN(Symbols[Currency])-COLUMN(Symbols[])+1,FALSE)</f>
        <v>CNY</v>
      </c>
    </row>
    <row r="915" spans="1:25">
      <c r="A915" s="155" t="s">
        <v>82</v>
      </c>
      <c r="B915" s="156">
        <v>42373</v>
      </c>
      <c r="C915" s="155" t="s">
        <v>115</v>
      </c>
      <c r="D915" s="155"/>
      <c r="E915" s="155" t="s">
        <v>658</v>
      </c>
      <c r="F915" s="157">
        <v>2000</v>
      </c>
      <c r="G915" s="158">
        <v>22.68</v>
      </c>
      <c r="H915" s="157">
        <v>64.41</v>
      </c>
      <c r="I915" s="157"/>
      <c r="J915" s="159">
        <v>45295.59</v>
      </c>
      <c r="K915" s="6" t="s">
        <v>641</v>
      </c>
      <c r="L915" s="20">
        <f>IF(ISNA(MATCH(Transactions[[#This Row],[TransType]],TransTypes[TransType],0)),1,MATCH(Transactions[[#This Row],[TransType]],TransTypes[TransType],0))</f>
        <v>3</v>
      </c>
      <c r="M915" s="160">
        <f>IF( AND( INDEX(TransTypes[],Transactions[[#This Row],[TTR]],TT_COL_GLFlag)=1, INDEX(TransTypes[],Transactions[[#This Row],[TTR]],TT_COL_LONGORSHORT)="S" ),
      Transactions[[#This Row],[PL]],
      IF(INDEX(TransTypes[],Transactions[[#This Row],[TTR]],TT_COL_LONGORSHORT)="S",0,Transactions[[#This Row],[CalCashImpact]])
)</f>
        <v>45295.59</v>
      </c>
      <c r="N915" s="161">
        <f>IF(VLOOKUP(Transactions[[#This Row],[Symbol]],Symbols[],COLUMN(Symbols[Currency])-COLUMN(Symbols[])+1,FALSE)=
       VLOOKUP(Transactions[[#This Row],[Account]],Accounts[],COLUMN(Accounts[Currency])-COLUMN(Accounts[])+1,FALSE),
     Transactions[[#This Row],[OrigCashImpact]],
     0
)</f>
        <v>45295.59</v>
      </c>
      <c r="O9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602144.44999999972</v>
      </c>
      <c r="P9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9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915" s="41">
        <f>ROW()</f>
        <v>915</v>
      </c>
      <c r="S9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-47459.925000000003</v>
      </c>
      <c r="T9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47459.925000000003</v>
      </c>
      <c r="U9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915" s="166">
        <f>IF(INDEX(TransTypes[],Transactions[[#This Row],[TTR]],TT_COL_GLFlag)=1,Transactions[[#This Row],[CalCashImpact]]+Transactions[[#This Row],[CostImpact]],0)</f>
        <v>-2164.3350000000064</v>
      </c>
      <c r="W915" s="167">
        <f>Transactions[[#This Row],[Amount]]*INDEX(TransTypes[],Transactions[[#This Row],[TTR]],TT_COL_AmntSign)</f>
        <v>45295.59</v>
      </c>
      <c r="X915" s="167">
        <f>IF(INDEX(TransTypes[],Transactions[[#This Row],[TTR]],TT_COL_LONGORSHORT)="S",
      IF( OR(INDEX(TransTypes[],Transactions[[#This Row],[TTR]],TT_COL_GLFlag)=1, INDEX(TransTypes[], Transactions[[#This Row],[TTR]], TT_COL_ShareTransferFlag)=1),
            Transactions[[#This Row],[CostImpact]]*-1,
            Transactions[[#This Row],[CalCashImpact]]
      ),
     0
)</f>
        <v>0</v>
      </c>
      <c r="Y915" s="168" t="str">
        <f>VLOOKUP(Transactions[[#This Row],[Symbol]],Symbols[], COLUMN(Symbols[Currency])-COLUMN(Symbols[])+1,FALSE)</f>
        <v>CNY</v>
      </c>
    </row>
    <row r="916" spans="1:25">
      <c r="A916" s="155" t="s">
        <v>82</v>
      </c>
      <c r="B916" s="156">
        <v>42374</v>
      </c>
      <c r="C916" s="155" t="s">
        <v>113</v>
      </c>
      <c r="D916" s="155"/>
      <c r="E916" s="155" t="s">
        <v>661</v>
      </c>
      <c r="F916" s="157">
        <v>300000</v>
      </c>
      <c r="G916" s="158">
        <v>0.96299999999999997</v>
      </c>
      <c r="H916" s="157">
        <v>115.61</v>
      </c>
      <c r="I916" s="157"/>
      <c r="J916" s="159">
        <v>289015.61</v>
      </c>
      <c r="K916" s="6" t="s">
        <v>641</v>
      </c>
      <c r="L916" s="20">
        <f>IF(ISNA(MATCH(Transactions[[#This Row],[TransType]],TransTypes[TransType],0)),1,MATCH(Transactions[[#This Row],[TransType]],TransTypes[TransType],0))</f>
        <v>2</v>
      </c>
      <c r="M916" s="160">
        <f>IF( AND( INDEX(TransTypes[],Transactions[[#This Row],[TTR]],TT_COL_GLFlag)=1, INDEX(TransTypes[],Transactions[[#This Row],[TTR]],TT_COL_LONGORSHORT)="S" ),
      Transactions[[#This Row],[PL]],
      IF(INDEX(TransTypes[],Transactions[[#This Row],[TTR]],TT_COL_LONGORSHORT)="S",0,Transactions[[#This Row],[CalCashImpact]])
)</f>
        <v>-289015.61</v>
      </c>
      <c r="N916" s="161">
        <f>IF(VLOOKUP(Transactions[[#This Row],[Symbol]],Symbols[],COLUMN(Symbols[Currency])-COLUMN(Symbols[])+1,FALSE)=
       VLOOKUP(Transactions[[#This Row],[Account]],Accounts[],COLUMN(Accounts[Currency])-COLUMN(Accounts[])+1,FALSE),
     Transactions[[#This Row],[OrigCashImpact]],
     0
)</f>
        <v>-289015.61</v>
      </c>
      <c r="O9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313128.83999999973</v>
      </c>
      <c r="P9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300000</v>
      </c>
      <c r="Q9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900000</v>
      </c>
      <c r="R916" s="41">
        <f>ROW()</f>
        <v>916</v>
      </c>
      <c r="S9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289015.61</v>
      </c>
      <c r="T9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853041.13</v>
      </c>
      <c r="U9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900000</v>
      </c>
      <c r="V916" s="166">
        <f>IF(INDEX(TransTypes[],Transactions[[#This Row],[TTR]],TT_COL_GLFlag)=1,Transactions[[#This Row],[CalCashImpact]]+Transactions[[#This Row],[CostImpact]],0)</f>
        <v>0</v>
      </c>
      <c r="W916" s="167">
        <f>Transactions[[#This Row],[Amount]]*INDEX(TransTypes[],Transactions[[#This Row],[TTR]],TT_COL_AmntSign)</f>
        <v>-289015.61</v>
      </c>
      <c r="X916" s="167">
        <f>IF(INDEX(TransTypes[],Transactions[[#This Row],[TTR]],TT_COL_LONGORSHORT)="S",
      IF( OR(INDEX(TransTypes[],Transactions[[#This Row],[TTR]],TT_COL_GLFlag)=1, INDEX(TransTypes[], Transactions[[#This Row],[TTR]], TT_COL_ShareTransferFlag)=1),
            Transactions[[#This Row],[CostImpact]]*-1,
            Transactions[[#This Row],[CalCashImpact]]
      ),
     0
)</f>
        <v>0</v>
      </c>
      <c r="Y916" s="168" t="str">
        <f>VLOOKUP(Transactions[[#This Row],[Symbol]],Symbols[], COLUMN(Symbols[Currency])-COLUMN(Symbols[])+1,FALSE)</f>
        <v>CNY</v>
      </c>
    </row>
    <row r="917" spans="1:25">
      <c r="A917" s="155" t="s">
        <v>82</v>
      </c>
      <c r="B917" s="156">
        <v>42374</v>
      </c>
      <c r="C917" s="155" t="s">
        <v>113</v>
      </c>
      <c r="D917" s="155"/>
      <c r="E917" s="155" t="s">
        <v>672</v>
      </c>
      <c r="F917" s="157">
        <v>300000</v>
      </c>
      <c r="G917" s="158">
        <v>0.95</v>
      </c>
      <c r="H917" s="157">
        <v>114</v>
      </c>
      <c r="I917" s="157"/>
      <c r="J917" s="159">
        <v>285114</v>
      </c>
      <c r="K917" s="6" t="s">
        <v>641</v>
      </c>
      <c r="L917" s="20">
        <f>IF(ISNA(MATCH(Transactions[[#This Row],[TransType]],TransTypes[TransType],0)),1,MATCH(Transactions[[#This Row],[TransType]],TransTypes[TransType],0))</f>
        <v>2</v>
      </c>
      <c r="M917" s="160">
        <f>IF( AND( INDEX(TransTypes[],Transactions[[#This Row],[TTR]],TT_COL_GLFlag)=1, INDEX(TransTypes[],Transactions[[#This Row],[TTR]],TT_COL_LONGORSHORT)="S" ),
      Transactions[[#This Row],[PL]],
      IF(INDEX(TransTypes[],Transactions[[#This Row],[TTR]],TT_COL_LONGORSHORT)="S",0,Transactions[[#This Row],[CalCashImpact]])
)</f>
        <v>-285114</v>
      </c>
      <c r="N917" s="161">
        <f>IF(VLOOKUP(Transactions[[#This Row],[Symbol]],Symbols[],COLUMN(Symbols[Currency])-COLUMN(Symbols[])+1,FALSE)=
       VLOOKUP(Transactions[[#This Row],[Account]],Accounts[],COLUMN(Accounts[Currency])-COLUMN(Accounts[])+1,FALSE),
     Transactions[[#This Row],[OrigCashImpact]],
     0
)</f>
        <v>-285114</v>
      </c>
      <c r="O9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28014.839999999735</v>
      </c>
      <c r="P9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300000</v>
      </c>
      <c r="Q9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440000</v>
      </c>
      <c r="R917" s="41">
        <f>ROW()</f>
        <v>917</v>
      </c>
      <c r="S9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285114</v>
      </c>
      <c r="T9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417186.81</v>
      </c>
      <c r="U9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440000</v>
      </c>
      <c r="V917" s="166">
        <f>IF(INDEX(TransTypes[],Transactions[[#This Row],[TTR]],TT_COL_GLFlag)=1,Transactions[[#This Row],[CalCashImpact]]+Transactions[[#This Row],[CostImpact]],0)</f>
        <v>0</v>
      </c>
      <c r="W917" s="167">
        <f>Transactions[[#This Row],[Amount]]*INDEX(TransTypes[],Transactions[[#This Row],[TTR]],TT_COL_AmntSign)</f>
        <v>-285114</v>
      </c>
      <c r="X917" s="167">
        <f>IF(INDEX(TransTypes[],Transactions[[#This Row],[TTR]],TT_COL_LONGORSHORT)="S",
      IF( OR(INDEX(TransTypes[],Transactions[[#This Row],[TTR]],TT_COL_GLFlag)=1, INDEX(TransTypes[], Transactions[[#This Row],[TTR]], TT_COL_ShareTransferFlag)=1),
            Transactions[[#This Row],[CostImpact]]*-1,
            Transactions[[#This Row],[CalCashImpact]]
      ),
     0
)</f>
        <v>0</v>
      </c>
      <c r="Y917" s="168" t="str">
        <f>VLOOKUP(Transactions[[#This Row],[Symbol]],Symbols[], COLUMN(Symbols[Currency])-COLUMN(Symbols[])+1,FALSE)</f>
        <v>CNY</v>
      </c>
    </row>
    <row r="918" spans="1:25">
      <c r="A918" s="155" t="s">
        <v>82</v>
      </c>
      <c r="B918" s="156">
        <v>42374</v>
      </c>
      <c r="C918" s="155" t="s">
        <v>115</v>
      </c>
      <c r="D918" s="155"/>
      <c r="E918" s="155" t="s">
        <v>498</v>
      </c>
      <c r="F918" s="157">
        <v>3000</v>
      </c>
      <c r="G918" s="158">
        <v>100.121</v>
      </c>
      <c r="H918" s="157">
        <v>0</v>
      </c>
      <c r="I918" s="157"/>
      <c r="J918" s="159">
        <v>300363</v>
      </c>
      <c r="K918" s="6" t="s">
        <v>641</v>
      </c>
      <c r="L918" s="20">
        <f>IF(ISNA(MATCH(Transactions[[#This Row],[TransType]],TransTypes[TransType],0)),1,MATCH(Transactions[[#This Row],[TransType]],TransTypes[TransType],0))</f>
        <v>3</v>
      </c>
      <c r="M918" s="160">
        <f>IF( AND( INDEX(TransTypes[],Transactions[[#This Row],[TTR]],TT_COL_GLFlag)=1, INDEX(TransTypes[],Transactions[[#This Row],[TTR]],TT_COL_LONGORSHORT)="S" ),
      Transactions[[#This Row],[PL]],
      IF(INDEX(TransTypes[],Transactions[[#This Row],[TTR]],TT_COL_LONGORSHORT)="S",0,Transactions[[#This Row],[CalCashImpact]])
)</f>
        <v>300363</v>
      </c>
      <c r="N918" s="161">
        <f>IF(VLOOKUP(Transactions[[#This Row],[Symbol]],Symbols[],COLUMN(Symbols[Currency])-COLUMN(Symbols[])+1,FALSE)=
       VLOOKUP(Transactions[[#This Row],[Account]],Accounts[],COLUMN(Accounts[Currency])-COLUMN(Accounts[])+1,FALSE),
     Transactions[[#This Row],[OrigCashImpact]],
     0
)</f>
        <v>300363</v>
      </c>
      <c r="O9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328377.83999999973</v>
      </c>
      <c r="P9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9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18" s="41">
        <f>ROW()</f>
        <v>918</v>
      </c>
      <c r="S9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-310248</v>
      </c>
      <c r="T9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918" s="166">
        <f>IF(INDEX(TransTypes[],Transactions[[#This Row],[TTR]],TT_COL_GLFlag)=1,Transactions[[#This Row],[CalCashImpact]]+Transactions[[#This Row],[CostImpact]],0)</f>
        <v>-9885</v>
      </c>
      <c r="W918" s="167">
        <f>Transactions[[#This Row],[Amount]]*INDEX(TransTypes[],Transactions[[#This Row],[TTR]],TT_COL_AmntSign)</f>
        <v>300363</v>
      </c>
      <c r="X918" s="167">
        <f>IF(INDEX(TransTypes[],Transactions[[#This Row],[TTR]],TT_COL_LONGORSHORT)="S",
      IF( OR(INDEX(TransTypes[],Transactions[[#This Row],[TTR]],TT_COL_GLFlag)=1, INDEX(TransTypes[], Transactions[[#This Row],[TTR]], TT_COL_ShareTransferFlag)=1),
            Transactions[[#This Row],[CostImpact]]*-1,
            Transactions[[#This Row],[CalCashImpact]]
      ),
     0
)</f>
        <v>0</v>
      </c>
      <c r="Y918" s="168" t="str">
        <f>VLOOKUP(Transactions[[#This Row],[Symbol]],Symbols[], COLUMN(Symbols[Currency])-COLUMN(Symbols[])+1,FALSE)</f>
        <v>CNY</v>
      </c>
    </row>
    <row r="919" spans="1:25">
      <c r="A919" s="155" t="s">
        <v>82</v>
      </c>
      <c r="B919" s="156">
        <v>42375</v>
      </c>
      <c r="C919" s="155" t="s">
        <v>113</v>
      </c>
      <c r="D919" s="155"/>
      <c r="E919" s="155" t="s">
        <v>673</v>
      </c>
      <c r="F919" s="157">
        <v>370919</v>
      </c>
      <c r="G919" s="158">
        <v>0.80799999460798699</v>
      </c>
      <c r="H919" s="157">
        <v>296.74</v>
      </c>
      <c r="I919" s="157"/>
      <c r="J919" s="159">
        <v>299999.28999999998</v>
      </c>
      <c r="K919" s="6" t="s">
        <v>641</v>
      </c>
      <c r="L919" s="20">
        <f>IF(ISNA(MATCH(Transactions[[#This Row],[TransType]],TransTypes[TransType],0)),1,MATCH(Transactions[[#This Row],[TransType]],TransTypes[TransType],0))</f>
        <v>2</v>
      </c>
      <c r="M919" s="160">
        <f>IF( AND( INDEX(TransTypes[],Transactions[[#This Row],[TTR]],TT_COL_GLFlag)=1, INDEX(TransTypes[],Transactions[[#This Row],[TTR]],TT_COL_LONGORSHORT)="S" ),
      Transactions[[#This Row],[PL]],
      IF(INDEX(TransTypes[],Transactions[[#This Row],[TTR]],TT_COL_LONGORSHORT)="S",0,Transactions[[#This Row],[CalCashImpact]])
)</f>
        <v>-299999.28999999998</v>
      </c>
      <c r="N919" s="161">
        <f>IF(VLOOKUP(Transactions[[#This Row],[Symbol]],Symbols[],COLUMN(Symbols[Currency])-COLUMN(Symbols[])+1,FALSE)=
       VLOOKUP(Transactions[[#This Row],[Account]],Accounts[],COLUMN(Accounts[Currency])-COLUMN(Accounts[])+1,FALSE),
     Transactions[[#This Row],[OrigCashImpact]],
     0
)</f>
        <v>-299999.28999999998</v>
      </c>
      <c r="O9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28378.549999999756</v>
      </c>
      <c r="P9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370919</v>
      </c>
      <c r="Q9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370919</v>
      </c>
      <c r="R919" s="41">
        <f>ROW()</f>
        <v>919</v>
      </c>
      <c r="S9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299999.28999999998</v>
      </c>
      <c r="T9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299999.28999999998</v>
      </c>
      <c r="U9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370919</v>
      </c>
      <c r="V919" s="166">
        <f>IF(INDEX(TransTypes[],Transactions[[#This Row],[TTR]],TT_COL_GLFlag)=1,Transactions[[#This Row],[CalCashImpact]]+Transactions[[#This Row],[CostImpact]],0)</f>
        <v>0</v>
      </c>
      <c r="W919" s="167">
        <f>Transactions[[#This Row],[Amount]]*INDEX(TransTypes[],Transactions[[#This Row],[TTR]],TT_COL_AmntSign)</f>
        <v>-299999.28999999998</v>
      </c>
      <c r="X919" s="167">
        <f>IF(INDEX(TransTypes[],Transactions[[#This Row],[TTR]],TT_COL_LONGORSHORT)="S",
      IF( OR(INDEX(TransTypes[],Transactions[[#This Row],[TTR]],TT_COL_GLFlag)=1, INDEX(TransTypes[], Transactions[[#This Row],[TTR]], TT_COL_ShareTransferFlag)=1),
            Transactions[[#This Row],[CostImpact]]*-1,
            Transactions[[#This Row],[CalCashImpact]]
      ),
     0
)</f>
        <v>0</v>
      </c>
      <c r="Y919" s="168" t="str">
        <f>VLOOKUP(Transactions[[#This Row],[Symbol]],Symbols[], COLUMN(Symbols[Currency])-COLUMN(Symbols[])+1,FALSE)</f>
        <v>CNY</v>
      </c>
    </row>
    <row r="920" spans="1:25">
      <c r="A920" s="155" t="s">
        <v>82</v>
      </c>
      <c r="B920" s="156">
        <v>42375</v>
      </c>
      <c r="C920" s="155" t="s">
        <v>113</v>
      </c>
      <c r="D920" s="155"/>
      <c r="E920" s="155" t="s">
        <v>674</v>
      </c>
      <c r="F920" s="157">
        <v>1000</v>
      </c>
      <c r="G920" s="158">
        <v>69.150000000000006</v>
      </c>
      <c r="H920" s="157">
        <v>27.66</v>
      </c>
      <c r="I920" s="157"/>
      <c r="J920" s="159">
        <v>69177.66</v>
      </c>
      <c r="K920" s="6" t="s">
        <v>641</v>
      </c>
      <c r="L920" s="20">
        <f>IF(ISNA(MATCH(Transactions[[#This Row],[TransType]],TransTypes[TransType],0)),1,MATCH(Transactions[[#This Row],[TransType]],TransTypes[TransType],0))</f>
        <v>2</v>
      </c>
      <c r="M920" s="160">
        <f>IF( AND( INDEX(TransTypes[],Transactions[[#This Row],[TTR]],TT_COL_GLFlag)=1, INDEX(TransTypes[],Transactions[[#This Row],[TTR]],TT_COL_LONGORSHORT)="S" ),
      Transactions[[#This Row],[PL]],
      IF(INDEX(TransTypes[],Transactions[[#This Row],[TTR]],TT_COL_LONGORSHORT)="S",0,Transactions[[#This Row],[CalCashImpact]])
)</f>
        <v>-69177.66</v>
      </c>
      <c r="N920" s="161">
        <f>IF(VLOOKUP(Transactions[[#This Row],[Symbol]],Symbols[],COLUMN(Symbols[Currency])-COLUMN(Symbols[])+1,FALSE)=
       VLOOKUP(Transactions[[#This Row],[Account]],Accounts[],COLUMN(Accounts[Currency])-COLUMN(Accounts[])+1,FALSE),
     Transactions[[#This Row],[OrigCashImpact]],
     0
)</f>
        <v>-69177.66</v>
      </c>
      <c r="O9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-40799.110000000219</v>
      </c>
      <c r="P9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20" s="41">
        <f>ROW()</f>
        <v>920</v>
      </c>
      <c r="S9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69177.66</v>
      </c>
      <c r="T9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69177.66</v>
      </c>
      <c r="U9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20" s="166">
        <f>IF(INDEX(TransTypes[],Transactions[[#This Row],[TTR]],TT_COL_GLFlag)=1,Transactions[[#This Row],[CalCashImpact]]+Transactions[[#This Row],[CostImpact]],0)</f>
        <v>0</v>
      </c>
      <c r="W920" s="167">
        <f>Transactions[[#This Row],[Amount]]*INDEX(TransTypes[],Transactions[[#This Row],[TTR]],TT_COL_AmntSign)</f>
        <v>-69177.66</v>
      </c>
      <c r="X920" s="167">
        <f>IF(INDEX(TransTypes[],Transactions[[#This Row],[TTR]],TT_COL_LONGORSHORT)="S",
      IF( OR(INDEX(TransTypes[],Transactions[[#This Row],[TTR]],TT_COL_GLFlag)=1, INDEX(TransTypes[], Transactions[[#This Row],[TTR]], TT_COL_ShareTransferFlag)=1),
            Transactions[[#This Row],[CostImpact]]*-1,
            Transactions[[#This Row],[CalCashImpact]]
      ),
     0
)</f>
        <v>0</v>
      </c>
      <c r="Y920" s="168" t="str">
        <f>VLOOKUP(Transactions[[#This Row],[Symbol]],Symbols[], COLUMN(Symbols[Currency])-COLUMN(Symbols[])+1,FALSE)</f>
        <v>CNY</v>
      </c>
    </row>
    <row r="921" spans="1:25">
      <c r="A921" s="155" t="s">
        <v>82</v>
      </c>
      <c r="B921" s="156">
        <v>42375</v>
      </c>
      <c r="C921" s="155" t="s">
        <v>113</v>
      </c>
      <c r="D921" s="155"/>
      <c r="E921" s="155" t="s">
        <v>644</v>
      </c>
      <c r="F921" s="157">
        <v>500</v>
      </c>
      <c r="G921" s="158">
        <v>54.99</v>
      </c>
      <c r="H921" s="157">
        <v>11</v>
      </c>
      <c r="I921" s="157"/>
      <c r="J921" s="159">
        <v>27506</v>
      </c>
      <c r="K921" s="6" t="s">
        <v>641</v>
      </c>
      <c r="L921" s="20">
        <f>IF(ISNA(MATCH(Transactions[[#This Row],[TransType]],TransTypes[TransType],0)),1,MATCH(Transactions[[#This Row],[TransType]],TransTypes[TransType],0))</f>
        <v>2</v>
      </c>
      <c r="M921" s="160">
        <f>IF( AND( INDEX(TransTypes[],Transactions[[#This Row],[TTR]],TT_COL_GLFlag)=1, INDEX(TransTypes[],Transactions[[#This Row],[TTR]],TT_COL_LONGORSHORT)="S" ),
      Transactions[[#This Row],[PL]],
      IF(INDEX(TransTypes[],Transactions[[#This Row],[TTR]],TT_COL_LONGORSHORT)="S",0,Transactions[[#This Row],[CalCashImpact]])
)</f>
        <v>-27506</v>
      </c>
      <c r="N921" s="161">
        <f>IF(VLOOKUP(Transactions[[#This Row],[Symbol]],Symbols[],COLUMN(Symbols[Currency])-COLUMN(Symbols[])+1,FALSE)=
       VLOOKUP(Transactions[[#This Row],[Account]],Accounts[],COLUMN(Accounts[Currency])-COLUMN(Accounts[])+1,FALSE),
     Transactions[[#This Row],[OrigCashImpact]],
     0
)</f>
        <v>-27506</v>
      </c>
      <c r="O9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-68305.110000000219</v>
      </c>
      <c r="P9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9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21" s="41">
        <f>ROW()</f>
        <v>921</v>
      </c>
      <c r="S9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27506</v>
      </c>
      <c r="T9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55739.695416666669</v>
      </c>
      <c r="U9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21" s="166">
        <f>IF(INDEX(TransTypes[],Transactions[[#This Row],[TTR]],TT_COL_GLFlag)=1,Transactions[[#This Row],[CalCashImpact]]+Transactions[[#This Row],[CostImpact]],0)</f>
        <v>0</v>
      </c>
      <c r="W921" s="167">
        <f>Transactions[[#This Row],[Amount]]*INDEX(TransTypes[],Transactions[[#This Row],[TTR]],TT_COL_AmntSign)</f>
        <v>-27506</v>
      </c>
      <c r="X921" s="167">
        <f>IF(INDEX(TransTypes[],Transactions[[#This Row],[TTR]],TT_COL_LONGORSHORT)="S",
      IF( OR(INDEX(TransTypes[],Transactions[[#This Row],[TTR]],TT_COL_GLFlag)=1, INDEX(TransTypes[], Transactions[[#This Row],[TTR]], TT_COL_ShareTransferFlag)=1),
            Transactions[[#This Row],[CostImpact]]*-1,
            Transactions[[#This Row],[CalCashImpact]]
      ),
     0
)</f>
        <v>0</v>
      </c>
      <c r="Y921" s="168" t="str">
        <f>VLOOKUP(Transactions[[#This Row],[Symbol]],Symbols[], COLUMN(Symbols[Currency])-COLUMN(Symbols[])+1,FALSE)</f>
        <v>CNY</v>
      </c>
    </row>
    <row r="922" spans="1:25">
      <c r="A922" s="155" t="s">
        <v>82</v>
      </c>
      <c r="B922" s="156">
        <v>42375</v>
      </c>
      <c r="C922" s="155" t="s">
        <v>113</v>
      </c>
      <c r="D922" s="155"/>
      <c r="E922" s="155" t="s">
        <v>649</v>
      </c>
      <c r="F922" s="157">
        <v>500</v>
      </c>
      <c r="G922" s="158">
        <v>49.84</v>
      </c>
      <c r="H922" s="157">
        <v>9.9700000000000006</v>
      </c>
      <c r="I922" s="157"/>
      <c r="J922" s="159">
        <v>24929.97</v>
      </c>
      <c r="K922" s="6" t="s">
        <v>641</v>
      </c>
      <c r="L922" s="20">
        <f>IF(ISNA(MATCH(Transactions[[#This Row],[TransType]],TransTypes[TransType],0)),1,MATCH(Transactions[[#This Row],[TransType]],TransTypes[TransType],0))</f>
        <v>2</v>
      </c>
      <c r="M922" s="160">
        <f>IF( AND( INDEX(TransTypes[],Transactions[[#This Row],[TTR]],TT_COL_GLFlag)=1, INDEX(TransTypes[],Transactions[[#This Row],[TTR]],TT_COL_LONGORSHORT)="S" ),
      Transactions[[#This Row],[PL]],
      IF(INDEX(TransTypes[],Transactions[[#This Row],[TTR]],TT_COL_LONGORSHORT)="S",0,Transactions[[#This Row],[CalCashImpact]])
)</f>
        <v>-24929.97</v>
      </c>
      <c r="N922" s="161">
        <f>IF(VLOOKUP(Transactions[[#This Row],[Symbol]],Symbols[],COLUMN(Symbols[Currency])-COLUMN(Symbols[])+1,FALSE)=
       VLOOKUP(Transactions[[#This Row],[Account]],Accounts[],COLUMN(Accounts[Currency])-COLUMN(Accounts[])+1,FALSE),
     Transactions[[#This Row],[OrigCashImpact]],
     0
)</f>
        <v>-24929.97</v>
      </c>
      <c r="O9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-93235.080000000191</v>
      </c>
      <c r="P9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9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22" s="41">
        <f>ROW()</f>
        <v>922</v>
      </c>
      <c r="S9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24929.97</v>
      </c>
      <c r="T9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47826.654000000002</v>
      </c>
      <c r="U9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22" s="166">
        <f>IF(INDEX(TransTypes[],Transactions[[#This Row],[TTR]],TT_COL_GLFlag)=1,Transactions[[#This Row],[CalCashImpact]]+Transactions[[#This Row],[CostImpact]],0)</f>
        <v>0</v>
      </c>
      <c r="W922" s="167">
        <f>Transactions[[#This Row],[Amount]]*INDEX(TransTypes[],Transactions[[#This Row],[TTR]],TT_COL_AmntSign)</f>
        <v>-24929.97</v>
      </c>
      <c r="X922" s="167">
        <f>IF(INDEX(TransTypes[],Transactions[[#This Row],[TTR]],TT_COL_LONGORSHORT)="S",
      IF( OR(INDEX(TransTypes[],Transactions[[#This Row],[TTR]],TT_COL_GLFlag)=1, INDEX(TransTypes[], Transactions[[#This Row],[TTR]], TT_COL_ShareTransferFlag)=1),
            Transactions[[#This Row],[CostImpact]]*-1,
            Transactions[[#This Row],[CalCashImpact]]
      ),
     0
)</f>
        <v>0</v>
      </c>
      <c r="Y922" s="168" t="str">
        <f>VLOOKUP(Transactions[[#This Row],[Symbol]],Symbols[], COLUMN(Symbols[Currency])-COLUMN(Symbols[])+1,FALSE)</f>
        <v>CNY</v>
      </c>
    </row>
    <row r="923" spans="1:25">
      <c r="A923" s="155" t="s">
        <v>82</v>
      </c>
      <c r="B923" s="156">
        <v>42375</v>
      </c>
      <c r="C923" s="155" t="s">
        <v>113</v>
      </c>
      <c r="D923" s="155"/>
      <c r="E923" s="155" t="s">
        <v>467</v>
      </c>
      <c r="F923" s="157">
        <v>1000</v>
      </c>
      <c r="G923" s="158">
        <v>44.42</v>
      </c>
      <c r="H923" s="157">
        <v>17.77</v>
      </c>
      <c r="I923" s="157"/>
      <c r="J923" s="159">
        <v>44437.77</v>
      </c>
      <c r="K923" s="6" t="s">
        <v>641</v>
      </c>
      <c r="L923" s="20">
        <f>IF(ISNA(MATCH(Transactions[[#This Row],[TransType]],TransTypes[TransType],0)),1,MATCH(Transactions[[#This Row],[TransType]],TransTypes[TransType],0))</f>
        <v>2</v>
      </c>
      <c r="M923" s="160">
        <f>IF( AND( INDEX(TransTypes[],Transactions[[#This Row],[TTR]],TT_COL_GLFlag)=1, INDEX(TransTypes[],Transactions[[#This Row],[TTR]],TT_COL_LONGORSHORT)="S" ),
      Transactions[[#This Row],[PL]],
      IF(INDEX(TransTypes[],Transactions[[#This Row],[TTR]],TT_COL_LONGORSHORT)="S",0,Transactions[[#This Row],[CalCashImpact]])
)</f>
        <v>-44437.77</v>
      </c>
      <c r="N923" s="161">
        <f>IF(VLOOKUP(Transactions[[#This Row],[Symbol]],Symbols[],COLUMN(Symbols[Currency])-COLUMN(Symbols[])+1,FALSE)=
       VLOOKUP(Transactions[[#This Row],[Account]],Accounts[],COLUMN(Accounts[Currency])-COLUMN(Accounts[])+1,FALSE),
     Transactions[[#This Row],[OrigCashImpact]],
     0
)</f>
        <v>-44437.77</v>
      </c>
      <c r="O9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-137672.85000000021</v>
      </c>
      <c r="P9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23" s="41">
        <f>ROW()</f>
        <v>923</v>
      </c>
      <c r="S9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44437.77</v>
      </c>
      <c r="T9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44437.77</v>
      </c>
      <c r="U9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23" s="166">
        <f>IF(INDEX(TransTypes[],Transactions[[#This Row],[TTR]],TT_COL_GLFlag)=1,Transactions[[#This Row],[CalCashImpact]]+Transactions[[#This Row],[CostImpact]],0)</f>
        <v>0</v>
      </c>
      <c r="W923" s="167">
        <f>Transactions[[#This Row],[Amount]]*INDEX(TransTypes[],Transactions[[#This Row],[TTR]],TT_COL_AmntSign)</f>
        <v>-44437.77</v>
      </c>
      <c r="X923" s="167">
        <f>IF(INDEX(TransTypes[],Transactions[[#This Row],[TTR]],TT_COL_LONGORSHORT)="S",
      IF( OR(INDEX(TransTypes[],Transactions[[#This Row],[TTR]],TT_COL_GLFlag)=1, INDEX(TransTypes[], Transactions[[#This Row],[TTR]], TT_COL_ShareTransferFlag)=1),
            Transactions[[#This Row],[CostImpact]]*-1,
            Transactions[[#This Row],[CalCashImpact]]
      ),
     0
)</f>
        <v>0</v>
      </c>
      <c r="Y923" s="168" t="str">
        <f>VLOOKUP(Transactions[[#This Row],[Symbol]],Symbols[], COLUMN(Symbols[Currency])-COLUMN(Symbols[])+1,FALSE)</f>
        <v>CNY</v>
      </c>
    </row>
    <row r="924" spans="1:25">
      <c r="A924" s="155" t="s">
        <v>82</v>
      </c>
      <c r="B924" s="156">
        <v>42375</v>
      </c>
      <c r="C924" s="155" t="s">
        <v>115</v>
      </c>
      <c r="D924" s="155"/>
      <c r="E924" s="155" t="s">
        <v>672</v>
      </c>
      <c r="F924" s="157">
        <v>240000</v>
      </c>
      <c r="G924" s="158">
        <v>0.95299999999999996</v>
      </c>
      <c r="H924" s="157">
        <v>91.49</v>
      </c>
      <c r="I924" s="157"/>
      <c r="J924" s="159">
        <v>228628.51</v>
      </c>
      <c r="K924" s="6" t="s">
        <v>641</v>
      </c>
      <c r="L924" s="20">
        <f>IF(ISNA(MATCH(Transactions[[#This Row],[TransType]],TransTypes[TransType],0)),1,MATCH(Transactions[[#This Row],[TransType]],TransTypes[TransType],0))</f>
        <v>3</v>
      </c>
      <c r="M924" s="160">
        <f>IF( AND( INDEX(TransTypes[],Transactions[[#This Row],[TTR]],TT_COL_GLFlag)=1, INDEX(TransTypes[],Transactions[[#This Row],[TTR]],TT_COL_LONGORSHORT)="S" ),
      Transactions[[#This Row],[PL]],
      IF(INDEX(TransTypes[],Transactions[[#This Row],[TTR]],TT_COL_LONGORSHORT)="S",0,Transactions[[#This Row],[CalCashImpact]])
)</f>
        <v>228628.51</v>
      </c>
      <c r="N924" s="161">
        <f>IF(VLOOKUP(Transactions[[#This Row],[Symbol]],Symbols[],COLUMN(Symbols[Currency])-COLUMN(Symbols[])+1,FALSE)=
       VLOOKUP(Transactions[[#This Row],[Account]],Accounts[],COLUMN(Accounts[Currency])-COLUMN(Accounts[])+1,FALSE),
     Transactions[[#This Row],[OrigCashImpact]],
     0
)</f>
        <v>228628.51</v>
      </c>
      <c r="O9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90955.6599999998</v>
      </c>
      <c r="P9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-240000</v>
      </c>
      <c r="Q9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924" s="41">
        <f>ROW()</f>
        <v>924</v>
      </c>
      <c r="S9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-227556.4418181818</v>
      </c>
      <c r="T9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189630.36818181819</v>
      </c>
      <c r="U9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440000</v>
      </c>
      <c r="V924" s="166">
        <f>IF(INDEX(TransTypes[],Transactions[[#This Row],[TTR]],TT_COL_GLFlag)=1,Transactions[[#This Row],[CalCashImpact]]+Transactions[[#This Row],[CostImpact]],0)</f>
        <v>1072.0681818182056</v>
      </c>
      <c r="W924" s="167">
        <f>Transactions[[#This Row],[Amount]]*INDEX(TransTypes[],Transactions[[#This Row],[TTR]],TT_COL_AmntSign)</f>
        <v>228628.51</v>
      </c>
      <c r="X924" s="167">
        <f>IF(INDEX(TransTypes[],Transactions[[#This Row],[TTR]],TT_COL_LONGORSHORT)="S",
      IF( OR(INDEX(TransTypes[],Transactions[[#This Row],[TTR]],TT_COL_GLFlag)=1, INDEX(TransTypes[], Transactions[[#This Row],[TTR]], TT_COL_ShareTransferFlag)=1),
            Transactions[[#This Row],[CostImpact]]*-1,
            Transactions[[#This Row],[CalCashImpact]]
      ),
     0
)</f>
        <v>0</v>
      </c>
      <c r="Y924" s="168" t="str">
        <f>VLOOKUP(Transactions[[#This Row],[Symbol]],Symbols[], COLUMN(Symbols[Currency])-COLUMN(Symbols[])+1,FALSE)</f>
        <v>CNY</v>
      </c>
    </row>
    <row r="925" spans="1:25">
      <c r="A925" s="155" t="s">
        <v>82</v>
      </c>
      <c r="B925" s="156">
        <v>42375</v>
      </c>
      <c r="C925" s="155" t="s">
        <v>115</v>
      </c>
      <c r="D925" s="155"/>
      <c r="E925" s="155" t="s">
        <v>661</v>
      </c>
      <c r="F925" s="157">
        <v>500000</v>
      </c>
      <c r="G925" s="158">
        <v>0.96</v>
      </c>
      <c r="H925" s="157">
        <v>192</v>
      </c>
      <c r="I925" s="157"/>
      <c r="J925" s="159">
        <v>479808</v>
      </c>
      <c r="K925" s="6" t="s">
        <v>641</v>
      </c>
      <c r="L925" s="20">
        <f>IF(ISNA(MATCH(Transactions[[#This Row],[TransType]],TransTypes[TransType],0)),1,MATCH(Transactions[[#This Row],[TransType]],TransTypes[TransType],0))</f>
        <v>3</v>
      </c>
      <c r="M925" s="160">
        <f>IF( AND( INDEX(TransTypes[],Transactions[[#This Row],[TTR]],TT_COL_GLFlag)=1, INDEX(TransTypes[],Transactions[[#This Row],[TTR]],TT_COL_LONGORSHORT)="S" ),
      Transactions[[#This Row],[PL]],
      IF(INDEX(TransTypes[],Transactions[[#This Row],[TTR]],TT_COL_LONGORSHORT)="S",0,Transactions[[#This Row],[CalCashImpact]])
)</f>
        <v>479808</v>
      </c>
      <c r="N925" s="161">
        <f>IF(VLOOKUP(Transactions[[#This Row],[Symbol]],Symbols[],COLUMN(Symbols[Currency])-COLUMN(Symbols[])+1,FALSE)=
       VLOOKUP(Transactions[[#This Row],[Account]],Accounts[],COLUMN(Accounts[Currency])-COLUMN(Accounts[])+1,FALSE),
     Transactions[[#This Row],[OrigCashImpact]],
     0
)</f>
        <v>479808</v>
      </c>
      <c r="O9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570763.6599999998</v>
      </c>
      <c r="P9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-500000</v>
      </c>
      <c r="Q9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400000</v>
      </c>
      <c r="R925" s="41">
        <f>ROW()</f>
        <v>925</v>
      </c>
      <c r="S9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-473911.73888888885</v>
      </c>
      <c r="T9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379129.39111111115</v>
      </c>
      <c r="U9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900000</v>
      </c>
      <c r="V925" s="166">
        <f>IF(INDEX(TransTypes[],Transactions[[#This Row],[TTR]],TT_COL_GLFlag)=1,Transactions[[#This Row],[CalCashImpact]]+Transactions[[#This Row],[CostImpact]],0)</f>
        <v>5896.2611111111473</v>
      </c>
      <c r="W925" s="167">
        <f>Transactions[[#This Row],[Amount]]*INDEX(TransTypes[],Transactions[[#This Row],[TTR]],TT_COL_AmntSign)</f>
        <v>479808</v>
      </c>
      <c r="X925" s="167">
        <f>IF(INDEX(TransTypes[],Transactions[[#This Row],[TTR]],TT_COL_LONGORSHORT)="S",
      IF( OR(INDEX(TransTypes[],Transactions[[#This Row],[TTR]],TT_COL_GLFlag)=1, INDEX(TransTypes[], Transactions[[#This Row],[TTR]], TT_COL_ShareTransferFlag)=1),
            Transactions[[#This Row],[CostImpact]]*-1,
            Transactions[[#This Row],[CalCashImpact]]
      ),
     0
)</f>
        <v>0</v>
      </c>
      <c r="Y925" s="168" t="str">
        <f>VLOOKUP(Transactions[[#This Row],[Symbol]],Symbols[], COLUMN(Symbols[Currency])-COLUMN(Symbols[])+1,FALSE)</f>
        <v>CNY</v>
      </c>
    </row>
    <row r="926" spans="1:25">
      <c r="A926" s="155" t="s">
        <v>82</v>
      </c>
      <c r="B926" s="156">
        <v>42375</v>
      </c>
      <c r="C926" s="155" t="s">
        <v>113</v>
      </c>
      <c r="D926" s="155"/>
      <c r="E926" s="155" t="s">
        <v>665</v>
      </c>
      <c r="F926" s="157">
        <v>50000</v>
      </c>
      <c r="G926" s="158">
        <v>0.95499999999999996</v>
      </c>
      <c r="H926" s="157">
        <v>19.100000000000001</v>
      </c>
      <c r="I926" s="157"/>
      <c r="J926" s="159">
        <v>47769.1</v>
      </c>
      <c r="K926" s="6" t="s">
        <v>641</v>
      </c>
      <c r="L926" s="20">
        <f>IF(ISNA(MATCH(Transactions[[#This Row],[TransType]],TransTypes[TransType],0)),1,MATCH(Transactions[[#This Row],[TransType]],TransTypes[TransType],0))</f>
        <v>2</v>
      </c>
      <c r="M926" s="160">
        <f>IF( AND( INDEX(TransTypes[],Transactions[[#This Row],[TTR]],TT_COL_GLFlag)=1, INDEX(TransTypes[],Transactions[[#This Row],[TTR]],TT_COL_LONGORSHORT)="S" ),
      Transactions[[#This Row],[PL]],
      IF(INDEX(TransTypes[],Transactions[[#This Row],[TTR]],TT_COL_LONGORSHORT)="S",0,Transactions[[#This Row],[CalCashImpact]])
)</f>
        <v>-47769.1</v>
      </c>
      <c r="N926" s="161">
        <f>IF(VLOOKUP(Transactions[[#This Row],[Symbol]],Symbols[],COLUMN(Symbols[Currency])-COLUMN(Symbols[])+1,FALSE)=
       VLOOKUP(Transactions[[#This Row],[Account]],Accounts[],COLUMN(Accounts[Currency])-COLUMN(Accounts[])+1,FALSE),
     Transactions[[#This Row],[OrigCashImpact]],
     0
)</f>
        <v>-47769.1</v>
      </c>
      <c r="O9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522994.55999999982</v>
      </c>
      <c r="P9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9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570000</v>
      </c>
      <c r="R926" s="41">
        <f>ROW()</f>
        <v>926</v>
      </c>
      <c r="S9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47769.1</v>
      </c>
      <c r="T9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567025.5</v>
      </c>
      <c r="U9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570000</v>
      </c>
      <c r="V926" s="166">
        <f>IF(INDEX(TransTypes[],Transactions[[#This Row],[TTR]],TT_COL_GLFlag)=1,Transactions[[#This Row],[CalCashImpact]]+Transactions[[#This Row],[CostImpact]],0)</f>
        <v>0</v>
      </c>
      <c r="W926" s="167">
        <f>Transactions[[#This Row],[Amount]]*INDEX(TransTypes[],Transactions[[#This Row],[TTR]],TT_COL_AmntSign)</f>
        <v>-47769.1</v>
      </c>
      <c r="X926" s="167">
        <f>IF(INDEX(TransTypes[],Transactions[[#This Row],[TTR]],TT_COL_LONGORSHORT)="S",
      IF( OR(INDEX(TransTypes[],Transactions[[#This Row],[TTR]],TT_COL_GLFlag)=1, INDEX(TransTypes[], Transactions[[#This Row],[TTR]], TT_COL_ShareTransferFlag)=1),
            Transactions[[#This Row],[CostImpact]]*-1,
            Transactions[[#This Row],[CalCashImpact]]
      ),
     0
)</f>
        <v>0</v>
      </c>
      <c r="Y926" s="168" t="str">
        <f>VLOOKUP(Transactions[[#This Row],[Symbol]],Symbols[], COLUMN(Symbols[Currency])-COLUMN(Symbols[])+1,FALSE)</f>
        <v>CNY</v>
      </c>
    </row>
    <row r="927" spans="1:25">
      <c r="A927" s="155" t="s">
        <v>82</v>
      </c>
      <c r="B927" s="156">
        <v>42375</v>
      </c>
      <c r="C927" s="155" t="s">
        <v>113</v>
      </c>
      <c r="D927" s="155"/>
      <c r="E927" s="155" t="s">
        <v>498</v>
      </c>
      <c r="F927" s="157">
        <v>7600</v>
      </c>
      <c r="G927" s="158">
        <v>100.152</v>
      </c>
      <c r="H927" s="157">
        <v>0</v>
      </c>
      <c r="I927" s="157"/>
      <c r="J927" s="159">
        <v>761155.2</v>
      </c>
      <c r="K927" s="6" t="s">
        <v>641</v>
      </c>
      <c r="L927" s="20">
        <f>IF(ISNA(MATCH(Transactions[[#This Row],[TransType]],TransTypes[TransType],0)),1,MATCH(Transactions[[#This Row],[TransType]],TransTypes[TransType],0))</f>
        <v>2</v>
      </c>
      <c r="M927" s="160">
        <f>IF( AND( INDEX(TransTypes[],Transactions[[#This Row],[TTR]],TT_COL_GLFlag)=1, INDEX(TransTypes[],Transactions[[#This Row],[TTR]],TT_COL_LONGORSHORT)="S" ),
      Transactions[[#This Row],[PL]],
      IF(INDEX(TransTypes[],Transactions[[#This Row],[TTR]],TT_COL_LONGORSHORT)="S",0,Transactions[[#This Row],[CalCashImpact]])
)</f>
        <v>-761155.2</v>
      </c>
      <c r="N927" s="161">
        <f>IF(VLOOKUP(Transactions[[#This Row],[Symbol]],Symbols[],COLUMN(Symbols[Currency])-COLUMN(Symbols[])+1,FALSE)=
       VLOOKUP(Transactions[[#This Row],[Account]],Accounts[],COLUMN(Accounts[Currency])-COLUMN(Accounts[])+1,FALSE),
     Transactions[[#This Row],[OrigCashImpact]],
     0
)</f>
        <v>-761155.2</v>
      </c>
      <c r="O9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-238160.64000000013</v>
      </c>
      <c r="P9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7600</v>
      </c>
      <c r="Q9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7600</v>
      </c>
      <c r="R927" s="41">
        <f>ROW()</f>
        <v>927</v>
      </c>
      <c r="S9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761155.2</v>
      </c>
      <c r="T9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761155.2</v>
      </c>
      <c r="U9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7600</v>
      </c>
      <c r="V927" s="166">
        <f>IF(INDEX(TransTypes[],Transactions[[#This Row],[TTR]],TT_COL_GLFlag)=1,Transactions[[#This Row],[CalCashImpact]]+Transactions[[#This Row],[CostImpact]],0)</f>
        <v>0</v>
      </c>
      <c r="W927" s="167">
        <f>Transactions[[#This Row],[Amount]]*INDEX(TransTypes[],Transactions[[#This Row],[TTR]],TT_COL_AmntSign)</f>
        <v>-761155.2</v>
      </c>
      <c r="X927" s="167">
        <f>IF(INDEX(TransTypes[],Transactions[[#This Row],[TTR]],TT_COL_LONGORSHORT)="S",
      IF( OR(INDEX(TransTypes[],Transactions[[#This Row],[TTR]],TT_COL_GLFlag)=1, INDEX(TransTypes[], Transactions[[#This Row],[TTR]], TT_COL_ShareTransferFlag)=1),
            Transactions[[#This Row],[CostImpact]]*-1,
            Transactions[[#This Row],[CalCashImpact]]
      ),
     0
)</f>
        <v>0</v>
      </c>
      <c r="Y927" s="168" t="str">
        <f>VLOOKUP(Transactions[[#This Row],[Symbol]],Symbols[], COLUMN(Symbols[Currency])-COLUMN(Symbols[])+1,FALSE)</f>
        <v>CNY</v>
      </c>
    </row>
    <row r="928" spans="1:25">
      <c r="A928" s="155" t="s">
        <v>82</v>
      </c>
      <c r="B928" s="156">
        <v>42375</v>
      </c>
      <c r="C928" s="155" t="s">
        <v>115</v>
      </c>
      <c r="D928" s="155"/>
      <c r="E928" s="155" t="s">
        <v>498</v>
      </c>
      <c r="F928" s="157">
        <v>3600</v>
      </c>
      <c r="G928" s="158">
        <v>100.154</v>
      </c>
      <c r="H928" s="157">
        <v>0</v>
      </c>
      <c r="I928" s="157"/>
      <c r="J928" s="159">
        <v>360554.4</v>
      </c>
      <c r="K928" s="6" t="s">
        <v>641</v>
      </c>
      <c r="L928" s="20">
        <f>IF(ISNA(MATCH(Transactions[[#This Row],[TransType]],TransTypes[TransType],0)),1,MATCH(Transactions[[#This Row],[TransType]],TransTypes[TransType],0))</f>
        <v>3</v>
      </c>
      <c r="M928" s="160">
        <f>IF( AND( INDEX(TransTypes[],Transactions[[#This Row],[TTR]],TT_COL_GLFlag)=1, INDEX(TransTypes[],Transactions[[#This Row],[TTR]],TT_COL_LONGORSHORT)="S" ),
      Transactions[[#This Row],[PL]],
      IF(INDEX(TransTypes[],Transactions[[#This Row],[TTR]],TT_COL_LONGORSHORT)="S",0,Transactions[[#This Row],[CalCashImpact]])
)</f>
        <v>360554.4</v>
      </c>
      <c r="N928" s="161">
        <f>IF(VLOOKUP(Transactions[[#This Row],[Symbol]],Symbols[],COLUMN(Symbols[Currency])-COLUMN(Symbols[])+1,FALSE)=
       VLOOKUP(Transactions[[#This Row],[Account]],Accounts[],COLUMN(Accounts[Currency])-COLUMN(Accounts[])+1,FALSE),
     Transactions[[#This Row],[OrigCashImpact]],
     0
)</f>
        <v>360554.4</v>
      </c>
      <c r="O9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122393.75999999989</v>
      </c>
      <c r="P9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-3600</v>
      </c>
      <c r="Q9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928" s="41">
        <f>ROW()</f>
        <v>928</v>
      </c>
      <c r="S9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-360547.19999999995</v>
      </c>
      <c r="T9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400608</v>
      </c>
      <c r="U9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7600</v>
      </c>
      <c r="V928" s="166">
        <f>IF(INDEX(TransTypes[],Transactions[[#This Row],[TTR]],TT_COL_GLFlag)=1,Transactions[[#This Row],[CalCashImpact]]+Transactions[[#This Row],[CostImpact]],0)</f>
        <v>7.2000000000698492</v>
      </c>
      <c r="W928" s="167">
        <f>Transactions[[#This Row],[Amount]]*INDEX(TransTypes[],Transactions[[#This Row],[TTR]],TT_COL_AmntSign)</f>
        <v>360554.4</v>
      </c>
      <c r="X928" s="167">
        <f>IF(INDEX(TransTypes[],Transactions[[#This Row],[TTR]],TT_COL_LONGORSHORT)="S",
      IF( OR(INDEX(TransTypes[],Transactions[[#This Row],[TTR]],TT_COL_GLFlag)=1, INDEX(TransTypes[], Transactions[[#This Row],[TTR]], TT_COL_ShareTransferFlag)=1),
            Transactions[[#This Row],[CostImpact]]*-1,
            Transactions[[#This Row],[CalCashImpact]]
      ),
     0
)</f>
        <v>0</v>
      </c>
      <c r="Y928" s="168" t="str">
        <f>VLOOKUP(Transactions[[#This Row],[Symbol]],Symbols[], COLUMN(Symbols[Currency])-COLUMN(Symbols[])+1,FALSE)</f>
        <v>CNY</v>
      </c>
    </row>
    <row r="929" spans="1:25">
      <c r="A929" s="155" t="s">
        <v>82</v>
      </c>
      <c r="B929" s="156">
        <v>42375</v>
      </c>
      <c r="C929" s="155" t="s">
        <v>113</v>
      </c>
      <c r="D929" s="155"/>
      <c r="E929" s="155" t="s">
        <v>665</v>
      </c>
      <c r="F929" s="157">
        <v>50000</v>
      </c>
      <c r="G929" s="158">
        <v>0.95799999999999996</v>
      </c>
      <c r="H929" s="157">
        <v>19.16</v>
      </c>
      <c r="I929" s="157"/>
      <c r="J929" s="159">
        <v>47919.16</v>
      </c>
      <c r="K929" s="6" t="s">
        <v>641</v>
      </c>
      <c r="L929" s="20">
        <f>IF(ISNA(MATCH(Transactions[[#This Row],[TransType]],TransTypes[TransType],0)),1,MATCH(Transactions[[#This Row],[TransType]],TransTypes[TransType],0))</f>
        <v>2</v>
      </c>
      <c r="M929" s="160">
        <f>IF( AND( INDEX(TransTypes[],Transactions[[#This Row],[TTR]],TT_COL_GLFlag)=1, INDEX(TransTypes[],Transactions[[#This Row],[TTR]],TT_COL_LONGORSHORT)="S" ),
      Transactions[[#This Row],[PL]],
      IF(INDEX(TransTypes[],Transactions[[#This Row],[TTR]],TT_COL_LONGORSHORT)="S",0,Transactions[[#This Row],[CalCashImpact]])
)</f>
        <v>-47919.16</v>
      </c>
      <c r="N929" s="161">
        <f>IF(VLOOKUP(Transactions[[#This Row],[Symbol]],Symbols[],COLUMN(Symbols[Currency])-COLUMN(Symbols[])+1,FALSE)=
       VLOOKUP(Transactions[[#This Row],[Account]],Accounts[],COLUMN(Accounts[Currency])-COLUMN(Accounts[])+1,FALSE),
     Transactions[[#This Row],[OrigCashImpact]],
     0
)</f>
        <v>-47919.16</v>
      </c>
      <c r="O9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74474.599999999889</v>
      </c>
      <c r="P9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9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620000</v>
      </c>
      <c r="R929" s="41">
        <f>ROW()</f>
        <v>929</v>
      </c>
      <c r="S9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47919.16</v>
      </c>
      <c r="T9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614944.66</v>
      </c>
      <c r="U9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620000</v>
      </c>
      <c r="V929" s="166">
        <f>IF(INDEX(TransTypes[],Transactions[[#This Row],[TTR]],TT_COL_GLFlag)=1,Transactions[[#This Row],[CalCashImpact]]+Transactions[[#This Row],[CostImpact]],0)</f>
        <v>0</v>
      </c>
      <c r="W929" s="167">
        <f>Transactions[[#This Row],[Amount]]*INDEX(TransTypes[],Transactions[[#This Row],[TTR]],TT_COL_AmntSign)</f>
        <v>-47919.16</v>
      </c>
      <c r="X929" s="167">
        <f>IF(INDEX(TransTypes[],Transactions[[#This Row],[TTR]],TT_COL_LONGORSHORT)="S",
      IF( OR(INDEX(TransTypes[],Transactions[[#This Row],[TTR]],TT_COL_GLFlag)=1, INDEX(TransTypes[], Transactions[[#This Row],[TTR]], TT_COL_ShareTransferFlag)=1),
            Transactions[[#This Row],[CostImpact]]*-1,
            Transactions[[#This Row],[CalCashImpact]]
      ),
     0
)</f>
        <v>0</v>
      </c>
      <c r="Y929" s="168" t="str">
        <f>VLOOKUP(Transactions[[#This Row],[Symbol]],Symbols[], COLUMN(Symbols[Currency])-COLUMN(Symbols[])+1,FALSE)</f>
        <v>CNY</v>
      </c>
    </row>
    <row r="930" spans="1:25">
      <c r="A930" s="155" t="s">
        <v>82</v>
      </c>
      <c r="B930" s="156">
        <v>42375</v>
      </c>
      <c r="C930" s="155" t="s">
        <v>115</v>
      </c>
      <c r="D930" s="155"/>
      <c r="E930" s="155" t="s">
        <v>671</v>
      </c>
      <c r="F930" s="157">
        <v>185200</v>
      </c>
      <c r="G930" s="158">
        <v>0.96199999999999997</v>
      </c>
      <c r="H930" s="157">
        <v>71.260000000000005</v>
      </c>
      <c r="I930" s="157"/>
      <c r="J930" s="159">
        <v>178091.14</v>
      </c>
      <c r="K930" s="6" t="s">
        <v>641</v>
      </c>
      <c r="L930" s="20">
        <f>IF(ISNA(MATCH(Transactions[[#This Row],[TransType]],TransTypes[TransType],0)),1,MATCH(Transactions[[#This Row],[TransType]],TransTypes[TransType],0))</f>
        <v>3</v>
      </c>
      <c r="M930" s="160">
        <f>IF( AND( INDEX(TransTypes[],Transactions[[#This Row],[TTR]],TT_COL_GLFlag)=1, INDEX(TransTypes[],Transactions[[#This Row],[TTR]],TT_COL_LONGORSHORT)="S" ),
      Transactions[[#This Row],[PL]],
      IF(INDEX(TransTypes[],Transactions[[#This Row],[TTR]],TT_COL_LONGORSHORT)="S",0,Transactions[[#This Row],[CalCashImpact]])
)</f>
        <v>178091.14</v>
      </c>
      <c r="N930" s="161">
        <f>IF(VLOOKUP(Transactions[[#This Row],[Symbol]],Symbols[],COLUMN(Symbols[Currency])-COLUMN(Symbols[])+1,FALSE)=
       VLOOKUP(Transactions[[#This Row],[Account]],Accounts[],COLUMN(Accounts[Currency])-COLUMN(Accounts[])+1,FALSE),
     Transactions[[#This Row],[OrigCashImpact]],
     0
)</f>
        <v>178091.14</v>
      </c>
      <c r="O9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252565.7399999999</v>
      </c>
      <c r="P9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-185200</v>
      </c>
      <c r="Q9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30" s="41">
        <f>ROW()</f>
        <v>930</v>
      </c>
      <c r="S9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-174713.46</v>
      </c>
      <c r="T9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185200</v>
      </c>
      <c r="V930" s="166">
        <f>IF(INDEX(TransTypes[],Transactions[[#This Row],[TTR]],TT_COL_GLFlag)=1,Transactions[[#This Row],[CalCashImpact]]+Transactions[[#This Row],[CostImpact]],0)</f>
        <v>3377.6800000000221</v>
      </c>
      <c r="W930" s="167">
        <f>Transactions[[#This Row],[Amount]]*INDEX(TransTypes[],Transactions[[#This Row],[TTR]],TT_COL_AmntSign)</f>
        <v>178091.14</v>
      </c>
      <c r="X930" s="167">
        <f>IF(INDEX(TransTypes[],Transactions[[#This Row],[TTR]],TT_COL_LONGORSHORT)="S",
      IF( OR(INDEX(TransTypes[],Transactions[[#This Row],[TTR]],TT_COL_GLFlag)=1, INDEX(TransTypes[], Transactions[[#This Row],[TTR]], TT_COL_ShareTransferFlag)=1),
            Transactions[[#This Row],[CostImpact]]*-1,
            Transactions[[#This Row],[CalCashImpact]]
      ),
     0
)</f>
        <v>0</v>
      </c>
      <c r="Y930" s="168" t="str">
        <f>VLOOKUP(Transactions[[#This Row],[Symbol]],Symbols[], COLUMN(Symbols[Currency])-COLUMN(Symbols[])+1,FALSE)</f>
        <v>CNY</v>
      </c>
    </row>
    <row r="931" spans="1:25">
      <c r="A931" s="155" t="s">
        <v>82</v>
      </c>
      <c r="B931" s="156">
        <v>42376</v>
      </c>
      <c r="C931" s="155" t="s">
        <v>115</v>
      </c>
      <c r="D931" s="155"/>
      <c r="E931" s="155" t="s">
        <v>673</v>
      </c>
      <c r="F931" s="157">
        <v>370919</v>
      </c>
      <c r="G931" s="158">
        <v>0.79200000539201199</v>
      </c>
      <c r="H931" s="157">
        <v>117.51</v>
      </c>
      <c r="I931" s="157"/>
      <c r="J931" s="159">
        <v>293650.34000000003</v>
      </c>
      <c r="K931" s="6" t="s">
        <v>641</v>
      </c>
      <c r="L931" s="20">
        <f>IF(ISNA(MATCH(Transactions[[#This Row],[TransType]],TransTypes[TransType],0)),1,MATCH(Transactions[[#This Row],[TransType]],TransTypes[TransType],0))</f>
        <v>3</v>
      </c>
      <c r="M931" s="160">
        <f>IF( AND( INDEX(TransTypes[],Transactions[[#This Row],[TTR]],TT_COL_GLFlag)=1, INDEX(TransTypes[],Transactions[[#This Row],[TTR]],TT_COL_LONGORSHORT)="S" ),
      Transactions[[#This Row],[PL]],
      IF(INDEX(TransTypes[],Transactions[[#This Row],[TTR]],TT_COL_LONGORSHORT)="S",0,Transactions[[#This Row],[CalCashImpact]])
)</f>
        <v>293650.34000000003</v>
      </c>
      <c r="N931" s="161">
        <f>IF(VLOOKUP(Transactions[[#This Row],[Symbol]],Symbols[],COLUMN(Symbols[Currency])-COLUMN(Symbols[])+1,FALSE)=
       VLOOKUP(Transactions[[#This Row],[Account]],Accounts[],COLUMN(Accounts[Currency])-COLUMN(Accounts[])+1,FALSE),
     Transactions[[#This Row],[OrigCashImpact]],
     0
)</f>
        <v>293650.34000000003</v>
      </c>
      <c r="O9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546216.07999999996</v>
      </c>
      <c r="P9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-370919</v>
      </c>
      <c r="Q9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31" s="41">
        <f>ROW()</f>
        <v>931</v>
      </c>
      <c r="S9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-299999.28999999998</v>
      </c>
      <c r="T9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370919</v>
      </c>
      <c r="V931" s="166">
        <f>IF(INDEX(TransTypes[],Transactions[[#This Row],[TTR]],TT_COL_GLFlag)=1,Transactions[[#This Row],[CalCashImpact]]+Transactions[[#This Row],[CostImpact]],0)</f>
        <v>-6348.9499999999534</v>
      </c>
      <c r="W931" s="167">
        <f>Transactions[[#This Row],[Amount]]*INDEX(TransTypes[],Transactions[[#This Row],[TTR]],TT_COL_AmntSign)</f>
        <v>293650.34000000003</v>
      </c>
      <c r="X931" s="167">
        <f>IF(INDEX(TransTypes[],Transactions[[#This Row],[TTR]],TT_COL_LONGORSHORT)="S",
      IF( OR(INDEX(TransTypes[],Transactions[[#This Row],[TTR]],TT_COL_GLFlag)=1, INDEX(TransTypes[], Transactions[[#This Row],[TTR]], TT_COL_ShareTransferFlag)=1),
            Transactions[[#This Row],[CostImpact]]*-1,
            Transactions[[#This Row],[CalCashImpact]]
      ),
     0
)</f>
        <v>0</v>
      </c>
      <c r="Y931" s="168" t="str">
        <f>VLOOKUP(Transactions[[#This Row],[Symbol]],Symbols[], COLUMN(Symbols[Currency])-COLUMN(Symbols[])+1,FALSE)</f>
        <v>CNY</v>
      </c>
    </row>
    <row r="932" spans="1:25">
      <c r="A932" s="155" t="s">
        <v>82</v>
      </c>
      <c r="B932" s="156">
        <v>42377</v>
      </c>
      <c r="C932" s="155" t="s">
        <v>113</v>
      </c>
      <c r="D932" s="155"/>
      <c r="E932" s="155" t="s">
        <v>644</v>
      </c>
      <c r="F932" s="157">
        <v>1000</v>
      </c>
      <c r="G932" s="158">
        <v>52.16</v>
      </c>
      <c r="H932" s="157">
        <v>20.86</v>
      </c>
      <c r="I932" s="157"/>
      <c r="J932" s="159">
        <v>52180.86</v>
      </c>
      <c r="K932" s="6" t="s">
        <v>641</v>
      </c>
      <c r="L932" s="20">
        <f>IF(ISNA(MATCH(Transactions[[#This Row],[TransType]],TransTypes[TransType],0)),1,MATCH(Transactions[[#This Row],[TransType]],TransTypes[TransType],0))</f>
        <v>2</v>
      </c>
      <c r="M932" s="160">
        <f>IF( AND( INDEX(TransTypes[],Transactions[[#This Row],[TTR]],TT_COL_GLFlag)=1, INDEX(TransTypes[],Transactions[[#This Row],[TTR]],TT_COL_LONGORSHORT)="S" ),
      Transactions[[#This Row],[PL]],
      IF(INDEX(TransTypes[],Transactions[[#This Row],[TTR]],TT_COL_LONGORSHORT)="S",0,Transactions[[#This Row],[CalCashImpact]])
)</f>
        <v>-52180.86</v>
      </c>
      <c r="N932" s="161">
        <f>IF(VLOOKUP(Transactions[[#This Row],[Symbol]],Symbols[],COLUMN(Symbols[Currency])-COLUMN(Symbols[])+1,FALSE)=
       VLOOKUP(Transactions[[#This Row],[Account]],Accounts[],COLUMN(Accounts[Currency])-COLUMN(Accounts[])+1,FALSE),
     Transactions[[#This Row],[OrigCashImpact]],
     0
)</f>
        <v>-52180.86</v>
      </c>
      <c r="O9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494035.22</v>
      </c>
      <c r="P9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932" s="41">
        <f>ROW()</f>
        <v>932</v>
      </c>
      <c r="S9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52180.86</v>
      </c>
      <c r="T9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107920.55541666667</v>
      </c>
      <c r="U9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32" s="166">
        <f>IF(INDEX(TransTypes[],Transactions[[#This Row],[TTR]],TT_COL_GLFlag)=1,Transactions[[#This Row],[CalCashImpact]]+Transactions[[#This Row],[CostImpact]],0)</f>
        <v>0</v>
      </c>
      <c r="W932" s="167">
        <f>Transactions[[#This Row],[Amount]]*INDEX(TransTypes[],Transactions[[#This Row],[TTR]],TT_COL_AmntSign)</f>
        <v>-52180.86</v>
      </c>
      <c r="X932" s="167">
        <f>IF(INDEX(TransTypes[],Transactions[[#This Row],[TTR]],TT_COL_LONGORSHORT)="S",
      IF( OR(INDEX(TransTypes[],Transactions[[#This Row],[TTR]],TT_COL_GLFlag)=1, INDEX(TransTypes[], Transactions[[#This Row],[TTR]], TT_COL_ShareTransferFlag)=1),
            Transactions[[#This Row],[CostImpact]]*-1,
            Transactions[[#This Row],[CalCashImpact]]
      ),
     0
)</f>
        <v>0</v>
      </c>
      <c r="Y932" s="168" t="str">
        <f>VLOOKUP(Transactions[[#This Row],[Symbol]],Symbols[], COLUMN(Symbols[Currency])-COLUMN(Symbols[])+1,FALSE)</f>
        <v>CNY</v>
      </c>
    </row>
    <row r="933" spans="1:25">
      <c r="A933" s="155" t="s">
        <v>82</v>
      </c>
      <c r="B933" s="156">
        <v>42377</v>
      </c>
      <c r="C933" s="155" t="s">
        <v>113</v>
      </c>
      <c r="D933" s="155"/>
      <c r="E933" s="155" t="s">
        <v>642</v>
      </c>
      <c r="F933" s="157">
        <v>2000</v>
      </c>
      <c r="G933" s="158">
        <v>27.88</v>
      </c>
      <c r="H933" s="157">
        <v>22.3</v>
      </c>
      <c r="I933" s="157"/>
      <c r="J933" s="159">
        <v>55782.3</v>
      </c>
      <c r="K933" s="6" t="s">
        <v>641</v>
      </c>
      <c r="L933" s="20">
        <f>IF(ISNA(MATCH(Transactions[[#This Row],[TransType]],TransTypes[TransType],0)),1,MATCH(Transactions[[#This Row],[TransType]],TransTypes[TransType],0))</f>
        <v>2</v>
      </c>
      <c r="M933" s="160">
        <f>IF( AND( INDEX(TransTypes[],Transactions[[#This Row],[TTR]],TT_COL_GLFlag)=1, INDEX(TransTypes[],Transactions[[#This Row],[TTR]],TT_COL_LONGORSHORT)="S" ),
      Transactions[[#This Row],[PL]],
      IF(INDEX(TransTypes[],Transactions[[#This Row],[TTR]],TT_COL_LONGORSHORT)="S",0,Transactions[[#This Row],[CalCashImpact]])
)</f>
        <v>-55782.3</v>
      </c>
      <c r="N933" s="161">
        <f>IF(VLOOKUP(Transactions[[#This Row],[Symbol]],Symbols[],COLUMN(Symbols[Currency])-COLUMN(Symbols[])+1,FALSE)=
       VLOOKUP(Transactions[[#This Row],[Account]],Accounts[],COLUMN(Accounts[Currency])-COLUMN(Accounts[])+1,FALSE),
     Transactions[[#This Row],[OrigCashImpact]],
     0
)</f>
        <v>-55782.3</v>
      </c>
      <c r="O9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438252.91999999993</v>
      </c>
      <c r="P9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9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933" s="41">
        <f>ROW()</f>
        <v>933</v>
      </c>
      <c r="S9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55782.3</v>
      </c>
      <c r="T9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81231.21875</v>
      </c>
      <c r="U9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933" s="166">
        <f>IF(INDEX(TransTypes[],Transactions[[#This Row],[TTR]],TT_COL_GLFlag)=1,Transactions[[#This Row],[CalCashImpact]]+Transactions[[#This Row],[CostImpact]],0)</f>
        <v>0</v>
      </c>
      <c r="W933" s="167">
        <f>Transactions[[#This Row],[Amount]]*INDEX(TransTypes[],Transactions[[#This Row],[TTR]],TT_COL_AmntSign)</f>
        <v>-55782.3</v>
      </c>
      <c r="X933" s="167">
        <f>IF(INDEX(TransTypes[],Transactions[[#This Row],[TTR]],TT_COL_LONGORSHORT)="S",
      IF( OR(INDEX(TransTypes[],Transactions[[#This Row],[TTR]],TT_COL_GLFlag)=1, INDEX(TransTypes[], Transactions[[#This Row],[TTR]], TT_COL_ShareTransferFlag)=1),
            Transactions[[#This Row],[CostImpact]]*-1,
            Transactions[[#This Row],[CalCashImpact]]
      ),
     0
)</f>
        <v>0</v>
      </c>
      <c r="Y933" s="168" t="str">
        <f>VLOOKUP(Transactions[[#This Row],[Symbol]],Symbols[], COLUMN(Symbols[Currency])-COLUMN(Symbols[])+1,FALSE)</f>
        <v>CNY</v>
      </c>
    </row>
    <row r="934" spans="1:25">
      <c r="A934" s="155" t="s">
        <v>82</v>
      </c>
      <c r="B934" s="156">
        <v>42377</v>
      </c>
      <c r="C934" s="155" t="s">
        <v>113</v>
      </c>
      <c r="D934" s="155"/>
      <c r="E934" s="155" t="s">
        <v>647</v>
      </c>
      <c r="F934" s="157">
        <v>3000</v>
      </c>
      <c r="G934" s="158">
        <v>32.796999999999997</v>
      </c>
      <c r="H934" s="157">
        <v>39.36</v>
      </c>
      <c r="I934" s="157"/>
      <c r="J934" s="159">
        <v>98430.36</v>
      </c>
      <c r="K934" s="6" t="s">
        <v>641</v>
      </c>
      <c r="L934" s="20">
        <f>IF(ISNA(MATCH(Transactions[[#This Row],[TransType]],TransTypes[TransType],0)),1,MATCH(Transactions[[#This Row],[TransType]],TransTypes[TransType],0))</f>
        <v>2</v>
      </c>
      <c r="M934" s="160">
        <f>IF( AND( INDEX(TransTypes[],Transactions[[#This Row],[TTR]],TT_COL_GLFlag)=1, INDEX(TransTypes[],Transactions[[#This Row],[TTR]],TT_COL_LONGORSHORT)="S" ),
      Transactions[[#This Row],[PL]],
      IF(INDEX(TransTypes[],Transactions[[#This Row],[TTR]],TT_COL_LONGORSHORT)="S",0,Transactions[[#This Row],[CalCashImpact]])
)</f>
        <v>-98430.36</v>
      </c>
      <c r="N934" s="161">
        <f>IF(VLOOKUP(Transactions[[#This Row],[Symbol]],Symbols[],COLUMN(Symbols[Currency])-COLUMN(Symbols[])+1,FALSE)=
       VLOOKUP(Transactions[[#This Row],[Account]],Accounts[],COLUMN(Accounts[Currency])-COLUMN(Accounts[])+1,FALSE),
     Transactions[[#This Row],[OrigCashImpact]],
     0
)</f>
        <v>-98430.36</v>
      </c>
      <c r="O9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339822.55999999994</v>
      </c>
      <c r="P9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9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934" s="41">
        <f>ROW()</f>
        <v>934</v>
      </c>
      <c r="S9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98430.36</v>
      </c>
      <c r="T9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98430.36</v>
      </c>
      <c r="U9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934" s="166">
        <f>IF(INDEX(TransTypes[],Transactions[[#This Row],[TTR]],TT_COL_GLFlag)=1,Transactions[[#This Row],[CalCashImpact]]+Transactions[[#This Row],[CostImpact]],0)</f>
        <v>0</v>
      </c>
      <c r="W934" s="167">
        <f>Transactions[[#This Row],[Amount]]*INDEX(TransTypes[],Transactions[[#This Row],[TTR]],TT_COL_AmntSign)</f>
        <v>-98430.36</v>
      </c>
      <c r="X934" s="167">
        <f>IF(INDEX(TransTypes[],Transactions[[#This Row],[TTR]],TT_COL_LONGORSHORT)="S",
      IF( OR(INDEX(TransTypes[],Transactions[[#This Row],[TTR]],TT_COL_GLFlag)=1, INDEX(TransTypes[], Transactions[[#This Row],[TTR]], TT_COL_ShareTransferFlag)=1),
            Transactions[[#This Row],[CostImpact]]*-1,
            Transactions[[#This Row],[CalCashImpact]]
      ),
     0
)</f>
        <v>0</v>
      </c>
      <c r="Y934" s="168" t="str">
        <f>VLOOKUP(Transactions[[#This Row],[Symbol]],Symbols[], COLUMN(Symbols[Currency])-COLUMN(Symbols[])+1,FALSE)</f>
        <v>CNY</v>
      </c>
    </row>
    <row r="935" spans="1:25">
      <c r="A935" s="155" t="s">
        <v>82</v>
      </c>
      <c r="B935" s="156">
        <v>42377</v>
      </c>
      <c r="C935" s="155" t="s">
        <v>113</v>
      </c>
      <c r="D935" s="155"/>
      <c r="E935" s="155" t="s">
        <v>649</v>
      </c>
      <c r="F935" s="157">
        <v>1000</v>
      </c>
      <c r="G935" s="158">
        <v>47.48</v>
      </c>
      <c r="H935" s="157">
        <v>18.989999999999998</v>
      </c>
      <c r="I935" s="157"/>
      <c r="J935" s="159">
        <v>47498.99</v>
      </c>
      <c r="K935" s="6" t="s">
        <v>641</v>
      </c>
      <c r="L935" s="20">
        <f>IF(ISNA(MATCH(Transactions[[#This Row],[TransType]],TransTypes[TransType],0)),1,MATCH(Transactions[[#This Row],[TransType]],TransTypes[TransType],0))</f>
        <v>2</v>
      </c>
      <c r="M935" s="160">
        <f>IF( AND( INDEX(TransTypes[],Transactions[[#This Row],[TTR]],TT_COL_GLFlag)=1, INDEX(TransTypes[],Transactions[[#This Row],[TTR]],TT_COL_LONGORSHORT)="S" ),
      Transactions[[#This Row],[PL]],
      IF(INDEX(TransTypes[],Transactions[[#This Row],[TTR]],TT_COL_LONGORSHORT)="S",0,Transactions[[#This Row],[CalCashImpact]])
)</f>
        <v>-47498.99</v>
      </c>
      <c r="N935" s="161">
        <f>IF(VLOOKUP(Transactions[[#This Row],[Symbol]],Symbols[],COLUMN(Symbols[Currency])-COLUMN(Symbols[])+1,FALSE)=
       VLOOKUP(Transactions[[#This Row],[Account]],Accounts[],COLUMN(Accounts[Currency])-COLUMN(Accounts[])+1,FALSE),
     Transactions[[#This Row],[OrigCashImpact]],
     0
)</f>
        <v>-47498.99</v>
      </c>
      <c r="O9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292323.56999999995</v>
      </c>
      <c r="P9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935" s="41">
        <f>ROW()</f>
        <v>935</v>
      </c>
      <c r="S9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47498.99</v>
      </c>
      <c r="T9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95325.644</v>
      </c>
      <c r="U9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35" s="166">
        <f>IF(INDEX(TransTypes[],Transactions[[#This Row],[TTR]],TT_COL_GLFlag)=1,Transactions[[#This Row],[CalCashImpact]]+Transactions[[#This Row],[CostImpact]],0)</f>
        <v>0</v>
      </c>
      <c r="W935" s="167">
        <f>Transactions[[#This Row],[Amount]]*INDEX(TransTypes[],Transactions[[#This Row],[TTR]],TT_COL_AmntSign)</f>
        <v>-47498.99</v>
      </c>
      <c r="X935" s="167">
        <f>IF(INDEX(TransTypes[],Transactions[[#This Row],[TTR]],TT_COL_LONGORSHORT)="S",
      IF( OR(INDEX(TransTypes[],Transactions[[#This Row],[TTR]],TT_COL_GLFlag)=1, INDEX(TransTypes[], Transactions[[#This Row],[TTR]], TT_COL_ShareTransferFlag)=1),
            Transactions[[#This Row],[CostImpact]]*-1,
            Transactions[[#This Row],[CalCashImpact]]
      ),
     0
)</f>
        <v>0</v>
      </c>
      <c r="Y935" s="168" t="str">
        <f>VLOOKUP(Transactions[[#This Row],[Symbol]],Symbols[], COLUMN(Symbols[Currency])-COLUMN(Symbols[])+1,FALSE)</f>
        <v>CNY</v>
      </c>
    </row>
    <row r="936" spans="1:25">
      <c r="A936" s="155" t="s">
        <v>82</v>
      </c>
      <c r="B936" s="156">
        <v>42377</v>
      </c>
      <c r="C936" s="155" t="s">
        <v>113</v>
      </c>
      <c r="D936" s="155"/>
      <c r="E936" s="155" t="s">
        <v>467</v>
      </c>
      <c r="F936" s="157">
        <v>1000</v>
      </c>
      <c r="G936" s="158">
        <v>41.56</v>
      </c>
      <c r="H936" s="157">
        <v>16.62</v>
      </c>
      <c r="I936" s="157"/>
      <c r="J936" s="159">
        <v>41576.620000000003</v>
      </c>
      <c r="K936" s="6" t="s">
        <v>641</v>
      </c>
      <c r="L936" s="20">
        <f>IF(ISNA(MATCH(Transactions[[#This Row],[TransType]],TransTypes[TransType],0)),1,MATCH(Transactions[[#This Row],[TransType]],TransTypes[TransType],0))</f>
        <v>2</v>
      </c>
      <c r="M936" s="160">
        <f>IF( AND( INDEX(TransTypes[],Transactions[[#This Row],[TTR]],TT_COL_GLFlag)=1, INDEX(TransTypes[],Transactions[[#This Row],[TTR]],TT_COL_LONGORSHORT)="S" ),
      Transactions[[#This Row],[PL]],
      IF(INDEX(TransTypes[],Transactions[[#This Row],[TTR]],TT_COL_LONGORSHORT)="S",0,Transactions[[#This Row],[CalCashImpact]])
)</f>
        <v>-41576.620000000003</v>
      </c>
      <c r="N936" s="161">
        <f>IF(VLOOKUP(Transactions[[#This Row],[Symbol]],Symbols[],COLUMN(Symbols[Currency])-COLUMN(Symbols[])+1,FALSE)=
       VLOOKUP(Transactions[[#This Row],[Account]],Accounts[],COLUMN(Accounts[Currency])-COLUMN(Accounts[])+1,FALSE),
     Transactions[[#This Row],[OrigCashImpact]],
     0
)</f>
        <v>-41576.620000000003</v>
      </c>
      <c r="O9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250746.94999999995</v>
      </c>
      <c r="P9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936" s="41">
        <f>ROW()</f>
        <v>936</v>
      </c>
      <c r="S9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41576.620000000003</v>
      </c>
      <c r="T9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86014.39</v>
      </c>
      <c r="U9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36" s="166">
        <f>IF(INDEX(TransTypes[],Transactions[[#This Row],[TTR]],TT_COL_GLFlag)=1,Transactions[[#This Row],[CalCashImpact]]+Transactions[[#This Row],[CostImpact]],0)</f>
        <v>0</v>
      </c>
      <c r="W936" s="167">
        <f>Transactions[[#This Row],[Amount]]*INDEX(TransTypes[],Transactions[[#This Row],[TTR]],TT_COL_AmntSign)</f>
        <v>-41576.620000000003</v>
      </c>
      <c r="X936" s="167">
        <f>IF(INDEX(TransTypes[],Transactions[[#This Row],[TTR]],TT_COL_LONGORSHORT)="S",
      IF( OR(INDEX(TransTypes[],Transactions[[#This Row],[TTR]],TT_COL_GLFlag)=1, INDEX(TransTypes[], Transactions[[#This Row],[TTR]], TT_COL_ShareTransferFlag)=1),
            Transactions[[#This Row],[CostImpact]]*-1,
            Transactions[[#This Row],[CalCashImpact]]
      ),
     0
)</f>
        <v>0</v>
      </c>
      <c r="Y936" s="168" t="str">
        <f>VLOOKUP(Transactions[[#This Row],[Symbol]],Symbols[], COLUMN(Symbols[Currency])-COLUMN(Symbols[])+1,FALSE)</f>
        <v>CNY</v>
      </c>
    </row>
    <row r="937" spans="1:25">
      <c r="A937" s="155" t="s">
        <v>82</v>
      </c>
      <c r="B937" s="156">
        <v>42377</v>
      </c>
      <c r="C937" s="155" t="s">
        <v>113</v>
      </c>
      <c r="D937" s="155"/>
      <c r="E937" s="155" t="s">
        <v>660</v>
      </c>
      <c r="F937" s="157">
        <v>1000</v>
      </c>
      <c r="G937" s="158">
        <v>32.130000000000003</v>
      </c>
      <c r="H937" s="157">
        <v>12.85</v>
      </c>
      <c r="I937" s="157"/>
      <c r="J937" s="159">
        <v>32142.85</v>
      </c>
      <c r="K937" s="6" t="s">
        <v>641</v>
      </c>
      <c r="L937" s="20">
        <f>IF(ISNA(MATCH(Transactions[[#This Row],[TransType]],TransTypes[TransType],0)),1,MATCH(Transactions[[#This Row],[TransType]],TransTypes[TransType],0))</f>
        <v>2</v>
      </c>
      <c r="M937" s="160">
        <f>IF( AND( INDEX(TransTypes[],Transactions[[#This Row],[TTR]],TT_COL_GLFlag)=1, INDEX(TransTypes[],Transactions[[#This Row],[TTR]],TT_COL_LONGORSHORT)="S" ),
      Transactions[[#This Row],[PL]],
      IF(INDEX(TransTypes[],Transactions[[#This Row],[TTR]],TT_COL_LONGORSHORT)="S",0,Transactions[[#This Row],[CalCashImpact]])
)</f>
        <v>-32142.85</v>
      </c>
      <c r="N937" s="161">
        <f>IF(VLOOKUP(Transactions[[#This Row],[Symbol]],Symbols[],COLUMN(Symbols[Currency])-COLUMN(Symbols[])+1,FALSE)=
       VLOOKUP(Transactions[[#This Row],[Account]],Accounts[],COLUMN(Accounts[Currency])-COLUMN(Accounts[])+1,FALSE),
     Transactions[[#This Row],[OrigCashImpact]],
     0
)</f>
        <v>-32142.85</v>
      </c>
      <c r="O9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218604.09999999998</v>
      </c>
      <c r="P9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937" s="41">
        <f>ROW()</f>
        <v>937</v>
      </c>
      <c r="S9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32142.85</v>
      </c>
      <c r="T9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47603.016959064327</v>
      </c>
      <c r="U9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937" s="166">
        <f>IF(INDEX(TransTypes[],Transactions[[#This Row],[TTR]],TT_COL_GLFlag)=1,Transactions[[#This Row],[CalCashImpact]]+Transactions[[#This Row],[CostImpact]],0)</f>
        <v>0</v>
      </c>
      <c r="W937" s="167">
        <f>Transactions[[#This Row],[Amount]]*INDEX(TransTypes[],Transactions[[#This Row],[TTR]],TT_COL_AmntSign)</f>
        <v>-32142.85</v>
      </c>
      <c r="X937" s="167">
        <f>IF(INDEX(TransTypes[],Transactions[[#This Row],[TTR]],TT_COL_LONGORSHORT)="S",
      IF( OR(INDEX(TransTypes[],Transactions[[#This Row],[TTR]],TT_COL_GLFlag)=1, INDEX(TransTypes[], Transactions[[#This Row],[TTR]], TT_COL_ShareTransferFlag)=1),
            Transactions[[#This Row],[CostImpact]]*-1,
            Transactions[[#This Row],[CalCashImpact]]
      ),
     0
)</f>
        <v>0</v>
      </c>
      <c r="Y937" s="168" t="str">
        <f>VLOOKUP(Transactions[[#This Row],[Symbol]],Symbols[], COLUMN(Symbols[Currency])-COLUMN(Symbols[])+1,FALSE)</f>
        <v>CNY</v>
      </c>
    </row>
    <row r="938" spans="1:25">
      <c r="A938" s="155" t="s">
        <v>82</v>
      </c>
      <c r="B938" s="156">
        <v>42377</v>
      </c>
      <c r="C938" s="155" t="s">
        <v>115</v>
      </c>
      <c r="D938" s="155"/>
      <c r="E938" s="155" t="s">
        <v>656</v>
      </c>
      <c r="F938" s="157">
        <v>100000</v>
      </c>
      <c r="G938" s="158">
        <v>0.95299999999999996</v>
      </c>
      <c r="H938" s="157">
        <v>38.119999999999997</v>
      </c>
      <c r="I938" s="157"/>
      <c r="J938" s="159">
        <v>95261.88</v>
      </c>
      <c r="K938" s="6" t="s">
        <v>641</v>
      </c>
      <c r="L938" s="20">
        <f>IF(ISNA(MATCH(Transactions[[#This Row],[TransType]],TransTypes[TransType],0)),1,MATCH(Transactions[[#This Row],[TransType]],TransTypes[TransType],0))</f>
        <v>3</v>
      </c>
      <c r="M938" s="160">
        <f>IF( AND( INDEX(TransTypes[],Transactions[[#This Row],[TTR]],TT_COL_GLFlag)=1, INDEX(TransTypes[],Transactions[[#This Row],[TTR]],TT_COL_LONGORSHORT)="S" ),
      Transactions[[#This Row],[PL]],
      IF(INDEX(TransTypes[],Transactions[[#This Row],[TTR]],TT_COL_LONGORSHORT)="S",0,Transactions[[#This Row],[CalCashImpact]])
)</f>
        <v>95261.88</v>
      </c>
      <c r="N938" s="161">
        <f>IF(VLOOKUP(Transactions[[#This Row],[Symbol]],Symbols[],COLUMN(Symbols[Currency])-COLUMN(Symbols[])+1,FALSE)=
       VLOOKUP(Transactions[[#This Row],[Account]],Accounts[],COLUMN(Accounts[Currency])-COLUMN(Accounts[])+1,FALSE),
     Transactions[[#This Row],[OrigCashImpact]],
     0
)</f>
        <v>95261.88</v>
      </c>
      <c r="O9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313865.98</v>
      </c>
      <c r="P9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9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38" s="41">
        <f>ROW()</f>
        <v>938</v>
      </c>
      <c r="S9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-93937.56</v>
      </c>
      <c r="T9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100000</v>
      </c>
      <c r="V938" s="166">
        <f>IF(INDEX(TransTypes[],Transactions[[#This Row],[TTR]],TT_COL_GLFlag)=1,Transactions[[#This Row],[CalCashImpact]]+Transactions[[#This Row],[CostImpact]],0)</f>
        <v>1324.320000000007</v>
      </c>
      <c r="W938" s="167">
        <f>Transactions[[#This Row],[Amount]]*INDEX(TransTypes[],Transactions[[#This Row],[TTR]],TT_COL_AmntSign)</f>
        <v>95261.88</v>
      </c>
      <c r="X938" s="167">
        <f>IF(INDEX(TransTypes[],Transactions[[#This Row],[TTR]],TT_COL_LONGORSHORT)="S",
      IF( OR(INDEX(TransTypes[],Transactions[[#This Row],[TTR]],TT_COL_GLFlag)=1, INDEX(TransTypes[], Transactions[[#This Row],[TTR]], TT_COL_ShareTransferFlag)=1),
            Transactions[[#This Row],[CostImpact]]*-1,
            Transactions[[#This Row],[CalCashImpact]]
      ),
     0
)</f>
        <v>0</v>
      </c>
      <c r="Y938" s="168" t="str">
        <f>VLOOKUP(Transactions[[#This Row],[Symbol]],Symbols[], COLUMN(Symbols[Currency])-COLUMN(Symbols[])+1,FALSE)</f>
        <v>CNY</v>
      </c>
    </row>
    <row r="939" spans="1:25">
      <c r="A939" s="155" t="s">
        <v>82</v>
      </c>
      <c r="B939" s="156">
        <v>42377</v>
      </c>
      <c r="C939" s="155" t="s">
        <v>115</v>
      </c>
      <c r="D939" s="155"/>
      <c r="E939" s="155" t="s">
        <v>672</v>
      </c>
      <c r="F939" s="157">
        <v>200000</v>
      </c>
      <c r="G939" s="158">
        <v>0.95699999999999996</v>
      </c>
      <c r="H939" s="157">
        <v>76.56</v>
      </c>
      <c r="I939" s="157"/>
      <c r="J939" s="159">
        <v>191323.44</v>
      </c>
      <c r="K939" s="6" t="s">
        <v>641</v>
      </c>
      <c r="L939" s="20">
        <f>IF(ISNA(MATCH(Transactions[[#This Row],[TransType]],TransTypes[TransType],0)),1,MATCH(Transactions[[#This Row],[TransType]],TransTypes[TransType],0))</f>
        <v>3</v>
      </c>
      <c r="M939" s="160">
        <f>IF( AND( INDEX(TransTypes[],Transactions[[#This Row],[TTR]],TT_COL_GLFlag)=1, INDEX(TransTypes[],Transactions[[#This Row],[TTR]],TT_COL_LONGORSHORT)="S" ),
      Transactions[[#This Row],[PL]],
      IF(INDEX(TransTypes[],Transactions[[#This Row],[TTR]],TT_COL_LONGORSHORT)="S",0,Transactions[[#This Row],[CalCashImpact]])
)</f>
        <v>191323.44</v>
      </c>
      <c r="N939" s="161">
        <f>IF(VLOOKUP(Transactions[[#This Row],[Symbol]],Symbols[],COLUMN(Symbols[Currency])-COLUMN(Symbols[])+1,FALSE)=
       VLOOKUP(Transactions[[#This Row],[Account]],Accounts[],COLUMN(Accounts[Currency])-COLUMN(Accounts[])+1,FALSE),
     Transactions[[#This Row],[OrigCashImpact]],
     0
)</f>
        <v>191323.44</v>
      </c>
      <c r="O9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505189.42</v>
      </c>
      <c r="P9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9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39" s="41">
        <f>ROW()</f>
        <v>939</v>
      </c>
      <c r="S9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-189630.36818181819</v>
      </c>
      <c r="T9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939" s="166">
        <f>IF(INDEX(TransTypes[],Transactions[[#This Row],[TTR]],TT_COL_GLFlag)=1,Transactions[[#This Row],[CalCashImpact]]+Transactions[[#This Row],[CostImpact]],0)</f>
        <v>1693.0718181818083</v>
      </c>
      <c r="W939" s="167">
        <f>Transactions[[#This Row],[Amount]]*INDEX(TransTypes[],Transactions[[#This Row],[TTR]],TT_COL_AmntSign)</f>
        <v>191323.44</v>
      </c>
      <c r="X939" s="167">
        <f>IF(INDEX(TransTypes[],Transactions[[#This Row],[TTR]],TT_COL_LONGORSHORT)="S",
      IF( OR(INDEX(TransTypes[],Transactions[[#This Row],[TTR]],TT_COL_GLFlag)=1, INDEX(TransTypes[], Transactions[[#This Row],[TTR]], TT_COL_ShareTransferFlag)=1),
            Transactions[[#This Row],[CostImpact]]*-1,
            Transactions[[#This Row],[CalCashImpact]]
      ),
     0
)</f>
        <v>0</v>
      </c>
      <c r="Y939" s="168" t="str">
        <f>VLOOKUP(Transactions[[#This Row],[Symbol]],Symbols[], COLUMN(Symbols[Currency])-COLUMN(Symbols[])+1,FALSE)</f>
        <v>CNY</v>
      </c>
    </row>
    <row r="940" spans="1:25">
      <c r="A940" s="155" t="s">
        <v>82</v>
      </c>
      <c r="B940" s="156">
        <v>42377</v>
      </c>
      <c r="C940" s="155" t="s">
        <v>113</v>
      </c>
      <c r="D940" s="155"/>
      <c r="E940" s="155" t="s">
        <v>658</v>
      </c>
      <c r="F940" s="157">
        <v>2000</v>
      </c>
      <c r="G940" s="158">
        <v>21.120999999999999</v>
      </c>
      <c r="H940" s="157">
        <v>17.739999999999998</v>
      </c>
      <c r="I940" s="157"/>
      <c r="J940" s="159">
        <v>42259.74</v>
      </c>
      <c r="K940" s="6" t="s">
        <v>641</v>
      </c>
      <c r="L940" s="20">
        <f>IF(ISNA(MATCH(Transactions[[#This Row],[TransType]],TransTypes[TransType],0)),1,MATCH(Transactions[[#This Row],[TransType]],TransTypes[TransType],0))</f>
        <v>2</v>
      </c>
      <c r="M940" s="160">
        <f>IF( AND( INDEX(TransTypes[],Transactions[[#This Row],[TTR]],TT_COL_GLFlag)=1, INDEX(TransTypes[],Transactions[[#This Row],[TTR]],TT_COL_LONGORSHORT)="S" ),
      Transactions[[#This Row],[PL]],
      IF(INDEX(TransTypes[],Transactions[[#This Row],[TTR]],TT_COL_LONGORSHORT)="S",0,Transactions[[#This Row],[CalCashImpact]])
)</f>
        <v>-42259.74</v>
      </c>
      <c r="N940" s="161">
        <f>IF(VLOOKUP(Transactions[[#This Row],[Symbol]],Symbols[],COLUMN(Symbols[Currency])-COLUMN(Symbols[])+1,FALSE)=
       VLOOKUP(Transactions[[#This Row],[Account]],Accounts[],COLUMN(Accounts[Currency])-COLUMN(Accounts[])+1,FALSE),
     Transactions[[#This Row],[OrigCashImpact]],
     0
)</f>
        <v>-42259.74</v>
      </c>
      <c r="O9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462929.68</v>
      </c>
      <c r="P9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9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940" s="41">
        <f>ROW()</f>
        <v>940</v>
      </c>
      <c r="S9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42259.74</v>
      </c>
      <c r="T9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89719.665000000008</v>
      </c>
      <c r="U9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940" s="166">
        <f>IF(INDEX(TransTypes[],Transactions[[#This Row],[TTR]],TT_COL_GLFlag)=1,Transactions[[#This Row],[CalCashImpact]]+Transactions[[#This Row],[CostImpact]],0)</f>
        <v>0</v>
      </c>
      <c r="W940" s="167">
        <f>Transactions[[#This Row],[Amount]]*INDEX(TransTypes[],Transactions[[#This Row],[TTR]],TT_COL_AmntSign)</f>
        <v>-42259.74</v>
      </c>
      <c r="X940" s="167">
        <f>IF(INDEX(TransTypes[],Transactions[[#This Row],[TTR]],TT_COL_LONGORSHORT)="S",
      IF( OR(INDEX(TransTypes[],Transactions[[#This Row],[TTR]],TT_COL_GLFlag)=1, INDEX(TransTypes[], Transactions[[#This Row],[TTR]], TT_COL_ShareTransferFlag)=1),
            Transactions[[#This Row],[CostImpact]]*-1,
            Transactions[[#This Row],[CalCashImpact]]
      ),
     0
)</f>
        <v>0</v>
      </c>
      <c r="Y940" s="168" t="str">
        <f>VLOOKUP(Transactions[[#This Row],[Symbol]],Symbols[], COLUMN(Symbols[Currency])-COLUMN(Symbols[])+1,FALSE)</f>
        <v>CNY</v>
      </c>
    </row>
    <row r="941" spans="1:25">
      <c r="A941" s="155" t="s">
        <v>82</v>
      </c>
      <c r="B941" s="156">
        <v>42377</v>
      </c>
      <c r="C941" s="155" t="s">
        <v>113</v>
      </c>
      <c r="D941" s="155"/>
      <c r="E941" s="155" t="s">
        <v>498</v>
      </c>
      <c r="F941" s="157">
        <v>6000</v>
      </c>
      <c r="G941" s="158">
        <v>100.17700000000001</v>
      </c>
      <c r="H941" s="157">
        <v>0</v>
      </c>
      <c r="I941" s="157"/>
      <c r="J941" s="159">
        <v>601062</v>
      </c>
      <c r="K941" s="6" t="s">
        <v>641</v>
      </c>
      <c r="L941" s="20">
        <f>IF(ISNA(MATCH(Transactions[[#This Row],[TransType]],TransTypes[TransType],0)),1,MATCH(Transactions[[#This Row],[TransType]],TransTypes[TransType],0))</f>
        <v>2</v>
      </c>
      <c r="M941" s="160">
        <f>IF( AND( INDEX(TransTypes[],Transactions[[#This Row],[TTR]],TT_COL_GLFlag)=1, INDEX(TransTypes[],Transactions[[#This Row],[TTR]],TT_COL_LONGORSHORT)="S" ),
      Transactions[[#This Row],[PL]],
      IF(INDEX(TransTypes[],Transactions[[#This Row],[TTR]],TT_COL_LONGORSHORT)="S",0,Transactions[[#This Row],[CalCashImpact]])
)</f>
        <v>-601062</v>
      </c>
      <c r="N941" s="161">
        <f>IF(VLOOKUP(Transactions[[#This Row],[Symbol]],Symbols[],COLUMN(Symbols[Currency])-COLUMN(Symbols[])+1,FALSE)=
       VLOOKUP(Transactions[[#This Row],[Account]],Accounts[],COLUMN(Accounts[Currency])-COLUMN(Accounts[])+1,FALSE),
     Transactions[[#This Row],[OrigCashImpact]],
     0
)</f>
        <v>-601062</v>
      </c>
      <c r="O9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-138132.31999999995</v>
      </c>
      <c r="P9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9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941" s="41">
        <f>ROW()</f>
        <v>941</v>
      </c>
      <c r="S9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601062</v>
      </c>
      <c r="T9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1001670</v>
      </c>
      <c r="U9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941" s="166">
        <f>IF(INDEX(TransTypes[],Transactions[[#This Row],[TTR]],TT_COL_GLFlag)=1,Transactions[[#This Row],[CalCashImpact]]+Transactions[[#This Row],[CostImpact]],0)</f>
        <v>0</v>
      </c>
      <c r="W941" s="167">
        <f>Transactions[[#This Row],[Amount]]*INDEX(TransTypes[],Transactions[[#This Row],[TTR]],TT_COL_AmntSign)</f>
        <v>-601062</v>
      </c>
      <c r="X941" s="167">
        <f>IF(INDEX(TransTypes[],Transactions[[#This Row],[TTR]],TT_COL_LONGORSHORT)="S",
      IF( OR(INDEX(TransTypes[],Transactions[[#This Row],[TTR]],TT_COL_GLFlag)=1, INDEX(TransTypes[], Transactions[[#This Row],[TTR]], TT_COL_ShareTransferFlag)=1),
            Transactions[[#This Row],[CostImpact]]*-1,
            Transactions[[#This Row],[CalCashImpact]]
      ),
     0
)</f>
        <v>0</v>
      </c>
      <c r="Y941" s="168" t="str">
        <f>VLOOKUP(Transactions[[#This Row],[Symbol]],Symbols[], COLUMN(Symbols[Currency])-COLUMN(Symbols[])+1,FALSE)</f>
        <v>CNY</v>
      </c>
    </row>
    <row r="942" spans="1:25">
      <c r="A942" s="155" t="s">
        <v>82</v>
      </c>
      <c r="B942" s="156">
        <v>42377</v>
      </c>
      <c r="C942" s="155" t="s">
        <v>115</v>
      </c>
      <c r="D942" s="155"/>
      <c r="E942" s="155" t="s">
        <v>498</v>
      </c>
      <c r="F942" s="157">
        <v>5000</v>
      </c>
      <c r="G942" s="158">
        <v>100.181</v>
      </c>
      <c r="H942" s="157">
        <v>0</v>
      </c>
      <c r="I942" s="157"/>
      <c r="J942" s="159">
        <v>500905</v>
      </c>
      <c r="K942" s="6" t="s">
        <v>641</v>
      </c>
      <c r="L942" s="20">
        <f>IF(ISNA(MATCH(Transactions[[#This Row],[TransType]],TransTypes[TransType],0)),1,MATCH(Transactions[[#This Row],[TransType]],TransTypes[TransType],0))</f>
        <v>3</v>
      </c>
      <c r="M942" s="160">
        <f>IF( AND( INDEX(TransTypes[],Transactions[[#This Row],[TTR]],TT_COL_GLFlag)=1, INDEX(TransTypes[],Transactions[[#This Row],[TTR]],TT_COL_LONGORSHORT)="S" ),
      Transactions[[#This Row],[PL]],
      IF(INDEX(TransTypes[],Transactions[[#This Row],[TTR]],TT_COL_LONGORSHORT)="S",0,Transactions[[#This Row],[CalCashImpact]])
)</f>
        <v>500905</v>
      </c>
      <c r="N942" s="161">
        <f>IF(VLOOKUP(Transactions[[#This Row],[Symbol]],Symbols[],COLUMN(Symbols[Currency])-COLUMN(Symbols[])+1,FALSE)=
       VLOOKUP(Transactions[[#This Row],[Account]],Accounts[],COLUMN(Accounts[Currency])-COLUMN(Accounts[])+1,FALSE),
     Transactions[[#This Row],[OrigCashImpact]],
     0
)</f>
        <v>500905</v>
      </c>
      <c r="O9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362772.68000000005</v>
      </c>
      <c r="P9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9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942" s="41">
        <f>ROW()</f>
        <v>942</v>
      </c>
      <c r="S9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-500835</v>
      </c>
      <c r="T9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500835</v>
      </c>
      <c r="U9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942" s="166">
        <f>IF(INDEX(TransTypes[],Transactions[[#This Row],[TTR]],TT_COL_GLFlag)=1,Transactions[[#This Row],[CalCashImpact]]+Transactions[[#This Row],[CostImpact]],0)</f>
        <v>70</v>
      </c>
      <c r="W942" s="167">
        <f>Transactions[[#This Row],[Amount]]*INDEX(TransTypes[],Transactions[[#This Row],[TTR]],TT_COL_AmntSign)</f>
        <v>500905</v>
      </c>
      <c r="X942" s="167">
        <f>IF(INDEX(TransTypes[],Transactions[[#This Row],[TTR]],TT_COL_LONGORSHORT)="S",
      IF( OR(INDEX(TransTypes[],Transactions[[#This Row],[TTR]],TT_COL_GLFlag)=1, INDEX(TransTypes[], Transactions[[#This Row],[TTR]], TT_COL_ShareTransferFlag)=1),
            Transactions[[#This Row],[CostImpact]]*-1,
            Transactions[[#This Row],[CalCashImpact]]
      ),
     0
)</f>
        <v>0</v>
      </c>
      <c r="Y942" s="168" t="str">
        <f>VLOOKUP(Transactions[[#This Row],[Symbol]],Symbols[], COLUMN(Symbols[Currency])-COLUMN(Symbols[])+1,FALSE)</f>
        <v>CNY</v>
      </c>
    </row>
    <row r="943" spans="1:25">
      <c r="A943" s="155" t="s">
        <v>82</v>
      </c>
      <c r="B943" s="156">
        <v>42377</v>
      </c>
      <c r="C943" s="155" t="s">
        <v>113</v>
      </c>
      <c r="D943" s="155"/>
      <c r="E943" s="155" t="s">
        <v>665</v>
      </c>
      <c r="F943" s="157">
        <v>100000</v>
      </c>
      <c r="G943" s="158">
        <v>0.92800000000000005</v>
      </c>
      <c r="H943" s="157">
        <v>37.119999999999997</v>
      </c>
      <c r="I943" s="157"/>
      <c r="J943" s="159">
        <v>92837.119999999995</v>
      </c>
      <c r="K943" s="6" t="s">
        <v>641</v>
      </c>
      <c r="L943" s="20">
        <f>IF(ISNA(MATCH(Transactions[[#This Row],[TransType]],TransTypes[TransType],0)),1,MATCH(Transactions[[#This Row],[TransType]],TransTypes[TransType],0))</f>
        <v>2</v>
      </c>
      <c r="M943" s="160">
        <f>IF( AND( INDEX(TransTypes[],Transactions[[#This Row],[TTR]],TT_COL_GLFlag)=1, INDEX(TransTypes[],Transactions[[#This Row],[TTR]],TT_COL_LONGORSHORT)="S" ),
      Transactions[[#This Row],[PL]],
      IF(INDEX(TransTypes[],Transactions[[#This Row],[TTR]],TT_COL_LONGORSHORT)="S",0,Transactions[[#This Row],[CalCashImpact]])
)</f>
        <v>-92837.119999999995</v>
      </c>
      <c r="N943" s="161">
        <f>IF(VLOOKUP(Transactions[[#This Row],[Symbol]],Symbols[],COLUMN(Symbols[Currency])-COLUMN(Symbols[])+1,FALSE)=
       VLOOKUP(Transactions[[#This Row],[Account]],Accounts[],COLUMN(Accounts[Currency])-COLUMN(Accounts[])+1,FALSE),
     Transactions[[#This Row],[OrigCashImpact]],
     0
)</f>
        <v>-92837.119999999995</v>
      </c>
      <c r="O9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269935.56000000006</v>
      </c>
      <c r="P9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9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720000</v>
      </c>
      <c r="R943" s="41">
        <f>ROW()</f>
        <v>943</v>
      </c>
      <c r="S9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92837.119999999995</v>
      </c>
      <c r="T9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707781.78</v>
      </c>
      <c r="U9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720000</v>
      </c>
      <c r="V943" s="166">
        <f>IF(INDEX(TransTypes[],Transactions[[#This Row],[TTR]],TT_COL_GLFlag)=1,Transactions[[#This Row],[CalCashImpact]]+Transactions[[#This Row],[CostImpact]],0)</f>
        <v>0</v>
      </c>
      <c r="W943" s="167">
        <f>Transactions[[#This Row],[Amount]]*INDEX(TransTypes[],Transactions[[#This Row],[TTR]],TT_COL_AmntSign)</f>
        <v>-92837.119999999995</v>
      </c>
      <c r="X943" s="167">
        <f>IF(INDEX(TransTypes[],Transactions[[#This Row],[TTR]],TT_COL_LONGORSHORT)="S",
      IF( OR(INDEX(TransTypes[],Transactions[[#This Row],[TTR]],TT_COL_GLFlag)=1, INDEX(TransTypes[], Transactions[[#This Row],[TTR]], TT_COL_ShareTransferFlag)=1),
            Transactions[[#This Row],[CostImpact]]*-1,
            Transactions[[#This Row],[CalCashImpact]]
      ),
     0
)</f>
        <v>0</v>
      </c>
      <c r="Y943" s="168" t="str">
        <f>VLOOKUP(Transactions[[#This Row],[Symbol]],Symbols[], COLUMN(Symbols[Currency])-COLUMN(Symbols[])+1,FALSE)</f>
        <v>CNY</v>
      </c>
    </row>
    <row r="944" spans="1:25">
      <c r="A944" s="155" t="s">
        <v>82</v>
      </c>
      <c r="B944" s="156">
        <v>42380</v>
      </c>
      <c r="C944" s="155" t="s">
        <v>113</v>
      </c>
      <c r="D944" s="155"/>
      <c r="E944" s="155" t="s">
        <v>647</v>
      </c>
      <c r="F944" s="157">
        <v>1000</v>
      </c>
      <c r="G944" s="158">
        <v>31.602</v>
      </c>
      <c r="H944" s="157">
        <v>12.64</v>
      </c>
      <c r="I944" s="157"/>
      <c r="J944" s="159">
        <v>31614.639999999999</v>
      </c>
      <c r="K944" s="6" t="s">
        <v>641</v>
      </c>
      <c r="L944" s="20">
        <f>IF(ISNA(MATCH(Transactions[[#This Row],[TransType]],TransTypes[TransType],0)),1,MATCH(Transactions[[#This Row],[TransType]],TransTypes[TransType],0))</f>
        <v>2</v>
      </c>
      <c r="M944" s="160">
        <f>IF( AND( INDEX(TransTypes[],Transactions[[#This Row],[TTR]],TT_COL_GLFlag)=1, INDEX(TransTypes[],Transactions[[#This Row],[TTR]],TT_COL_LONGORSHORT)="S" ),
      Transactions[[#This Row],[PL]],
      IF(INDEX(TransTypes[],Transactions[[#This Row],[TTR]],TT_COL_LONGORSHORT)="S",0,Transactions[[#This Row],[CalCashImpact]])
)</f>
        <v>-31614.639999999999</v>
      </c>
      <c r="N944" s="161">
        <f>IF(VLOOKUP(Transactions[[#This Row],[Symbol]],Symbols[],COLUMN(Symbols[Currency])-COLUMN(Symbols[])+1,FALSE)=
       VLOOKUP(Transactions[[#This Row],[Account]],Accounts[],COLUMN(Accounts[Currency])-COLUMN(Accounts[])+1,FALSE),
     Transactions[[#This Row],[OrigCashImpact]],
     0
)</f>
        <v>-31614.639999999999</v>
      </c>
      <c r="O9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238320.91999999998</v>
      </c>
      <c r="P9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944" s="41">
        <f>ROW()</f>
        <v>944</v>
      </c>
      <c r="S9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31614.639999999999</v>
      </c>
      <c r="T9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130045</v>
      </c>
      <c r="U9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944" s="166">
        <f>IF(INDEX(TransTypes[],Transactions[[#This Row],[TTR]],TT_COL_GLFlag)=1,Transactions[[#This Row],[CalCashImpact]]+Transactions[[#This Row],[CostImpact]],0)</f>
        <v>0</v>
      </c>
      <c r="W944" s="167">
        <f>Transactions[[#This Row],[Amount]]*INDEX(TransTypes[],Transactions[[#This Row],[TTR]],TT_COL_AmntSign)</f>
        <v>-31614.639999999999</v>
      </c>
      <c r="X944" s="167">
        <f>IF(INDEX(TransTypes[],Transactions[[#This Row],[TTR]],TT_COL_LONGORSHORT)="S",
      IF( OR(INDEX(TransTypes[],Transactions[[#This Row],[TTR]],TT_COL_GLFlag)=1, INDEX(TransTypes[], Transactions[[#This Row],[TTR]], TT_COL_ShareTransferFlag)=1),
            Transactions[[#This Row],[CostImpact]]*-1,
            Transactions[[#This Row],[CalCashImpact]]
      ),
     0
)</f>
        <v>0</v>
      </c>
      <c r="Y944" s="168" t="str">
        <f>VLOOKUP(Transactions[[#This Row],[Symbol]],Symbols[], COLUMN(Symbols[Currency])-COLUMN(Symbols[])+1,FALSE)</f>
        <v>CNY</v>
      </c>
    </row>
    <row r="945" spans="1:25">
      <c r="A945" s="155" t="s">
        <v>82</v>
      </c>
      <c r="B945" s="156">
        <v>42380</v>
      </c>
      <c r="C945" s="155" t="s">
        <v>113</v>
      </c>
      <c r="D945" s="155"/>
      <c r="E945" s="155" t="s">
        <v>464</v>
      </c>
      <c r="F945" s="157">
        <v>200</v>
      </c>
      <c r="G945" s="158">
        <v>199.99</v>
      </c>
      <c r="H945" s="157">
        <v>16.8</v>
      </c>
      <c r="I945" s="157"/>
      <c r="J945" s="159">
        <v>40014.800000000003</v>
      </c>
      <c r="K945" s="6" t="s">
        <v>641</v>
      </c>
      <c r="L945" s="20">
        <f>IF(ISNA(MATCH(Transactions[[#This Row],[TransType]],TransTypes[TransType],0)),1,MATCH(Transactions[[#This Row],[TransType]],TransTypes[TransType],0))</f>
        <v>2</v>
      </c>
      <c r="M945" s="160">
        <f>IF( AND( INDEX(TransTypes[],Transactions[[#This Row],[TTR]],TT_COL_GLFlag)=1, INDEX(TransTypes[],Transactions[[#This Row],[TTR]],TT_COL_LONGORSHORT)="S" ),
      Transactions[[#This Row],[PL]],
      IF(INDEX(TransTypes[],Transactions[[#This Row],[TTR]],TT_COL_LONGORSHORT)="S",0,Transactions[[#This Row],[CalCashImpact]])
)</f>
        <v>-40014.800000000003</v>
      </c>
      <c r="N945" s="161">
        <f>IF(VLOOKUP(Transactions[[#This Row],[Symbol]],Symbols[],COLUMN(Symbols[Currency])-COLUMN(Symbols[])+1,FALSE)=
       VLOOKUP(Transactions[[#This Row],[Account]],Accounts[],COLUMN(Accounts[Currency])-COLUMN(Accounts[])+1,FALSE),
     Transactions[[#This Row],[OrigCashImpact]],
     0
)</f>
        <v>-40014.800000000003</v>
      </c>
      <c r="O9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198306.12</v>
      </c>
      <c r="P9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9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945" s="41">
        <f>ROW()</f>
        <v>945</v>
      </c>
      <c r="S9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40014.800000000003</v>
      </c>
      <c r="T9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143262.17499999999</v>
      </c>
      <c r="U9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945" s="166">
        <f>IF(INDEX(TransTypes[],Transactions[[#This Row],[TTR]],TT_COL_GLFlag)=1,Transactions[[#This Row],[CalCashImpact]]+Transactions[[#This Row],[CostImpact]],0)</f>
        <v>0</v>
      </c>
      <c r="W945" s="167">
        <f>Transactions[[#This Row],[Amount]]*INDEX(TransTypes[],Transactions[[#This Row],[TTR]],TT_COL_AmntSign)</f>
        <v>-40014.800000000003</v>
      </c>
      <c r="X945" s="167">
        <f>IF(INDEX(TransTypes[],Transactions[[#This Row],[TTR]],TT_COL_LONGORSHORT)="S",
      IF( OR(INDEX(TransTypes[],Transactions[[#This Row],[TTR]],TT_COL_GLFlag)=1, INDEX(TransTypes[], Transactions[[#This Row],[TTR]], TT_COL_ShareTransferFlag)=1),
            Transactions[[#This Row],[CostImpact]]*-1,
            Transactions[[#This Row],[CalCashImpact]]
      ),
     0
)</f>
        <v>0</v>
      </c>
      <c r="Y945" s="168" t="str">
        <f>VLOOKUP(Transactions[[#This Row],[Symbol]],Symbols[], COLUMN(Symbols[Currency])-COLUMN(Symbols[])+1,FALSE)</f>
        <v>CNY</v>
      </c>
    </row>
    <row r="946" spans="1:25">
      <c r="A946" s="155" t="s">
        <v>82</v>
      </c>
      <c r="B946" s="156">
        <v>42381</v>
      </c>
      <c r="C946" s="155" t="s">
        <v>115</v>
      </c>
      <c r="D946" s="155"/>
      <c r="E946" s="155" t="s">
        <v>647</v>
      </c>
      <c r="F946" s="157">
        <v>3000</v>
      </c>
      <c r="G946" s="158">
        <v>30.956</v>
      </c>
      <c r="H946" s="157">
        <v>130.02000000000001</v>
      </c>
      <c r="I946" s="157"/>
      <c r="J946" s="159">
        <v>92737.98</v>
      </c>
      <c r="K946" s="6" t="s">
        <v>641</v>
      </c>
      <c r="L946" s="20">
        <f>IF(ISNA(MATCH(Transactions[[#This Row],[TransType]],TransTypes[TransType],0)),1,MATCH(Transactions[[#This Row],[TransType]],TransTypes[TransType],0))</f>
        <v>3</v>
      </c>
      <c r="M946" s="160">
        <f>IF( AND( INDEX(TransTypes[],Transactions[[#This Row],[TTR]],TT_COL_GLFlag)=1, INDEX(TransTypes[],Transactions[[#This Row],[TTR]],TT_COL_LONGORSHORT)="S" ),
      Transactions[[#This Row],[PL]],
      IF(INDEX(TransTypes[],Transactions[[#This Row],[TTR]],TT_COL_LONGORSHORT)="S",0,Transactions[[#This Row],[CalCashImpact]])
)</f>
        <v>92737.98</v>
      </c>
      <c r="N946" s="161">
        <f>IF(VLOOKUP(Transactions[[#This Row],[Symbol]],Symbols[],COLUMN(Symbols[Currency])-COLUMN(Symbols[])+1,FALSE)=
       VLOOKUP(Transactions[[#This Row],[Account]],Accounts[],COLUMN(Accounts[Currency])-COLUMN(Accounts[])+1,FALSE),
     Transactions[[#This Row],[OrigCashImpact]],
     0
)</f>
        <v>92737.98</v>
      </c>
      <c r="O9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291044.09999999998</v>
      </c>
      <c r="P9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9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46" s="41">
        <f>ROW()</f>
        <v>946</v>
      </c>
      <c r="S9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-97533.749999999985</v>
      </c>
      <c r="T9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32511.250000000015</v>
      </c>
      <c r="U9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946" s="166">
        <f>IF(INDEX(TransTypes[],Transactions[[#This Row],[TTR]],TT_COL_GLFlag)=1,Transactions[[#This Row],[CalCashImpact]]+Transactions[[#This Row],[CostImpact]],0)</f>
        <v>-4795.7699999999895</v>
      </c>
      <c r="W946" s="167">
        <f>Transactions[[#This Row],[Amount]]*INDEX(TransTypes[],Transactions[[#This Row],[TTR]],TT_COL_AmntSign)</f>
        <v>92737.98</v>
      </c>
      <c r="X946" s="167">
        <f>IF(INDEX(TransTypes[],Transactions[[#This Row],[TTR]],TT_COL_LONGORSHORT)="S",
      IF( OR(INDEX(TransTypes[],Transactions[[#This Row],[TTR]],TT_COL_GLFlag)=1, INDEX(TransTypes[], Transactions[[#This Row],[TTR]], TT_COL_ShareTransferFlag)=1),
            Transactions[[#This Row],[CostImpact]]*-1,
            Transactions[[#This Row],[CalCashImpact]]
      ),
     0
)</f>
        <v>0</v>
      </c>
      <c r="Y946" s="168" t="str">
        <f>VLOOKUP(Transactions[[#This Row],[Symbol]],Symbols[], COLUMN(Symbols[Currency])-COLUMN(Symbols[])+1,FALSE)</f>
        <v>CNY</v>
      </c>
    </row>
    <row r="947" spans="1:25">
      <c r="A947" s="155" t="s">
        <v>82</v>
      </c>
      <c r="B947" s="156">
        <v>42381</v>
      </c>
      <c r="C947" s="155" t="s">
        <v>113</v>
      </c>
      <c r="D947" s="155"/>
      <c r="E947" s="155" t="s">
        <v>675</v>
      </c>
      <c r="F947" s="157">
        <v>200000</v>
      </c>
      <c r="G947" s="158">
        <v>1.018</v>
      </c>
      <c r="H947" s="157">
        <v>134.74</v>
      </c>
      <c r="I947" s="157"/>
      <c r="J947" s="159">
        <v>203734.74</v>
      </c>
      <c r="K947" s="6" t="s">
        <v>641</v>
      </c>
      <c r="L947" s="20">
        <f>IF(ISNA(MATCH(Transactions[[#This Row],[TransType]],TransTypes[TransType],0)),1,MATCH(Transactions[[#This Row],[TransType]],TransTypes[TransType],0))</f>
        <v>2</v>
      </c>
      <c r="M947" s="160">
        <f>IF( AND( INDEX(TransTypes[],Transactions[[#This Row],[TTR]],TT_COL_GLFlag)=1, INDEX(TransTypes[],Transactions[[#This Row],[TTR]],TT_COL_LONGORSHORT)="S" ),
      Transactions[[#This Row],[PL]],
      IF(INDEX(TransTypes[],Transactions[[#This Row],[TTR]],TT_COL_LONGORSHORT)="S",0,Transactions[[#This Row],[CalCashImpact]])
)</f>
        <v>-203734.74</v>
      </c>
      <c r="N947" s="161">
        <f>IF(VLOOKUP(Transactions[[#This Row],[Symbol]],Symbols[],COLUMN(Symbols[Currency])-COLUMN(Symbols[])+1,FALSE)=
       VLOOKUP(Transactions[[#This Row],[Account]],Accounts[],COLUMN(Accounts[Currency])-COLUMN(Accounts[])+1,FALSE),
     Transactions[[#This Row],[OrigCashImpact]],
     0
)</f>
        <v>-203734.74</v>
      </c>
      <c r="O9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87309.36</v>
      </c>
      <c r="P9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9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947" s="41">
        <f>ROW()</f>
        <v>947</v>
      </c>
      <c r="S9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203734.74</v>
      </c>
      <c r="T9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203734.74</v>
      </c>
      <c r="U9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947" s="166">
        <f>IF(INDEX(TransTypes[],Transactions[[#This Row],[TTR]],TT_COL_GLFlag)=1,Transactions[[#This Row],[CalCashImpact]]+Transactions[[#This Row],[CostImpact]],0)</f>
        <v>0</v>
      </c>
      <c r="W947" s="167">
        <f>Transactions[[#This Row],[Amount]]*INDEX(TransTypes[],Transactions[[#This Row],[TTR]],TT_COL_AmntSign)</f>
        <v>-203734.74</v>
      </c>
      <c r="X947" s="167">
        <f>IF(INDEX(TransTypes[],Transactions[[#This Row],[TTR]],TT_COL_LONGORSHORT)="S",
      IF( OR(INDEX(TransTypes[],Transactions[[#This Row],[TTR]],TT_COL_GLFlag)=1, INDEX(TransTypes[], Transactions[[#This Row],[TTR]], TT_COL_ShareTransferFlag)=1),
            Transactions[[#This Row],[CostImpact]]*-1,
            Transactions[[#This Row],[CalCashImpact]]
      ),
     0
)</f>
        <v>0</v>
      </c>
      <c r="Y947" s="168" t="str">
        <f>VLOOKUP(Transactions[[#This Row],[Symbol]],Symbols[], COLUMN(Symbols[Currency])-COLUMN(Symbols[])+1,FALSE)</f>
        <v>CNY</v>
      </c>
    </row>
    <row r="948" spans="1:25">
      <c r="A948" s="155" t="s">
        <v>82</v>
      </c>
      <c r="B948" s="156">
        <v>42381</v>
      </c>
      <c r="C948" s="155" t="s">
        <v>113</v>
      </c>
      <c r="D948" s="155"/>
      <c r="E948" s="155" t="s">
        <v>660</v>
      </c>
      <c r="F948" s="157">
        <v>500</v>
      </c>
      <c r="G948" s="158">
        <v>31.99</v>
      </c>
      <c r="H948" s="157">
        <v>6.4</v>
      </c>
      <c r="I948" s="157"/>
      <c r="J948" s="159">
        <v>16001.4</v>
      </c>
      <c r="K948" s="6" t="s">
        <v>641</v>
      </c>
      <c r="L948" s="20">
        <f>IF(ISNA(MATCH(Transactions[[#This Row],[TransType]],TransTypes[TransType],0)),1,MATCH(Transactions[[#This Row],[TransType]],TransTypes[TransType],0))</f>
        <v>2</v>
      </c>
      <c r="M948" s="160">
        <f>IF( AND( INDEX(TransTypes[],Transactions[[#This Row],[TTR]],TT_COL_GLFlag)=1, INDEX(TransTypes[],Transactions[[#This Row],[TTR]],TT_COL_LONGORSHORT)="S" ),
      Transactions[[#This Row],[PL]],
      IF(INDEX(TransTypes[],Transactions[[#This Row],[TTR]],TT_COL_LONGORSHORT)="S",0,Transactions[[#This Row],[CalCashImpact]])
)</f>
        <v>-16001.4</v>
      </c>
      <c r="N948" s="161">
        <f>IF(VLOOKUP(Transactions[[#This Row],[Symbol]],Symbols[],COLUMN(Symbols[Currency])-COLUMN(Symbols[])+1,FALSE)=
       VLOOKUP(Transactions[[#This Row],[Account]],Accounts[],COLUMN(Accounts[Currency])-COLUMN(Accounts[])+1,FALSE),
     Transactions[[#This Row],[OrigCashImpact]],
     0
)</f>
        <v>-16001.4</v>
      </c>
      <c r="O9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71307.960000000006</v>
      </c>
      <c r="P9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9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948" s="41">
        <f>ROW()</f>
        <v>948</v>
      </c>
      <c r="S9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16001.4</v>
      </c>
      <c r="T9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63604.416959064329</v>
      </c>
      <c r="U9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48" s="166">
        <f>IF(INDEX(TransTypes[],Transactions[[#This Row],[TTR]],TT_COL_GLFlag)=1,Transactions[[#This Row],[CalCashImpact]]+Transactions[[#This Row],[CostImpact]],0)</f>
        <v>0</v>
      </c>
      <c r="W948" s="167">
        <f>Transactions[[#This Row],[Amount]]*INDEX(TransTypes[],Transactions[[#This Row],[TTR]],TT_COL_AmntSign)</f>
        <v>-16001.4</v>
      </c>
      <c r="X948" s="167">
        <f>IF(INDEX(TransTypes[],Transactions[[#This Row],[TTR]],TT_COL_LONGORSHORT)="S",
      IF( OR(INDEX(TransTypes[],Transactions[[#This Row],[TTR]],TT_COL_GLFlag)=1, INDEX(TransTypes[], Transactions[[#This Row],[TTR]], TT_COL_ShareTransferFlag)=1),
            Transactions[[#This Row],[CostImpact]]*-1,
            Transactions[[#This Row],[CalCashImpact]]
      ),
     0
)</f>
        <v>0</v>
      </c>
      <c r="Y948" s="168" t="str">
        <f>VLOOKUP(Transactions[[#This Row],[Symbol]],Symbols[], COLUMN(Symbols[Currency])-COLUMN(Symbols[])+1,FALSE)</f>
        <v>CNY</v>
      </c>
    </row>
    <row r="949" spans="1:25">
      <c r="A949" s="155" t="s">
        <v>82</v>
      </c>
      <c r="B949" s="156">
        <v>42381</v>
      </c>
      <c r="C949" s="155" t="s">
        <v>115</v>
      </c>
      <c r="D949" s="155"/>
      <c r="E949" s="155" t="s">
        <v>661</v>
      </c>
      <c r="F949" s="157">
        <v>85853</v>
      </c>
      <c r="G949" s="158">
        <v>0.95</v>
      </c>
      <c r="H949" s="157">
        <v>32.619999999999997</v>
      </c>
      <c r="I949" s="157"/>
      <c r="J949" s="159">
        <v>81527.73</v>
      </c>
      <c r="K949" s="6" t="s">
        <v>641</v>
      </c>
      <c r="L949" s="20">
        <f>IF(ISNA(MATCH(Transactions[[#This Row],[TransType]],TransTypes[TransType],0)),1,MATCH(Transactions[[#This Row],[TransType]],TransTypes[TransType],0))</f>
        <v>3</v>
      </c>
      <c r="M949" s="160">
        <f>IF( AND( INDEX(TransTypes[],Transactions[[#This Row],[TTR]],TT_COL_GLFlag)=1, INDEX(TransTypes[],Transactions[[#This Row],[TTR]],TT_COL_LONGORSHORT)="S" ),
      Transactions[[#This Row],[PL]],
      IF(INDEX(TransTypes[],Transactions[[#This Row],[TTR]],TT_COL_LONGORSHORT)="S",0,Transactions[[#This Row],[CalCashImpact]])
)</f>
        <v>81527.73</v>
      </c>
      <c r="N949" s="161">
        <f>IF(VLOOKUP(Transactions[[#This Row],[Symbol]],Symbols[],COLUMN(Symbols[Currency])-COLUMN(Symbols[])+1,FALSE)=
       VLOOKUP(Transactions[[#This Row],[Account]],Accounts[],COLUMN(Accounts[Currency])-COLUMN(Accounts[])+1,FALSE),
     Transactions[[#This Row],[OrigCashImpact]],
     0
)</f>
        <v>81527.73</v>
      </c>
      <c r="O9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152835.69</v>
      </c>
      <c r="P9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-85853</v>
      </c>
      <c r="Q9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314147</v>
      </c>
      <c r="R949" s="41">
        <f>ROW()</f>
        <v>949</v>
      </c>
      <c r="S9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-81373.48903765557</v>
      </c>
      <c r="T9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297755.90207345557</v>
      </c>
      <c r="U9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400000</v>
      </c>
      <c r="V949" s="166">
        <f>IF(INDEX(TransTypes[],Transactions[[#This Row],[TTR]],TT_COL_GLFlag)=1,Transactions[[#This Row],[CalCashImpact]]+Transactions[[#This Row],[CostImpact]],0)</f>
        <v>154.2409623444255</v>
      </c>
      <c r="W949" s="167">
        <f>Transactions[[#This Row],[Amount]]*INDEX(TransTypes[],Transactions[[#This Row],[TTR]],TT_COL_AmntSign)</f>
        <v>81527.73</v>
      </c>
      <c r="X949" s="167">
        <f>IF(INDEX(TransTypes[],Transactions[[#This Row],[TTR]],TT_COL_LONGORSHORT)="S",
      IF( OR(INDEX(TransTypes[],Transactions[[#This Row],[TTR]],TT_COL_GLFlag)=1, INDEX(TransTypes[], Transactions[[#This Row],[TTR]], TT_COL_ShareTransferFlag)=1),
            Transactions[[#This Row],[CostImpact]]*-1,
            Transactions[[#This Row],[CalCashImpact]]
      ),
     0
)</f>
        <v>0</v>
      </c>
      <c r="Y949" s="168" t="str">
        <f>VLOOKUP(Transactions[[#This Row],[Symbol]],Symbols[], COLUMN(Symbols[Currency])-COLUMN(Symbols[])+1,FALSE)</f>
        <v>CNY</v>
      </c>
    </row>
    <row r="950" spans="1:25">
      <c r="A950" s="155" t="s">
        <v>82</v>
      </c>
      <c r="B950" s="156">
        <v>42381</v>
      </c>
      <c r="C950" s="155" t="s">
        <v>115</v>
      </c>
      <c r="D950" s="155"/>
      <c r="E950" s="155" t="s">
        <v>658</v>
      </c>
      <c r="F950" s="157">
        <v>4000</v>
      </c>
      <c r="G950" s="158">
        <v>20.16</v>
      </c>
      <c r="H950" s="157">
        <v>114.51</v>
      </c>
      <c r="I950" s="157"/>
      <c r="J950" s="159">
        <v>80525.490000000005</v>
      </c>
      <c r="K950" s="6" t="s">
        <v>641</v>
      </c>
      <c r="L950" s="20">
        <f>IF(ISNA(MATCH(Transactions[[#This Row],[TransType]],TransTypes[TransType],0)),1,MATCH(Transactions[[#This Row],[TransType]],TransTypes[TransType],0))</f>
        <v>3</v>
      </c>
      <c r="M950" s="160">
        <f>IF( AND( INDEX(TransTypes[],Transactions[[#This Row],[TTR]],TT_COL_GLFlag)=1, INDEX(TransTypes[],Transactions[[#This Row],[TTR]],TT_COL_LONGORSHORT)="S" ),
      Transactions[[#This Row],[PL]],
      IF(INDEX(TransTypes[],Transactions[[#This Row],[TTR]],TT_COL_LONGORSHORT)="S",0,Transactions[[#This Row],[CalCashImpact]])
)</f>
        <v>80525.490000000005</v>
      </c>
      <c r="N950" s="161">
        <f>IF(VLOOKUP(Transactions[[#This Row],[Symbol]],Symbols[],COLUMN(Symbols[Currency])-COLUMN(Symbols[])+1,FALSE)=
       VLOOKUP(Transactions[[#This Row],[Account]],Accounts[],COLUMN(Accounts[Currency])-COLUMN(Accounts[])+1,FALSE),
     Transactions[[#This Row],[OrigCashImpact]],
     0
)</f>
        <v>80525.490000000005</v>
      </c>
      <c r="O9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233361.18</v>
      </c>
      <c r="P9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9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50" s="41">
        <f>ROW()</f>
        <v>950</v>
      </c>
      <c r="S9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-89719.665000000008</v>
      </c>
      <c r="T9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950" s="166">
        <f>IF(INDEX(TransTypes[],Transactions[[#This Row],[TTR]],TT_COL_GLFlag)=1,Transactions[[#This Row],[CalCashImpact]]+Transactions[[#This Row],[CostImpact]],0)</f>
        <v>-9194.1750000000029</v>
      </c>
      <c r="W950" s="167">
        <f>Transactions[[#This Row],[Amount]]*INDEX(TransTypes[],Transactions[[#This Row],[TTR]],TT_COL_AmntSign)</f>
        <v>80525.490000000005</v>
      </c>
      <c r="X950" s="167">
        <f>IF(INDEX(TransTypes[],Transactions[[#This Row],[TTR]],TT_COL_LONGORSHORT)="S",
      IF( OR(INDEX(TransTypes[],Transactions[[#This Row],[TTR]],TT_COL_GLFlag)=1, INDEX(TransTypes[], Transactions[[#This Row],[TTR]], TT_COL_ShareTransferFlag)=1),
            Transactions[[#This Row],[CostImpact]]*-1,
            Transactions[[#This Row],[CalCashImpact]]
      ),
     0
)</f>
        <v>0</v>
      </c>
      <c r="Y950" s="168" t="str">
        <f>VLOOKUP(Transactions[[#This Row],[Symbol]],Symbols[], COLUMN(Symbols[Currency])-COLUMN(Symbols[])+1,FALSE)</f>
        <v>CNY</v>
      </c>
    </row>
    <row r="951" spans="1:25">
      <c r="A951" s="155" t="s">
        <v>82</v>
      </c>
      <c r="B951" s="156">
        <v>42381</v>
      </c>
      <c r="C951" s="155" t="s">
        <v>115</v>
      </c>
      <c r="D951" s="155"/>
      <c r="E951" s="155" t="s">
        <v>665</v>
      </c>
      <c r="F951" s="157">
        <v>400000</v>
      </c>
      <c r="G951" s="158">
        <v>0.88900000000000001</v>
      </c>
      <c r="H951" s="157">
        <v>142.24</v>
      </c>
      <c r="I951" s="157"/>
      <c r="J951" s="159">
        <v>355457.76</v>
      </c>
      <c r="K951" s="6" t="s">
        <v>641</v>
      </c>
      <c r="L951" s="20">
        <f>IF(ISNA(MATCH(Transactions[[#This Row],[TransType]],TransTypes[TransType],0)),1,MATCH(Transactions[[#This Row],[TransType]],TransTypes[TransType],0))</f>
        <v>3</v>
      </c>
      <c r="M951" s="160">
        <f>IF( AND( INDEX(TransTypes[],Transactions[[#This Row],[TTR]],TT_COL_GLFlag)=1, INDEX(TransTypes[],Transactions[[#This Row],[TTR]],TT_COL_LONGORSHORT)="S" ),
      Transactions[[#This Row],[PL]],
      IF(INDEX(TransTypes[],Transactions[[#This Row],[TTR]],TT_COL_LONGORSHORT)="S",0,Transactions[[#This Row],[CalCashImpact]])
)</f>
        <v>355457.76</v>
      </c>
      <c r="N951" s="161">
        <f>IF(VLOOKUP(Transactions[[#This Row],[Symbol]],Symbols[],COLUMN(Symbols[Currency])-COLUMN(Symbols[])+1,FALSE)=
       VLOOKUP(Transactions[[#This Row],[Account]],Accounts[],COLUMN(Accounts[Currency])-COLUMN(Accounts[])+1,FALSE),
     Transactions[[#This Row],[OrigCashImpact]],
     0
)</f>
        <v>355457.76</v>
      </c>
      <c r="O9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588818.93999999994</v>
      </c>
      <c r="P9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-400000</v>
      </c>
      <c r="Q9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320000</v>
      </c>
      <c r="R951" s="41">
        <f>ROW()</f>
        <v>951</v>
      </c>
      <c r="S9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-393212.1</v>
      </c>
      <c r="T9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314569.68000000005</v>
      </c>
      <c r="U9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720000</v>
      </c>
      <c r="V951" s="166">
        <f>IF(INDEX(TransTypes[],Transactions[[#This Row],[TTR]],TT_COL_GLFlag)=1,Transactions[[#This Row],[CalCashImpact]]+Transactions[[#This Row],[CostImpact]],0)</f>
        <v>-37754.339999999967</v>
      </c>
      <c r="W951" s="167">
        <f>Transactions[[#This Row],[Amount]]*INDEX(TransTypes[],Transactions[[#This Row],[TTR]],TT_COL_AmntSign)</f>
        <v>355457.76</v>
      </c>
      <c r="X951" s="167">
        <f>IF(INDEX(TransTypes[],Transactions[[#This Row],[TTR]],TT_COL_LONGORSHORT)="S",
      IF( OR(INDEX(TransTypes[],Transactions[[#This Row],[TTR]],TT_COL_GLFlag)=1, INDEX(TransTypes[], Transactions[[#This Row],[TTR]], TT_COL_ShareTransferFlag)=1),
            Transactions[[#This Row],[CostImpact]]*-1,
            Transactions[[#This Row],[CalCashImpact]]
      ),
     0
)</f>
        <v>0</v>
      </c>
      <c r="Y951" s="168" t="str">
        <f>VLOOKUP(Transactions[[#This Row],[Symbol]],Symbols[], COLUMN(Symbols[Currency])-COLUMN(Symbols[])+1,FALSE)</f>
        <v>CNY</v>
      </c>
    </row>
    <row r="952" spans="1:25">
      <c r="A952" s="155" t="s">
        <v>82</v>
      </c>
      <c r="B952" s="156">
        <v>42382</v>
      </c>
      <c r="C952" s="155" t="s">
        <v>113</v>
      </c>
      <c r="D952" s="155"/>
      <c r="E952" s="155" t="s">
        <v>498</v>
      </c>
      <c r="F952" s="157">
        <v>5800</v>
      </c>
      <c r="G952" s="158">
        <v>100.211</v>
      </c>
      <c r="H952" s="157">
        <v>0</v>
      </c>
      <c r="I952" s="157"/>
      <c r="J952" s="159">
        <v>581223.80000000005</v>
      </c>
      <c r="K952" s="6" t="s">
        <v>641</v>
      </c>
      <c r="L952" s="20">
        <f>IF(ISNA(MATCH(Transactions[[#This Row],[TransType]],TransTypes[TransType],0)),1,MATCH(Transactions[[#This Row],[TransType]],TransTypes[TransType],0))</f>
        <v>2</v>
      </c>
      <c r="M952" s="160">
        <f>IF( AND( INDEX(TransTypes[],Transactions[[#This Row],[TTR]],TT_COL_GLFlag)=1, INDEX(TransTypes[],Transactions[[#This Row],[TTR]],TT_COL_LONGORSHORT)="S" ),
      Transactions[[#This Row],[PL]],
      IF(INDEX(TransTypes[],Transactions[[#This Row],[TTR]],TT_COL_LONGORSHORT)="S",0,Transactions[[#This Row],[CalCashImpact]])
)</f>
        <v>-581223.80000000005</v>
      </c>
      <c r="N952" s="161">
        <f>IF(VLOOKUP(Transactions[[#This Row],[Symbol]],Symbols[],COLUMN(Symbols[Currency])-COLUMN(Symbols[])+1,FALSE)=
       VLOOKUP(Transactions[[#This Row],[Account]],Accounts[],COLUMN(Accounts[Currency])-COLUMN(Accounts[])+1,FALSE),
     Transactions[[#This Row],[OrigCashImpact]],
     0
)</f>
        <v>-581223.80000000005</v>
      </c>
      <c r="O9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7595.1399999998976</v>
      </c>
      <c r="P9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5800</v>
      </c>
      <c r="Q9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10800</v>
      </c>
      <c r="R952" s="41">
        <f>ROW()</f>
        <v>952</v>
      </c>
      <c r="S9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581223.80000000005</v>
      </c>
      <c r="T9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1082058.8</v>
      </c>
      <c r="U9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10800</v>
      </c>
      <c r="V952" s="166">
        <f>IF(INDEX(TransTypes[],Transactions[[#This Row],[TTR]],TT_COL_GLFlag)=1,Transactions[[#This Row],[CalCashImpact]]+Transactions[[#This Row],[CostImpact]],0)</f>
        <v>0</v>
      </c>
      <c r="W952" s="167">
        <f>Transactions[[#This Row],[Amount]]*INDEX(TransTypes[],Transactions[[#This Row],[TTR]],TT_COL_AmntSign)</f>
        <v>-581223.80000000005</v>
      </c>
      <c r="X952" s="167">
        <f>IF(INDEX(TransTypes[],Transactions[[#This Row],[TTR]],TT_COL_LONGORSHORT)="S",
      IF( OR(INDEX(TransTypes[],Transactions[[#This Row],[TTR]],TT_COL_GLFlag)=1, INDEX(TransTypes[], Transactions[[#This Row],[TTR]], TT_COL_ShareTransferFlag)=1),
            Transactions[[#This Row],[CostImpact]]*-1,
            Transactions[[#This Row],[CalCashImpact]]
      ),
     0
)</f>
        <v>0</v>
      </c>
      <c r="Y952" s="168" t="str">
        <f>VLOOKUP(Transactions[[#This Row],[Symbol]],Symbols[], COLUMN(Symbols[Currency])-COLUMN(Symbols[])+1,FALSE)</f>
        <v>CNY</v>
      </c>
    </row>
    <row r="953" spans="1:25">
      <c r="A953" s="155" t="s">
        <v>82</v>
      </c>
      <c r="B953" s="156">
        <v>42383</v>
      </c>
      <c r="C953" s="155" t="s">
        <v>240</v>
      </c>
      <c r="D953" s="155"/>
      <c r="E953" s="155" t="s">
        <v>211</v>
      </c>
      <c r="F953" s="157"/>
      <c r="G953" s="158"/>
      <c r="H953" s="157"/>
      <c r="I953" s="157"/>
      <c r="J953" s="159">
        <v>185.52</v>
      </c>
      <c r="K953" s="6" t="s">
        <v>641</v>
      </c>
      <c r="L953" s="20">
        <f>IF(ISNA(MATCH(Transactions[[#This Row],[TransType]],TransTypes[TransType],0)),1,MATCH(Transactions[[#This Row],[TransType]],TransTypes[TransType],0))</f>
        <v>8</v>
      </c>
      <c r="M953" s="160">
        <f>IF( AND( INDEX(TransTypes[],Transactions[[#This Row],[TTR]],TT_COL_GLFlag)=1, INDEX(TransTypes[],Transactions[[#This Row],[TTR]],TT_COL_LONGORSHORT)="S" ),
      Transactions[[#This Row],[PL]],
      IF(INDEX(TransTypes[],Transactions[[#This Row],[TTR]],TT_COL_LONGORSHORT)="S",0,Transactions[[#This Row],[CalCashImpact]])
)</f>
        <v>185.52</v>
      </c>
      <c r="N953" s="161">
        <f>IF(VLOOKUP(Transactions[[#This Row],[Symbol]],Symbols[],COLUMN(Symbols[Currency])-COLUMN(Symbols[])+1,FALSE)=
       VLOOKUP(Transactions[[#This Row],[Account]],Accounts[],COLUMN(Accounts[Currency])-COLUMN(Accounts[])+1,FALSE),
     Transactions[[#This Row],[OrigCashImpact]],
     0
)</f>
        <v>185.52</v>
      </c>
      <c r="O9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7780.659999999898</v>
      </c>
      <c r="P9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53" s="41">
        <f>ROW()</f>
        <v>953</v>
      </c>
      <c r="S9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953" s="166">
        <f>IF(INDEX(TransTypes[],Transactions[[#This Row],[TTR]],TT_COL_GLFlag)=1,Transactions[[#This Row],[CalCashImpact]]+Transactions[[#This Row],[CostImpact]],0)</f>
        <v>0</v>
      </c>
      <c r="W953" s="167">
        <f>Transactions[[#This Row],[Amount]]*INDEX(TransTypes[],Transactions[[#This Row],[TTR]],TT_COL_AmntSign)</f>
        <v>185.52</v>
      </c>
      <c r="X953" s="167">
        <f>IF(INDEX(TransTypes[],Transactions[[#This Row],[TTR]],TT_COL_LONGORSHORT)="S",
      IF( OR(INDEX(TransTypes[],Transactions[[#This Row],[TTR]],TT_COL_GLFlag)=1, INDEX(TransTypes[], Transactions[[#This Row],[TTR]], TT_COL_ShareTransferFlag)=1),
            Transactions[[#This Row],[CostImpact]]*-1,
            Transactions[[#This Row],[CalCashImpact]]
      ),
     0
)</f>
        <v>0</v>
      </c>
      <c r="Y953" s="168" t="str">
        <f>VLOOKUP(Transactions[[#This Row],[Symbol]],Symbols[], COLUMN(Symbols[Currency])-COLUMN(Symbols[])+1,FALSE)</f>
        <v>CNY</v>
      </c>
    </row>
    <row r="954" spans="1:25">
      <c r="A954" s="155" t="s">
        <v>82</v>
      </c>
      <c r="B954" s="156">
        <v>42383</v>
      </c>
      <c r="C954" s="155" t="s">
        <v>115</v>
      </c>
      <c r="D954" s="155"/>
      <c r="E954" s="155" t="s">
        <v>649</v>
      </c>
      <c r="F954" s="157">
        <v>1000</v>
      </c>
      <c r="G954" s="158">
        <v>44.55</v>
      </c>
      <c r="H954" s="157">
        <v>62.38</v>
      </c>
      <c r="I954" s="157"/>
      <c r="J954" s="159">
        <v>44487.62</v>
      </c>
      <c r="K954" s="6" t="s">
        <v>641</v>
      </c>
      <c r="L954" s="20">
        <f>IF(ISNA(MATCH(Transactions[[#This Row],[TransType]],TransTypes[TransType],0)),1,MATCH(Transactions[[#This Row],[TransType]],TransTypes[TransType],0))</f>
        <v>3</v>
      </c>
      <c r="M954" s="160">
        <f>IF( AND( INDEX(TransTypes[],Transactions[[#This Row],[TTR]],TT_COL_GLFlag)=1, INDEX(TransTypes[],Transactions[[#This Row],[TTR]],TT_COL_LONGORSHORT)="S" ),
      Transactions[[#This Row],[PL]],
      IF(INDEX(TransTypes[],Transactions[[#This Row],[TTR]],TT_COL_LONGORSHORT)="S",0,Transactions[[#This Row],[CalCashImpact]])
)</f>
        <v>44487.62</v>
      </c>
      <c r="N954" s="161">
        <f>IF(VLOOKUP(Transactions[[#This Row],[Symbol]],Symbols[],COLUMN(Symbols[Currency])-COLUMN(Symbols[])+1,FALSE)=
       VLOOKUP(Transactions[[#This Row],[Account]],Accounts[],COLUMN(Accounts[Currency])-COLUMN(Accounts[])+1,FALSE),
     Transactions[[#This Row],[OrigCashImpact]],
     0
)</f>
        <v>44487.62</v>
      </c>
      <c r="O9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52268.279999999897</v>
      </c>
      <c r="P9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54" s="41">
        <f>ROW()</f>
        <v>954</v>
      </c>
      <c r="S9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-47662.822</v>
      </c>
      <c r="T9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47662.822</v>
      </c>
      <c r="U9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54" s="166">
        <f>IF(INDEX(TransTypes[],Transactions[[#This Row],[TTR]],TT_COL_GLFlag)=1,Transactions[[#This Row],[CalCashImpact]]+Transactions[[#This Row],[CostImpact]],0)</f>
        <v>-3175.2019999999975</v>
      </c>
      <c r="W954" s="167">
        <f>Transactions[[#This Row],[Amount]]*INDEX(TransTypes[],Transactions[[#This Row],[TTR]],TT_COL_AmntSign)</f>
        <v>44487.62</v>
      </c>
      <c r="X954" s="167">
        <f>IF(INDEX(TransTypes[],Transactions[[#This Row],[TTR]],TT_COL_LONGORSHORT)="S",
      IF( OR(INDEX(TransTypes[],Transactions[[#This Row],[TTR]],TT_COL_GLFlag)=1, INDEX(TransTypes[], Transactions[[#This Row],[TTR]], TT_COL_ShareTransferFlag)=1),
            Transactions[[#This Row],[CostImpact]]*-1,
            Transactions[[#This Row],[CalCashImpact]]
      ),
     0
)</f>
        <v>0</v>
      </c>
      <c r="Y954" s="168" t="str">
        <f>VLOOKUP(Transactions[[#This Row],[Symbol]],Symbols[], COLUMN(Symbols[Currency])-COLUMN(Symbols[])+1,FALSE)</f>
        <v>CNY</v>
      </c>
    </row>
    <row r="955" spans="1:25">
      <c r="A955" s="155" t="s">
        <v>82</v>
      </c>
      <c r="B955" s="156">
        <v>42383</v>
      </c>
      <c r="C955" s="155" t="s">
        <v>115</v>
      </c>
      <c r="D955" s="155"/>
      <c r="E955" s="155" t="s">
        <v>660</v>
      </c>
      <c r="F955" s="157">
        <v>1000</v>
      </c>
      <c r="G955" s="158">
        <v>31.15</v>
      </c>
      <c r="H955" s="157">
        <v>43.61</v>
      </c>
      <c r="I955" s="157"/>
      <c r="J955" s="159">
        <v>31106.39</v>
      </c>
      <c r="K955" s="6" t="s">
        <v>641</v>
      </c>
      <c r="L955" s="20">
        <f>IF(ISNA(MATCH(Transactions[[#This Row],[TransType]],TransTypes[TransType],0)),1,MATCH(Transactions[[#This Row],[TransType]],TransTypes[TransType],0))</f>
        <v>3</v>
      </c>
      <c r="M955" s="160">
        <f>IF( AND( INDEX(TransTypes[],Transactions[[#This Row],[TTR]],TT_COL_GLFlag)=1, INDEX(TransTypes[],Transactions[[#This Row],[TTR]],TT_COL_LONGORSHORT)="S" ),
      Transactions[[#This Row],[PL]],
      IF(INDEX(TransTypes[],Transactions[[#This Row],[TTR]],TT_COL_LONGORSHORT)="S",0,Transactions[[#This Row],[CalCashImpact]])
)</f>
        <v>31106.39</v>
      </c>
      <c r="N955" s="161">
        <f>IF(VLOOKUP(Transactions[[#This Row],[Symbol]],Symbols[],COLUMN(Symbols[Currency])-COLUMN(Symbols[])+1,FALSE)=
       VLOOKUP(Transactions[[#This Row],[Account]],Accounts[],COLUMN(Accounts[Currency])-COLUMN(Accounts[])+1,FALSE),
     Transactions[[#This Row],[OrigCashImpact]],
     0
)</f>
        <v>31106.39</v>
      </c>
      <c r="O9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83374.669999999896</v>
      </c>
      <c r="P9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55" s="41">
        <f>ROW()</f>
        <v>955</v>
      </c>
      <c r="S9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-31802.208479532164</v>
      </c>
      <c r="T9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31802.208479532164</v>
      </c>
      <c r="U9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55" s="166">
        <f>IF(INDEX(TransTypes[],Transactions[[#This Row],[TTR]],TT_COL_GLFlag)=1,Transactions[[#This Row],[CalCashImpact]]+Transactions[[#This Row],[CostImpact]],0)</f>
        <v>-695.81847953216493</v>
      </c>
      <c r="W955" s="167">
        <f>Transactions[[#This Row],[Amount]]*INDEX(TransTypes[],Transactions[[#This Row],[TTR]],TT_COL_AmntSign)</f>
        <v>31106.39</v>
      </c>
      <c r="X955" s="167">
        <f>IF(INDEX(TransTypes[],Transactions[[#This Row],[TTR]],TT_COL_LONGORSHORT)="S",
      IF( OR(INDEX(TransTypes[],Transactions[[#This Row],[TTR]],TT_COL_GLFlag)=1, INDEX(TransTypes[], Transactions[[#This Row],[TTR]], TT_COL_ShareTransferFlag)=1),
            Transactions[[#This Row],[CostImpact]]*-1,
            Transactions[[#This Row],[CalCashImpact]]
      ),
     0
)</f>
        <v>0</v>
      </c>
      <c r="Y955" s="168" t="str">
        <f>VLOOKUP(Transactions[[#This Row],[Symbol]],Symbols[], COLUMN(Symbols[Currency])-COLUMN(Symbols[])+1,FALSE)</f>
        <v>CNY</v>
      </c>
    </row>
    <row r="956" spans="1:25">
      <c r="A956" s="155" t="s">
        <v>82</v>
      </c>
      <c r="B956" s="156">
        <v>42383</v>
      </c>
      <c r="C956" s="155" t="s">
        <v>115</v>
      </c>
      <c r="D956" s="155"/>
      <c r="E956" s="155" t="s">
        <v>467</v>
      </c>
      <c r="F956" s="157">
        <v>1000</v>
      </c>
      <c r="G956" s="158">
        <v>39.76</v>
      </c>
      <c r="H956" s="157">
        <v>55.66</v>
      </c>
      <c r="I956" s="157"/>
      <c r="J956" s="159">
        <v>39704.339999999997</v>
      </c>
      <c r="K956" s="6" t="s">
        <v>641</v>
      </c>
      <c r="L956" s="20">
        <f>IF(ISNA(MATCH(Transactions[[#This Row],[TransType]],TransTypes[TransType],0)),1,MATCH(Transactions[[#This Row],[TransType]],TransTypes[TransType],0))</f>
        <v>3</v>
      </c>
      <c r="M956" s="160">
        <f>IF( AND( INDEX(TransTypes[],Transactions[[#This Row],[TTR]],TT_COL_GLFlag)=1, INDEX(TransTypes[],Transactions[[#This Row],[TTR]],TT_COL_LONGORSHORT)="S" ),
      Transactions[[#This Row],[PL]],
      IF(INDEX(TransTypes[],Transactions[[#This Row],[TTR]],TT_COL_LONGORSHORT)="S",0,Transactions[[#This Row],[CalCashImpact]])
)</f>
        <v>39704.339999999997</v>
      </c>
      <c r="N956" s="161">
        <f>IF(VLOOKUP(Transactions[[#This Row],[Symbol]],Symbols[],COLUMN(Symbols[Currency])-COLUMN(Symbols[])+1,FALSE)=
       VLOOKUP(Transactions[[#This Row],[Account]],Accounts[],COLUMN(Accounts[Currency])-COLUMN(Accounts[])+1,FALSE),
     Transactions[[#This Row],[OrigCashImpact]],
     0
)</f>
        <v>39704.339999999997</v>
      </c>
      <c r="O9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123079.00999999989</v>
      </c>
      <c r="P9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56" s="41">
        <f>ROW()</f>
        <v>956</v>
      </c>
      <c r="S9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-43007.195</v>
      </c>
      <c r="T9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43007.195</v>
      </c>
      <c r="U9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56" s="166">
        <f>IF(INDEX(TransTypes[],Transactions[[#This Row],[TTR]],TT_COL_GLFlag)=1,Transactions[[#This Row],[CalCashImpact]]+Transactions[[#This Row],[CostImpact]],0)</f>
        <v>-3302.8550000000032</v>
      </c>
      <c r="W956" s="167">
        <f>Transactions[[#This Row],[Amount]]*INDEX(TransTypes[],Transactions[[#This Row],[TTR]],TT_COL_AmntSign)</f>
        <v>39704.339999999997</v>
      </c>
      <c r="X956" s="167">
        <f>IF(INDEX(TransTypes[],Transactions[[#This Row],[TTR]],TT_COL_LONGORSHORT)="S",
      IF( OR(INDEX(TransTypes[],Transactions[[#This Row],[TTR]],TT_COL_GLFlag)=1, INDEX(TransTypes[], Transactions[[#This Row],[TTR]], TT_COL_ShareTransferFlag)=1),
            Transactions[[#This Row],[CostImpact]]*-1,
            Transactions[[#This Row],[CalCashImpact]]
      ),
     0
)</f>
        <v>0</v>
      </c>
      <c r="Y956" s="168" t="str">
        <f>VLOOKUP(Transactions[[#This Row],[Symbol]],Symbols[], COLUMN(Symbols[Currency])-COLUMN(Symbols[])+1,FALSE)</f>
        <v>CNY</v>
      </c>
    </row>
    <row r="957" spans="1:25">
      <c r="A957" s="155" t="s">
        <v>82</v>
      </c>
      <c r="B957" s="156">
        <v>42383</v>
      </c>
      <c r="C957" s="155" t="s">
        <v>113</v>
      </c>
      <c r="D957" s="155"/>
      <c r="E957" s="155" t="s">
        <v>676</v>
      </c>
      <c r="F957" s="157">
        <v>300000</v>
      </c>
      <c r="G957" s="158">
        <v>0.96599999999999997</v>
      </c>
      <c r="H957" s="157">
        <v>115.92</v>
      </c>
      <c r="I957" s="157"/>
      <c r="J957" s="159">
        <v>289915.92</v>
      </c>
      <c r="K957" s="6" t="s">
        <v>641</v>
      </c>
      <c r="L957" s="20">
        <f>IF(ISNA(MATCH(Transactions[[#This Row],[TransType]],TransTypes[TransType],0)),1,MATCH(Transactions[[#This Row],[TransType]],TransTypes[TransType],0))</f>
        <v>2</v>
      </c>
      <c r="M957" s="160">
        <f>IF( AND( INDEX(TransTypes[],Transactions[[#This Row],[TTR]],TT_COL_GLFlag)=1, INDEX(TransTypes[],Transactions[[#This Row],[TTR]],TT_COL_LONGORSHORT)="S" ),
      Transactions[[#This Row],[PL]],
      IF(INDEX(TransTypes[],Transactions[[#This Row],[TTR]],TT_COL_LONGORSHORT)="S",0,Transactions[[#This Row],[CalCashImpact]])
)</f>
        <v>-289915.92</v>
      </c>
      <c r="N957" s="161">
        <f>IF(VLOOKUP(Transactions[[#This Row],[Symbol]],Symbols[],COLUMN(Symbols[Currency])-COLUMN(Symbols[])+1,FALSE)=
       VLOOKUP(Transactions[[#This Row],[Account]],Accounts[],COLUMN(Accounts[Currency])-COLUMN(Accounts[])+1,FALSE),
     Transactions[[#This Row],[OrigCashImpact]],
     0
)</f>
        <v>-289915.92</v>
      </c>
      <c r="O9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-166836.91000000009</v>
      </c>
      <c r="P9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300000</v>
      </c>
      <c r="Q9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300000</v>
      </c>
      <c r="R957" s="41">
        <f>ROW()</f>
        <v>957</v>
      </c>
      <c r="S9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289915.92</v>
      </c>
      <c r="T9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289915.92</v>
      </c>
      <c r="U9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957" s="166">
        <f>IF(INDEX(TransTypes[],Transactions[[#This Row],[TTR]],TT_COL_GLFlag)=1,Transactions[[#This Row],[CalCashImpact]]+Transactions[[#This Row],[CostImpact]],0)</f>
        <v>0</v>
      </c>
      <c r="W957" s="167">
        <f>Transactions[[#This Row],[Amount]]*INDEX(TransTypes[],Transactions[[#This Row],[TTR]],TT_COL_AmntSign)</f>
        <v>-289915.92</v>
      </c>
      <c r="X957" s="167">
        <f>IF(INDEX(TransTypes[],Transactions[[#This Row],[TTR]],TT_COL_LONGORSHORT)="S",
      IF( OR(INDEX(TransTypes[],Transactions[[#This Row],[TTR]],TT_COL_GLFlag)=1, INDEX(TransTypes[], Transactions[[#This Row],[TTR]], TT_COL_ShareTransferFlag)=1),
            Transactions[[#This Row],[CostImpact]]*-1,
            Transactions[[#This Row],[CalCashImpact]]
      ),
     0
)</f>
        <v>0</v>
      </c>
      <c r="Y957" s="168" t="str">
        <f>VLOOKUP(Transactions[[#This Row],[Symbol]],Symbols[], COLUMN(Symbols[Currency])-COLUMN(Symbols[])+1,FALSE)</f>
        <v>CNY</v>
      </c>
    </row>
    <row r="958" spans="1:25">
      <c r="A958" s="155" t="s">
        <v>82</v>
      </c>
      <c r="B958" s="156">
        <v>42383</v>
      </c>
      <c r="C958" s="155" t="s">
        <v>113</v>
      </c>
      <c r="D958" s="155"/>
      <c r="E958" s="155" t="s">
        <v>665</v>
      </c>
      <c r="F958" s="157">
        <v>50000</v>
      </c>
      <c r="G958" s="158">
        <v>0.877</v>
      </c>
      <c r="H958" s="157">
        <v>17.54</v>
      </c>
      <c r="I958" s="157"/>
      <c r="J958" s="159">
        <v>43867.54</v>
      </c>
      <c r="K958" s="6" t="s">
        <v>641</v>
      </c>
      <c r="L958" s="20">
        <f>IF(ISNA(MATCH(Transactions[[#This Row],[TransType]],TransTypes[TransType],0)),1,MATCH(Transactions[[#This Row],[TransType]],TransTypes[TransType],0))</f>
        <v>2</v>
      </c>
      <c r="M958" s="160">
        <f>IF( AND( INDEX(TransTypes[],Transactions[[#This Row],[TTR]],TT_COL_GLFlag)=1, INDEX(TransTypes[],Transactions[[#This Row],[TTR]],TT_COL_LONGORSHORT)="S" ),
      Transactions[[#This Row],[PL]],
      IF(INDEX(TransTypes[],Transactions[[#This Row],[TTR]],TT_COL_LONGORSHORT)="S",0,Transactions[[#This Row],[CalCashImpact]])
)</f>
        <v>-43867.54</v>
      </c>
      <c r="N958" s="161">
        <f>IF(VLOOKUP(Transactions[[#This Row],[Symbol]],Symbols[],COLUMN(Symbols[Currency])-COLUMN(Symbols[])+1,FALSE)=
       VLOOKUP(Transactions[[#This Row],[Account]],Accounts[],COLUMN(Accounts[Currency])-COLUMN(Accounts[])+1,FALSE),
     Transactions[[#This Row],[OrigCashImpact]],
     0
)</f>
        <v>-43867.54</v>
      </c>
      <c r="O9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-210704.4500000001</v>
      </c>
      <c r="P9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9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370000</v>
      </c>
      <c r="R958" s="41">
        <f>ROW()</f>
        <v>958</v>
      </c>
      <c r="S9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43867.54</v>
      </c>
      <c r="T9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358437.22000000003</v>
      </c>
      <c r="U9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370000</v>
      </c>
      <c r="V958" s="166">
        <f>IF(INDEX(TransTypes[],Transactions[[#This Row],[TTR]],TT_COL_GLFlag)=1,Transactions[[#This Row],[CalCashImpact]]+Transactions[[#This Row],[CostImpact]],0)</f>
        <v>0</v>
      </c>
      <c r="W958" s="167">
        <f>Transactions[[#This Row],[Amount]]*INDEX(TransTypes[],Transactions[[#This Row],[TTR]],TT_COL_AmntSign)</f>
        <v>-43867.54</v>
      </c>
      <c r="X958" s="167">
        <f>IF(INDEX(TransTypes[],Transactions[[#This Row],[TTR]],TT_COL_LONGORSHORT)="S",
      IF( OR(INDEX(TransTypes[],Transactions[[#This Row],[TTR]],TT_COL_GLFlag)=1, INDEX(TransTypes[], Transactions[[#This Row],[TTR]], TT_COL_ShareTransferFlag)=1),
            Transactions[[#This Row],[CostImpact]]*-1,
            Transactions[[#This Row],[CalCashImpact]]
      ),
     0
)</f>
        <v>0</v>
      </c>
      <c r="Y958" s="168" t="str">
        <f>VLOOKUP(Transactions[[#This Row],[Symbol]],Symbols[], COLUMN(Symbols[Currency])-COLUMN(Symbols[])+1,FALSE)</f>
        <v>CNY</v>
      </c>
    </row>
    <row r="959" spans="1:25">
      <c r="A959" s="155" t="s">
        <v>82</v>
      </c>
      <c r="B959" s="156">
        <v>42383</v>
      </c>
      <c r="C959" s="155" t="s">
        <v>115</v>
      </c>
      <c r="D959" s="155"/>
      <c r="E959" s="155" t="s">
        <v>464</v>
      </c>
      <c r="F959" s="157">
        <v>200</v>
      </c>
      <c r="G959" s="158">
        <v>198.93</v>
      </c>
      <c r="H959" s="157">
        <v>56.49</v>
      </c>
      <c r="I959" s="157"/>
      <c r="J959" s="159">
        <v>39729.51</v>
      </c>
      <c r="K959" s="6" t="s">
        <v>641</v>
      </c>
      <c r="L959" s="20">
        <f>IF(ISNA(MATCH(Transactions[[#This Row],[TransType]],TransTypes[TransType],0)),1,MATCH(Transactions[[#This Row],[TransType]],TransTypes[TransType],0))</f>
        <v>3</v>
      </c>
      <c r="M959" s="160">
        <f>IF( AND( INDEX(TransTypes[],Transactions[[#This Row],[TTR]],TT_COL_GLFlag)=1, INDEX(TransTypes[],Transactions[[#This Row],[TTR]],TT_COL_LONGORSHORT)="S" ),
      Transactions[[#This Row],[PL]],
      IF(INDEX(TransTypes[],Transactions[[#This Row],[TTR]],TT_COL_LONGORSHORT)="S",0,Transactions[[#This Row],[CalCashImpact]])
)</f>
        <v>39729.51</v>
      </c>
      <c r="N959" s="161">
        <f>IF(VLOOKUP(Transactions[[#This Row],[Symbol]],Symbols[],COLUMN(Symbols[Currency])-COLUMN(Symbols[])+1,FALSE)=
       VLOOKUP(Transactions[[#This Row],[Account]],Accounts[],COLUMN(Accounts[Currency])-COLUMN(Accounts[])+1,FALSE),
     Transactions[[#This Row],[OrigCashImpact]],
     0
)</f>
        <v>39729.51</v>
      </c>
      <c r="O9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-170974.94000000009</v>
      </c>
      <c r="P9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9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959" s="41">
        <f>ROW()</f>
        <v>959</v>
      </c>
      <c r="S9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-40932.049999999996</v>
      </c>
      <c r="T9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102330.125</v>
      </c>
      <c r="U9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959" s="166">
        <f>IF(INDEX(TransTypes[],Transactions[[#This Row],[TTR]],TT_COL_GLFlag)=1,Transactions[[#This Row],[CalCashImpact]]+Transactions[[#This Row],[CostImpact]],0)</f>
        <v>-1202.5399999999936</v>
      </c>
      <c r="W959" s="167">
        <f>Transactions[[#This Row],[Amount]]*INDEX(TransTypes[],Transactions[[#This Row],[TTR]],TT_COL_AmntSign)</f>
        <v>39729.51</v>
      </c>
      <c r="X959" s="167">
        <f>IF(INDEX(TransTypes[],Transactions[[#This Row],[TTR]],TT_COL_LONGORSHORT)="S",
      IF( OR(INDEX(TransTypes[],Transactions[[#This Row],[TTR]],TT_COL_GLFlag)=1, INDEX(TransTypes[], Transactions[[#This Row],[TTR]], TT_COL_ShareTransferFlag)=1),
            Transactions[[#This Row],[CostImpact]]*-1,
            Transactions[[#This Row],[CalCashImpact]]
      ),
     0
)</f>
        <v>0</v>
      </c>
      <c r="Y959" s="168" t="str">
        <f>VLOOKUP(Transactions[[#This Row],[Symbol]],Symbols[], COLUMN(Symbols[Currency])-COLUMN(Symbols[])+1,FALSE)</f>
        <v>CNY</v>
      </c>
    </row>
    <row r="960" spans="1:25">
      <c r="A960" s="155" t="s">
        <v>82</v>
      </c>
      <c r="B960" s="156">
        <v>42383</v>
      </c>
      <c r="C960" s="155" t="s">
        <v>115</v>
      </c>
      <c r="D960" s="155"/>
      <c r="E960" s="155" t="s">
        <v>498</v>
      </c>
      <c r="F960" s="157">
        <v>3000</v>
      </c>
      <c r="G960" s="158">
        <v>100.211</v>
      </c>
      <c r="H960" s="157">
        <v>0</v>
      </c>
      <c r="I960" s="157"/>
      <c r="J960" s="159">
        <v>300633</v>
      </c>
      <c r="K960" s="6" t="s">
        <v>641</v>
      </c>
      <c r="L960" s="20">
        <f>IF(ISNA(MATCH(Transactions[[#This Row],[TransType]],TransTypes[TransType],0)),1,MATCH(Transactions[[#This Row],[TransType]],TransTypes[TransType],0))</f>
        <v>3</v>
      </c>
      <c r="M960" s="160">
        <f>IF( AND( INDEX(TransTypes[],Transactions[[#This Row],[TTR]],TT_COL_GLFlag)=1, INDEX(TransTypes[],Transactions[[#This Row],[TTR]],TT_COL_LONGORSHORT)="S" ),
      Transactions[[#This Row],[PL]],
      IF(INDEX(TransTypes[],Transactions[[#This Row],[TTR]],TT_COL_LONGORSHORT)="S",0,Transactions[[#This Row],[CalCashImpact]])
)</f>
        <v>300633</v>
      </c>
      <c r="N960" s="161">
        <f>IF(VLOOKUP(Transactions[[#This Row],[Symbol]],Symbols[],COLUMN(Symbols[Currency])-COLUMN(Symbols[])+1,FALSE)=
       VLOOKUP(Transactions[[#This Row],[Account]],Accounts[],COLUMN(Accounts[Currency])-COLUMN(Accounts[])+1,FALSE),
     Transactions[[#This Row],[OrigCashImpact]],
     0
)</f>
        <v>300633</v>
      </c>
      <c r="O9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129658.05999999991</v>
      </c>
      <c r="P9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9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7800</v>
      </c>
      <c r="R960" s="41">
        <f>ROW()</f>
        <v>960</v>
      </c>
      <c r="S9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-300571.88888888893</v>
      </c>
      <c r="T9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781486.91111111105</v>
      </c>
      <c r="U9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10800</v>
      </c>
      <c r="V960" s="166">
        <f>IF(INDEX(TransTypes[],Transactions[[#This Row],[TTR]],TT_COL_GLFlag)=1,Transactions[[#This Row],[CalCashImpact]]+Transactions[[#This Row],[CostImpact]],0)</f>
        <v>61.111111111065838</v>
      </c>
      <c r="W960" s="167">
        <f>Transactions[[#This Row],[Amount]]*INDEX(TransTypes[],Transactions[[#This Row],[TTR]],TT_COL_AmntSign)</f>
        <v>300633</v>
      </c>
      <c r="X960" s="167">
        <f>IF(INDEX(TransTypes[],Transactions[[#This Row],[TTR]],TT_COL_LONGORSHORT)="S",
      IF( OR(INDEX(TransTypes[],Transactions[[#This Row],[TTR]],TT_COL_GLFlag)=1, INDEX(TransTypes[], Transactions[[#This Row],[TTR]], TT_COL_ShareTransferFlag)=1),
            Transactions[[#This Row],[CostImpact]]*-1,
            Transactions[[#This Row],[CalCashImpact]]
      ),
     0
)</f>
        <v>0</v>
      </c>
      <c r="Y960" s="168" t="str">
        <f>VLOOKUP(Transactions[[#This Row],[Symbol]],Symbols[], COLUMN(Symbols[Currency])-COLUMN(Symbols[])+1,FALSE)</f>
        <v>CNY</v>
      </c>
    </row>
    <row r="961" spans="1:25">
      <c r="A961" s="155" t="s">
        <v>82</v>
      </c>
      <c r="B961" s="156">
        <v>42383</v>
      </c>
      <c r="C961" s="155" t="s">
        <v>115</v>
      </c>
      <c r="D961" s="155"/>
      <c r="E961" s="155" t="s">
        <v>661</v>
      </c>
      <c r="F961" s="157">
        <v>314147</v>
      </c>
      <c r="G961" s="158">
        <v>0.94199998726710699</v>
      </c>
      <c r="H961" s="157">
        <v>0</v>
      </c>
      <c r="I961" s="157"/>
      <c r="J961" s="159">
        <v>295926.46999999997</v>
      </c>
      <c r="K961" s="6" t="s">
        <v>641</v>
      </c>
      <c r="L961" s="20">
        <f>IF(ISNA(MATCH(Transactions[[#This Row],[TransType]],TransTypes[TransType],0)),1,MATCH(Transactions[[#This Row],[TransType]],TransTypes[TransType],0))</f>
        <v>3</v>
      </c>
      <c r="M961" s="160">
        <f>IF( AND( INDEX(TransTypes[],Transactions[[#This Row],[TTR]],TT_COL_GLFlag)=1, INDEX(TransTypes[],Transactions[[#This Row],[TTR]],TT_COL_LONGORSHORT)="S" ),
      Transactions[[#This Row],[PL]],
      IF(INDEX(TransTypes[],Transactions[[#This Row],[TTR]],TT_COL_LONGORSHORT)="S",0,Transactions[[#This Row],[CalCashImpact]])
)</f>
        <v>295926.46999999997</v>
      </c>
      <c r="N961" s="161">
        <f>IF(VLOOKUP(Transactions[[#This Row],[Symbol]],Symbols[],COLUMN(Symbols[Currency])-COLUMN(Symbols[])+1,FALSE)=
       VLOOKUP(Transactions[[#This Row],[Account]],Accounts[],COLUMN(Accounts[Currency])-COLUMN(Accounts[])+1,FALSE),
     Transactions[[#This Row],[OrigCashImpact]],
     0
)</f>
        <v>295926.46999999997</v>
      </c>
      <c r="O9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425584.52999999991</v>
      </c>
      <c r="P9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-314147</v>
      </c>
      <c r="Q9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61" s="41">
        <f>ROW()</f>
        <v>961</v>
      </c>
      <c r="S9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-297755.90207345557</v>
      </c>
      <c r="T9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314147</v>
      </c>
      <c r="V961" s="166">
        <f>IF(INDEX(TransTypes[],Transactions[[#This Row],[TTR]],TT_COL_GLFlag)=1,Transactions[[#This Row],[CalCashImpact]]+Transactions[[#This Row],[CostImpact]],0)</f>
        <v>-1829.4320734555949</v>
      </c>
      <c r="W961" s="167">
        <f>Transactions[[#This Row],[Amount]]*INDEX(TransTypes[],Transactions[[#This Row],[TTR]],TT_COL_AmntSign)</f>
        <v>295926.46999999997</v>
      </c>
      <c r="X961" s="167">
        <f>IF(INDEX(TransTypes[],Transactions[[#This Row],[TTR]],TT_COL_LONGORSHORT)="S",
      IF( OR(INDEX(TransTypes[],Transactions[[#This Row],[TTR]],TT_COL_GLFlag)=1, INDEX(TransTypes[], Transactions[[#This Row],[TTR]], TT_COL_ShareTransferFlag)=1),
            Transactions[[#This Row],[CostImpact]]*-1,
            Transactions[[#This Row],[CalCashImpact]]
      ),
     0
)</f>
        <v>0</v>
      </c>
      <c r="Y961" s="168" t="str">
        <f>VLOOKUP(Transactions[[#This Row],[Symbol]],Symbols[], COLUMN(Symbols[Currency])-COLUMN(Symbols[])+1,FALSE)</f>
        <v>CNY</v>
      </c>
    </row>
    <row r="962" spans="1:25">
      <c r="A962" s="155" t="s">
        <v>82</v>
      </c>
      <c r="B962" s="156">
        <v>42384</v>
      </c>
      <c r="C962" s="155" t="s">
        <v>113</v>
      </c>
      <c r="D962" s="155"/>
      <c r="E962" s="155" t="s">
        <v>677</v>
      </c>
      <c r="F962" s="157">
        <v>2000</v>
      </c>
      <c r="G962" s="158">
        <v>8.4600000000000009</v>
      </c>
      <c r="H962" s="157">
        <v>7.11</v>
      </c>
      <c r="I962" s="157"/>
      <c r="J962" s="159">
        <v>16927.11</v>
      </c>
      <c r="K962" s="6" t="s">
        <v>641</v>
      </c>
      <c r="L962" s="20">
        <f>IF(ISNA(MATCH(Transactions[[#This Row],[TransType]],TransTypes[TransType],0)),1,MATCH(Transactions[[#This Row],[TransType]],TransTypes[TransType],0))</f>
        <v>2</v>
      </c>
      <c r="M962" s="160">
        <f>IF( AND( INDEX(TransTypes[],Transactions[[#This Row],[TTR]],TT_COL_GLFlag)=1, INDEX(TransTypes[],Transactions[[#This Row],[TTR]],TT_COL_LONGORSHORT)="S" ),
      Transactions[[#This Row],[PL]],
      IF(INDEX(TransTypes[],Transactions[[#This Row],[TTR]],TT_COL_LONGORSHORT)="S",0,Transactions[[#This Row],[CalCashImpact]])
)</f>
        <v>-16927.11</v>
      </c>
      <c r="N962" s="161">
        <f>IF(VLOOKUP(Transactions[[#This Row],[Symbol]],Symbols[],COLUMN(Symbols[Currency])-COLUMN(Symbols[])+1,FALSE)=
       VLOOKUP(Transactions[[#This Row],[Account]],Accounts[],COLUMN(Accounts[Currency])-COLUMN(Accounts[])+1,FALSE),
     Transactions[[#This Row],[OrigCashImpact]],
     0
)</f>
        <v>-16927.11</v>
      </c>
      <c r="O9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408657.41999999993</v>
      </c>
      <c r="P9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9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962" s="41">
        <f>ROW()</f>
        <v>962</v>
      </c>
      <c r="S9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16927.11</v>
      </c>
      <c r="T9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16927.11</v>
      </c>
      <c r="U9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62" s="166">
        <f>IF(INDEX(TransTypes[],Transactions[[#This Row],[TTR]],TT_COL_GLFlag)=1,Transactions[[#This Row],[CalCashImpact]]+Transactions[[#This Row],[CostImpact]],0)</f>
        <v>0</v>
      </c>
      <c r="W962" s="167">
        <f>Transactions[[#This Row],[Amount]]*INDEX(TransTypes[],Transactions[[#This Row],[TTR]],TT_COL_AmntSign)</f>
        <v>-16927.11</v>
      </c>
      <c r="X962" s="167">
        <f>IF(INDEX(TransTypes[],Transactions[[#This Row],[TTR]],TT_COL_LONGORSHORT)="S",
      IF( OR(INDEX(TransTypes[],Transactions[[#This Row],[TTR]],TT_COL_GLFlag)=1, INDEX(TransTypes[], Transactions[[#This Row],[TTR]], TT_COL_ShareTransferFlag)=1),
            Transactions[[#This Row],[CostImpact]]*-1,
            Transactions[[#This Row],[CalCashImpact]]
      ),
     0
)</f>
        <v>0</v>
      </c>
      <c r="Y962" s="168" t="str">
        <f>VLOOKUP(Transactions[[#This Row],[Symbol]],Symbols[], COLUMN(Symbols[Currency])-COLUMN(Symbols[])+1,FALSE)</f>
        <v>CNY</v>
      </c>
    </row>
    <row r="963" spans="1:25">
      <c r="A963" s="155" t="s">
        <v>82</v>
      </c>
      <c r="B963" s="156">
        <v>42384</v>
      </c>
      <c r="C963" s="155" t="s">
        <v>113</v>
      </c>
      <c r="D963" s="155"/>
      <c r="E963" s="155" t="s">
        <v>498</v>
      </c>
      <c r="F963" s="157">
        <v>6000</v>
      </c>
      <c r="G963" s="158">
        <v>100.229</v>
      </c>
      <c r="H963" s="157">
        <v>0</v>
      </c>
      <c r="I963" s="157"/>
      <c r="J963" s="159">
        <v>601374</v>
      </c>
      <c r="K963" s="6" t="s">
        <v>641</v>
      </c>
      <c r="L963" s="20">
        <f>IF(ISNA(MATCH(Transactions[[#This Row],[TransType]],TransTypes[TransType],0)),1,MATCH(Transactions[[#This Row],[TransType]],TransTypes[TransType],0))</f>
        <v>2</v>
      </c>
      <c r="M963" s="160">
        <f>IF( AND( INDEX(TransTypes[],Transactions[[#This Row],[TTR]],TT_COL_GLFlag)=1, INDEX(TransTypes[],Transactions[[#This Row],[TTR]],TT_COL_LONGORSHORT)="S" ),
      Transactions[[#This Row],[PL]],
      IF(INDEX(TransTypes[],Transactions[[#This Row],[TTR]],TT_COL_LONGORSHORT)="S",0,Transactions[[#This Row],[CalCashImpact]])
)</f>
        <v>-601374</v>
      </c>
      <c r="N963" s="161">
        <f>IF(VLOOKUP(Transactions[[#This Row],[Symbol]],Symbols[],COLUMN(Symbols[Currency])-COLUMN(Symbols[])+1,FALSE)=
       VLOOKUP(Transactions[[#This Row],[Account]],Accounts[],COLUMN(Accounts[Currency])-COLUMN(Accounts[])+1,FALSE),
     Transactions[[#This Row],[OrigCashImpact]],
     0
)</f>
        <v>-601374</v>
      </c>
      <c r="O9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-192716.58000000007</v>
      </c>
      <c r="P9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9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13800</v>
      </c>
      <c r="R963" s="41">
        <f>ROW()</f>
        <v>963</v>
      </c>
      <c r="S9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601374</v>
      </c>
      <c r="T9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1382860.9111111111</v>
      </c>
      <c r="U9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13800</v>
      </c>
      <c r="V963" s="166">
        <f>IF(INDEX(TransTypes[],Transactions[[#This Row],[TTR]],TT_COL_GLFlag)=1,Transactions[[#This Row],[CalCashImpact]]+Transactions[[#This Row],[CostImpact]],0)</f>
        <v>0</v>
      </c>
      <c r="W963" s="167">
        <f>Transactions[[#This Row],[Amount]]*INDEX(TransTypes[],Transactions[[#This Row],[TTR]],TT_COL_AmntSign)</f>
        <v>-601374</v>
      </c>
      <c r="X963" s="167">
        <f>IF(INDEX(TransTypes[],Transactions[[#This Row],[TTR]],TT_COL_LONGORSHORT)="S",
      IF( OR(INDEX(TransTypes[],Transactions[[#This Row],[TTR]],TT_COL_GLFlag)=1, INDEX(TransTypes[], Transactions[[#This Row],[TTR]], TT_COL_ShareTransferFlag)=1),
            Transactions[[#This Row],[CostImpact]]*-1,
            Transactions[[#This Row],[CalCashImpact]]
      ),
     0
)</f>
        <v>0</v>
      </c>
      <c r="Y963" s="168" t="str">
        <f>VLOOKUP(Transactions[[#This Row],[Symbol]],Symbols[], COLUMN(Symbols[Currency])-COLUMN(Symbols[])+1,FALSE)</f>
        <v>CNY</v>
      </c>
    </row>
    <row r="964" spans="1:25">
      <c r="A964" s="155" t="s">
        <v>82</v>
      </c>
      <c r="B964" s="156">
        <v>42384</v>
      </c>
      <c r="C964" s="155" t="s">
        <v>113</v>
      </c>
      <c r="D964" s="155"/>
      <c r="E964" s="155" t="s">
        <v>665</v>
      </c>
      <c r="F964" s="157">
        <v>50000</v>
      </c>
      <c r="G964" s="158">
        <v>0.86199999999999999</v>
      </c>
      <c r="H964" s="157">
        <v>17.239999999999998</v>
      </c>
      <c r="I964" s="157"/>
      <c r="J964" s="159">
        <v>43117.24</v>
      </c>
      <c r="K964" s="6" t="s">
        <v>641</v>
      </c>
      <c r="L964" s="20">
        <f>IF(ISNA(MATCH(Transactions[[#This Row],[TransType]],TransTypes[TransType],0)),1,MATCH(Transactions[[#This Row],[TransType]],TransTypes[TransType],0))</f>
        <v>2</v>
      </c>
      <c r="M964" s="160">
        <f>IF( AND( INDEX(TransTypes[],Transactions[[#This Row],[TTR]],TT_COL_GLFlag)=1, INDEX(TransTypes[],Transactions[[#This Row],[TTR]],TT_COL_LONGORSHORT)="S" ),
      Transactions[[#This Row],[PL]],
      IF(INDEX(TransTypes[],Transactions[[#This Row],[TTR]],TT_COL_LONGORSHORT)="S",0,Transactions[[#This Row],[CalCashImpact]])
)</f>
        <v>-43117.24</v>
      </c>
      <c r="N964" s="161">
        <f>IF(VLOOKUP(Transactions[[#This Row],[Symbol]],Symbols[],COLUMN(Symbols[Currency])-COLUMN(Symbols[])+1,FALSE)=
       VLOOKUP(Transactions[[#This Row],[Account]],Accounts[],COLUMN(Accounts[Currency])-COLUMN(Accounts[])+1,FALSE),
     Transactions[[#This Row],[OrigCashImpact]],
     0
)</f>
        <v>-43117.24</v>
      </c>
      <c r="O9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-235833.82000000007</v>
      </c>
      <c r="P9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9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420000</v>
      </c>
      <c r="R964" s="41">
        <f>ROW()</f>
        <v>964</v>
      </c>
      <c r="S9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43117.24</v>
      </c>
      <c r="T9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401554.46</v>
      </c>
      <c r="U9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420000</v>
      </c>
      <c r="V964" s="166">
        <f>IF(INDEX(TransTypes[],Transactions[[#This Row],[TTR]],TT_COL_GLFlag)=1,Transactions[[#This Row],[CalCashImpact]]+Transactions[[#This Row],[CostImpact]],0)</f>
        <v>0</v>
      </c>
      <c r="W964" s="167">
        <f>Transactions[[#This Row],[Amount]]*INDEX(TransTypes[],Transactions[[#This Row],[TTR]],TT_COL_AmntSign)</f>
        <v>-43117.24</v>
      </c>
      <c r="X964" s="167">
        <f>IF(INDEX(TransTypes[],Transactions[[#This Row],[TTR]],TT_COL_LONGORSHORT)="S",
      IF( OR(INDEX(TransTypes[],Transactions[[#This Row],[TTR]],TT_COL_GLFlag)=1, INDEX(TransTypes[], Transactions[[#This Row],[TTR]], TT_COL_ShareTransferFlag)=1),
            Transactions[[#This Row],[CostImpact]]*-1,
            Transactions[[#This Row],[CalCashImpact]]
      ),
     0
)</f>
        <v>0</v>
      </c>
      <c r="Y964" s="168" t="str">
        <f>VLOOKUP(Transactions[[#This Row],[Symbol]],Symbols[], COLUMN(Symbols[Currency])-COLUMN(Symbols[])+1,FALSE)</f>
        <v>CNY</v>
      </c>
    </row>
    <row r="965" spans="1:25">
      <c r="A965" s="155" t="s">
        <v>82</v>
      </c>
      <c r="B965" s="156">
        <v>42384</v>
      </c>
      <c r="C965" s="155" t="s">
        <v>115</v>
      </c>
      <c r="D965" s="155"/>
      <c r="E965" s="155" t="s">
        <v>676</v>
      </c>
      <c r="F965" s="157">
        <v>300000</v>
      </c>
      <c r="G965" s="158">
        <v>0.95799999999999996</v>
      </c>
      <c r="H965" s="157">
        <v>114.96</v>
      </c>
      <c r="I965" s="157"/>
      <c r="J965" s="159">
        <v>287285.03999999998</v>
      </c>
      <c r="K965" s="6" t="s">
        <v>641</v>
      </c>
      <c r="L965" s="20">
        <f>IF(ISNA(MATCH(Transactions[[#This Row],[TransType]],TransTypes[TransType],0)),1,MATCH(Transactions[[#This Row],[TransType]],TransTypes[TransType],0))</f>
        <v>3</v>
      </c>
      <c r="M965" s="160">
        <f>IF( AND( INDEX(TransTypes[],Transactions[[#This Row],[TTR]],TT_COL_GLFlag)=1, INDEX(TransTypes[],Transactions[[#This Row],[TTR]],TT_COL_LONGORSHORT)="S" ),
      Transactions[[#This Row],[PL]],
      IF(INDEX(TransTypes[],Transactions[[#This Row],[TTR]],TT_COL_LONGORSHORT)="S",0,Transactions[[#This Row],[CalCashImpact]])
)</f>
        <v>287285.03999999998</v>
      </c>
      <c r="N965" s="161">
        <f>IF(VLOOKUP(Transactions[[#This Row],[Symbol]],Symbols[],COLUMN(Symbols[Currency])-COLUMN(Symbols[])+1,FALSE)=
       VLOOKUP(Transactions[[#This Row],[Account]],Accounts[],COLUMN(Accounts[Currency])-COLUMN(Accounts[])+1,FALSE),
     Transactions[[#This Row],[OrigCashImpact]],
     0
)</f>
        <v>287285.03999999998</v>
      </c>
      <c r="O9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51451.219999999914</v>
      </c>
      <c r="P9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-300000</v>
      </c>
      <c r="Q9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65" s="41">
        <f>ROW()</f>
        <v>965</v>
      </c>
      <c r="S9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-289915.92</v>
      </c>
      <c r="T9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965" s="166">
        <f>IF(INDEX(TransTypes[],Transactions[[#This Row],[TTR]],TT_COL_GLFlag)=1,Transactions[[#This Row],[CalCashImpact]]+Transactions[[#This Row],[CostImpact]],0)</f>
        <v>-2630.8800000000047</v>
      </c>
      <c r="W965" s="167">
        <f>Transactions[[#This Row],[Amount]]*INDEX(TransTypes[],Transactions[[#This Row],[TTR]],TT_COL_AmntSign)</f>
        <v>287285.03999999998</v>
      </c>
      <c r="X965" s="167">
        <f>IF(INDEX(TransTypes[],Transactions[[#This Row],[TTR]],TT_COL_LONGORSHORT)="S",
      IF( OR(INDEX(TransTypes[],Transactions[[#This Row],[TTR]],TT_COL_GLFlag)=1, INDEX(TransTypes[], Transactions[[#This Row],[TTR]], TT_COL_ShareTransferFlag)=1),
            Transactions[[#This Row],[CostImpact]]*-1,
            Transactions[[#This Row],[CalCashImpact]]
      ),
     0
)</f>
        <v>0</v>
      </c>
      <c r="Y965" s="168" t="str">
        <f>VLOOKUP(Transactions[[#This Row],[Symbol]],Symbols[], COLUMN(Symbols[Currency])-COLUMN(Symbols[])+1,FALSE)</f>
        <v>CNY</v>
      </c>
    </row>
    <row r="966" spans="1:25">
      <c r="A966" s="155" t="s">
        <v>82</v>
      </c>
      <c r="B966" s="156">
        <v>42387</v>
      </c>
      <c r="C966" s="155" t="s">
        <v>119</v>
      </c>
      <c r="D966" s="155"/>
      <c r="E966" s="155" t="s">
        <v>211</v>
      </c>
      <c r="F966" s="157"/>
      <c r="G966" s="158"/>
      <c r="H966" s="157"/>
      <c r="I966" s="157"/>
      <c r="J966" s="159">
        <v>63884.14</v>
      </c>
      <c r="K966" s="6" t="s">
        <v>641</v>
      </c>
      <c r="L966" s="20">
        <f>IF(ISNA(MATCH(Transactions[[#This Row],[TransType]],TransTypes[TransType],0)),1,MATCH(Transactions[[#This Row],[TransType]],TransTypes[TransType],0))</f>
        <v>5</v>
      </c>
      <c r="M966" s="160">
        <f>IF( AND( INDEX(TransTypes[],Transactions[[#This Row],[TTR]],TT_COL_GLFlag)=1, INDEX(TransTypes[],Transactions[[#This Row],[TTR]],TT_COL_LONGORSHORT)="S" ),
      Transactions[[#This Row],[PL]],
      IF(INDEX(TransTypes[],Transactions[[#This Row],[TTR]],TT_COL_LONGORSHORT)="S",0,Transactions[[#This Row],[CalCashImpact]])
)</f>
        <v>-63884.14</v>
      </c>
      <c r="N966" s="161">
        <f>IF(VLOOKUP(Transactions[[#This Row],[Symbol]],Symbols[],COLUMN(Symbols[Currency])-COLUMN(Symbols[])+1,FALSE)=
       VLOOKUP(Transactions[[#This Row],[Account]],Accounts[],COLUMN(Accounts[Currency])-COLUMN(Accounts[])+1,FALSE),
     Transactions[[#This Row],[OrigCashImpact]],
     0
)</f>
        <v>-63884.14</v>
      </c>
      <c r="O9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-12432.920000000086</v>
      </c>
      <c r="P9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66" s="41">
        <f>ROW()</f>
        <v>966</v>
      </c>
      <c r="S9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966" s="166">
        <f>IF(INDEX(TransTypes[],Transactions[[#This Row],[TTR]],TT_COL_GLFlag)=1,Transactions[[#This Row],[CalCashImpact]]+Transactions[[#This Row],[CostImpact]],0)</f>
        <v>0</v>
      </c>
      <c r="W966" s="167">
        <f>Transactions[[#This Row],[Amount]]*INDEX(TransTypes[],Transactions[[#This Row],[TTR]],TT_COL_AmntSign)</f>
        <v>-63884.14</v>
      </c>
      <c r="X966" s="167">
        <f>IF(INDEX(TransTypes[],Transactions[[#This Row],[TTR]],TT_COL_LONGORSHORT)="S",
      IF( OR(INDEX(TransTypes[],Transactions[[#This Row],[TTR]],TT_COL_GLFlag)=1, INDEX(TransTypes[], Transactions[[#This Row],[TTR]], TT_COL_ShareTransferFlag)=1),
            Transactions[[#This Row],[CostImpact]]*-1,
            Transactions[[#This Row],[CalCashImpact]]
      ),
     0
)</f>
        <v>0</v>
      </c>
      <c r="Y966" s="168" t="str">
        <f>VLOOKUP(Transactions[[#This Row],[Symbol]],Symbols[], COLUMN(Symbols[Currency])-COLUMN(Symbols[])+1,FALSE)</f>
        <v>CNY</v>
      </c>
    </row>
    <row r="967" spans="1:25">
      <c r="A967" s="155" t="s">
        <v>82</v>
      </c>
      <c r="B967" s="156">
        <v>42387</v>
      </c>
      <c r="C967" s="155" t="s">
        <v>115</v>
      </c>
      <c r="D967" s="155"/>
      <c r="E967" s="155" t="s">
        <v>660</v>
      </c>
      <c r="F967" s="157">
        <v>1000</v>
      </c>
      <c r="G967" s="158">
        <v>29.45</v>
      </c>
      <c r="H967" s="157">
        <v>41.23</v>
      </c>
      <c r="I967" s="157"/>
      <c r="J967" s="159">
        <v>29408.77</v>
      </c>
      <c r="K967" s="6" t="s">
        <v>641</v>
      </c>
      <c r="L967" s="20">
        <f>IF(ISNA(MATCH(Transactions[[#This Row],[TransType]],TransTypes[TransType],0)),1,MATCH(Transactions[[#This Row],[TransType]],TransTypes[TransType],0))</f>
        <v>3</v>
      </c>
      <c r="M967" s="160">
        <f>IF( AND( INDEX(TransTypes[],Transactions[[#This Row],[TTR]],TT_COL_GLFlag)=1, INDEX(TransTypes[],Transactions[[#This Row],[TTR]],TT_COL_LONGORSHORT)="S" ),
      Transactions[[#This Row],[PL]],
      IF(INDEX(TransTypes[],Transactions[[#This Row],[TTR]],TT_COL_LONGORSHORT)="S",0,Transactions[[#This Row],[CalCashImpact]])
)</f>
        <v>29408.77</v>
      </c>
      <c r="N967" s="161">
        <f>IF(VLOOKUP(Transactions[[#This Row],[Symbol]],Symbols[],COLUMN(Symbols[Currency])-COLUMN(Symbols[])+1,FALSE)=
       VLOOKUP(Transactions[[#This Row],[Account]],Accounts[],COLUMN(Accounts[Currency])-COLUMN(Accounts[])+1,FALSE),
     Transactions[[#This Row],[OrigCashImpact]],
     0
)</f>
        <v>29408.77</v>
      </c>
      <c r="O9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16975.849999999919</v>
      </c>
      <c r="P9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67" s="41">
        <f>ROW()</f>
        <v>967</v>
      </c>
      <c r="S9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-31802.208479532164</v>
      </c>
      <c r="T9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67" s="166">
        <f>IF(INDEX(TransTypes[],Transactions[[#This Row],[TTR]],TT_COL_GLFlag)=1,Transactions[[#This Row],[CalCashImpact]]+Transactions[[#This Row],[CostImpact]],0)</f>
        <v>-2393.4384795321639</v>
      </c>
      <c r="W967" s="167">
        <f>Transactions[[#This Row],[Amount]]*INDEX(TransTypes[],Transactions[[#This Row],[TTR]],TT_COL_AmntSign)</f>
        <v>29408.77</v>
      </c>
      <c r="X967" s="167">
        <f>IF(INDEX(TransTypes[],Transactions[[#This Row],[TTR]],TT_COL_LONGORSHORT)="S",
      IF( OR(INDEX(TransTypes[],Transactions[[#This Row],[TTR]],TT_COL_GLFlag)=1, INDEX(TransTypes[], Transactions[[#This Row],[TTR]], TT_COL_ShareTransferFlag)=1),
            Transactions[[#This Row],[CostImpact]]*-1,
            Transactions[[#This Row],[CalCashImpact]]
      ),
     0
)</f>
        <v>0</v>
      </c>
      <c r="Y967" s="168" t="str">
        <f>VLOOKUP(Transactions[[#This Row],[Symbol]],Symbols[], COLUMN(Symbols[Currency])-COLUMN(Symbols[])+1,FALSE)</f>
        <v>CNY</v>
      </c>
    </row>
    <row r="968" spans="1:25">
      <c r="A968" s="155" t="s">
        <v>82</v>
      </c>
      <c r="B968" s="156">
        <v>42387</v>
      </c>
      <c r="C968" s="155" t="s">
        <v>115</v>
      </c>
      <c r="D968" s="155"/>
      <c r="E968" s="155" t="s">
        <v>647</v>
      </c>
      <c r="F968" s="157">
        <v>1000</v>
      </c>
      <c r="G968" s="158">
        <v>28.55</v>
      </c>
      <c r="H968" s="157">
        <v>39.97</v>
      </c>
      <c r="I968" s="157"/>
      <c r="J968" s="159">
        <v>28510.03</v>
      </c>
      <c r="K968" s="6" t="s">
        <v>641</v>
      </c>
      <c r="L968" s="20">
        <f>IF(ISNA(MATCH(Transactions[[#This Row],[TransType]],TransTypes[TransType],0)),1,MATCH(Transactions[[#This Row],[TransType]],TransTypes[TransType],0))</f>
        <v>3</v>
      </c>
      <c r="M968" s="160">
        <f>IF( AND( INDEX(TransTypes[],Transactions[[#This Row],[TTR]],TT_COL_GLFlag)=1, INDEX(TransTypes[],Transactions[[#This Row],[TTR]],TT_COL_LONGORSHORT)="S" ),
      Transactions[[#This Row],[PL]],
      IF(INDEX(TransTypes[],Transactions[[#This Row],[TTR]],TT_COL_LONGORSHORT)="S",0,Transactions[[#This Row],[CalCashImpact]])
)</f>
        <v>28510.03</v>
      </c>
      <c r="N968" s="161">
        <f>IF(VLOOKUP(Transactions[[#This Row],[Symbol]],Symbols[],COLUMN(Symbols[Currency])-COLUMN(Symbols[])+1,FALSE)=
       VLOOKUP(Transactions[[#This Row],[Account]],Accounts[],COLUMN(Accounts[Currency])-COLUMN(Accounts[])+1,FALSE),
     Transactions[[#This Row],[OrigCashImpact]],
     0
)</f>
        <v>28510.03</v>
      </c>
      <c r="O9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45485.879999999917</v>
      </c>
      <c r="P9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68" s="41">
        <f>ROW()</f>
        <v>968</v>
      </c>
      <c r="S9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-32511.250000000011</v>
      </c>
      <c r="T9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68" s="166">
        <f>IF(INDEX(TransTypes[],Transactions[[#This Row],[TTR]],TT_COL_GLFlag)=1,Transactions[[#This Row],[CalCashImpact]]+Transactions[[#This Row],[CostImpact]],0)</f>
        <v>-4001.2200000000121</v>
      </c>
      <c r="W968" s="167">
        <f>Transactions[[#This Row],[Amount]]*INDEX(TransTypes[],Transactions[[#This Row],[TTR]],TT_COL_AmntSign)</f>
        <v>28510.03</v>
      </c>
      <c r="X968" s="167">
        <f>IF(INDEX(TransTypes[],Transactions[[#This Row],[TTR]],TT_COL_LONGORSHORT)="S",
      IF( OR(INDEX(TransTypes[],Transactions[[#This Row],[TTR]],TT_COL_GLFlag)=1, INDEX(TransTypes[], Transactions[[#This Row],[TTR]], TT_COL_ShareTransferFlag)=1),
            Transactions[[#This Row],[CostImpact]]*-1,
            Transactions[[#This Row],[CalCashImpact]]
      ),
     0
)</f>
        <v>0</v>
      </c>
      <c r="Y968" s="168" t="str">
        <f>VLOOKUP(Transactions[[#This Row],[Symbol]],Symbols[], COLUMN(Symbols[Currency])-COLUMN(Symbols[])+1,FALSE)</f>
        <v>CNY</v>
      </c>
    </row>
    <row r="969" spans="1:25">
      <c r="A969" s="155" t="s">
        <v>82</v>
      </c>
      <c r="B969" s="156">
        <v>42387</v>
      </c>
      <c r="C969" s="155" t="s">
        <v>115</v>
      </c>
      <c r="D969" s="155"/>
      <c r="E969" s="155" t="s">
        <v>467</v>
      </c>
      <c r="F969" s="157">
        <v>1000</v>
      </c>
      <c r="G969" s="158">
        <v>43.061</v>
      </c>
      <c r="H969" s="157">
        <v>60.29</v>
      </c>
      <c r="I969" s="157"/>
      <c r="J969" s="159">
        <v>43000.71</v>
      </c>
      <c r="K969" s="6" t="s">
        <v>641</v>
      </c>
      <c r="L969" s="20">
        <f>IF(ISNA(MATCH(Transactions[[#This Row],[TransType]],TransTypes[TransType],0)),1,MATCH(Transactions[[#This Row],[TransType]],TransTypes[TransType],0))</f>
        <v>3</v>
      </c>
      <c r="M969" s="160">
        <f>IF( AND( INDEX(TransTypes[],Transactions[[#This Row],[TTR]],TT_COL_GLFlag)=1, INDEX(TransTypes[],Transactions[[#This Row],[TTR]],TT_COL_LONGORSHORT)="S" ),
      Transactions[[#This Row],[PL]],
      IF(INDEX(TransTypes[],Transactions[[#This Row],[TTR]],TT_COL_LONGORSHORT)="S",0,Transactions[[#This Row],[CalCashImpact]])
)</f>
        <v>43000.71</v>
      </c>
      <c r="N969" s="161">
        <f>IF(VLOOKUP(Transactions[[#This Row],[Symbol]],Symbols[],COLUMN(Symbols[Currency])-COLUMN(Symbols[])+1,FALSE)=
       VLOOKUP(Transactions[[#This Row],[Account]],Accounts[],COLUMN(Accounts[Currency])-COLUMN(Accounts[])+1,FALSE),
     Transactions[[#This Row],[OrigCashImpact]],
     0
)</f>
        <v>43000.71</v>
      </c>
      <c r="O9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88486.589999999909</v>
      </c>
      <c r="P9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69" s="41">
        <f>ROW()</f>
        <v>969</v>
      </c>
      <c r="S9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-43007.195</v>
      </c>
      <c r="T9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69" s="166">
        <f>IF(INDEX(TransTypes[],Transactions[[#This Row],[TTR]],TT_COL_GLFlag)=1,Transactions[[#This Row],[CalCashImpact]]+Transactions[[#This Row],[CostImpact]],0)</f>
        <v>-6.4850000000005821</v>
      </c>
      <c r="W969" s="167">
        <f>Transactions[[#This Row],[Amount]]*INDEX(TransTypes[],Transactions[[#This Row],[TTR]],TT_COL_AmntSign)</f>
        <v>43000.71</v>
      </c>
      <c r="X969" s="167">
        <f>IF(INDEX(TransTypes[],Transactions[[#This Row],[TTR]],TT_COL_LONGORSHORT)="S",
      IF( OR(INDEX(TransTypes[],Transactions[[#This Row],[TTR]],TT_COL_GLFlag)=1, INDEX(TransTypes[], Transactions[[#This Row],[TTR]], TT_COL_ShareTransferFlag)=1),
            Transactions[[#This Row],[CostImpact]]*-1,
            Transactions[[#This Row],[CalCashImpact]]
      ),
     0
)</f>
        <v>0</v>
      </c>
      <c r="Y969" s="168" t="str">
        <f>VLOOKUP(Transactions[[#This Row],[Symbol]],Symbols[], COLUMN(Symbols[Currency])-COLUMN(Symbols[])+1,FALSE)</f>
        <v>CNY</v>
      </c>
    </row>
    <row r="970" spans="1:25">
      <c r="A970" s="155" t="s">
        <v>82</v>
      </c>
      <c r="B970" s="156">
        <v>42387</v>
      </c>
      <c r="C970" s="155" t="s">
        <v>115</v>
      </c>
      <c r="D970" s="155"/>
      <c r="E970" s="155" t="s">
        <v>674</v>
      </c>
      <c r="F970" s="157">
        <v>1000</v>
      </c>
      <c r="G970" s="158">
        <v>60.69</v>
      </c>
      <c r="H970" s="157">
        <v>84.97</v>
      </c>
      <c r="I970" s="157"/>
      <c r="J970" s="159">
        <v>60605.03</v>
      </c>
      <c r="K970" s="6" t="s">
        <v>641</v>
      </c>
      <c r="L970" s="20">
        <f>IF(ISNA(MATCH(Transactions[[#This Row],[TransType]],TransTypes[TransType],0)),1,MATCH(Transactions[[#This Row],[TransType]],TransTypes[TransType],0))</f>
        <v>3</v>
      </c>
      <c r="M970" s="160">
        <f>IF( AND( INDEX(TransTypes[],Transactions[[#This Row],[TTR]],TT_COL_GLFlag)=1, INDEX(TransTypes[],Transactions[[#This Row],[TTR]],TT_COL_LONGORSHORT)="S" ),
      Transactions[[#This Row],[PL]],
      IF(INDEX(TransTypes[],Transactions[[#This Row],[TTR]],TT_COL_LONGORSHORT)="S",0,Transactions[[#This Row],[CalCashImpact]])
)</f>
        <v>60605.03</v>
      </c>
      <c r="N970" s="161">
        <f>IF(VLOOKUP(Transactions[[#This Row],[Symbol]],Symbols[],COLUMN(Symbols[Currency])-COLUMN(Symbols[])+1,FALSE)=
       VLOOKUP(Transactions[[#This Row],[Account]],Accounts[],COLUMN(Accounts[Currency])-COLUMN(Accounts[])+1,FALSE),
     Transactions[[#This Row],[OrigCashImpact]],
     0
)</f>
        <v>60605.03</v>
      </c>
      <c r="O9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149091.61999999991</v>
      </c>
      <c r="P9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70" s="41">
        <f>ROW()</f>
        <v>970</v>
      </c>
      <c r="S9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-69177.66</v>
      </c>
      <c r="T9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70" s="166">
        <f>IF(INDEX(TransTypes[],Transactions[[#This Row],[TTR]],TT_COL_GLFlag)=1,Transactions[[#This Row],[CalCashImpact]]+Transactions[[#This Row],[CostImpact]],0)</f>
        <v>-8572.6300000000047</v>
      </c>
      <c r="W970" s="167">
        <f>Transactions[[#This Row],[Amount]]*INDEX(TransTypes[],Transactions[[#This Row],[TTR]],TT_COL_AmntSign)</f>
        <v>60605.03</v>
      </c>
      <c r="X970" s="167">
        <f>IF(INDEX(TransTypes[],Transactions[[#This Row],[TTR]],TT_COL_LONGORSHORT)="S",
      IF( OR(INDEX(TransTypes[],Transactions[[#This Row],[TTR]],TT_COL_GLFlag)=1, INDEX(TransTypes[], Transactions[[#This Row],[TTR]], TT_COL_ShareTransferFlag)=1),
            Transactions[[#This Row],[CostImpact]]*-1,
            Transactions[[#This Row],[CalCashImpact]]
      ),
     0
)</f>
        <v>0</v>
      </c>
      <c r="Y970" s="168" t="str">
        <f>VLOOKUP(Transactions[[#This Row],[Symbol]],Symbols[], COLUMN(Symbols[Currency])-COLUMN(Symbols[])+1,FALSE)</f>
        <v>CNY</v>
      </c>
    </row>
    <row r="971" spans="1:25">
      <c r="A971" s="155" t="s">
        <v>82</v>
      </c>
      <c r="B971" s="156">
        <v>42387</v>
      </c>
      <c r="C971" s="155" t="s">
        <v>115</v>
      </c>
      <c r="D971" s="155"/>
      <c r="E971" s="155" t="s">
        <v>644</v>
      </c>
      <c r="F971" s="157">
        <v>2000</v>
      </c>
      <c r="G971" s="158">
        <v>55.988</v>
      </c>
      <c r="H971" s="157">
        <v>156.77000000000001</v>
      </c>
      <c r="I971" s="157"/>
      <c r="J971" s="159">
        <v>111819.23</v>
      </c>
      <c r="K971" s="6" t="s">
        <v>641</v>
      </c>
      <c r="L971" s="20">
        <f>IF(ISNA(MATCH(Transactions[[#This Row],[TransType]],TransTypes[TransType],0)),1,MATCH(Transactions[[#This Row],[TransType]],TransTypes[TransType],0))</f>
        <v>3</v>
      </c>
      <c r="M971" s="160">
        <f>IF( AND( INDEX(TransTypes[],Transactions[[#This Row],[TTR]],TT_COL_GLFlag)=1, INDEX(TransTypes[],Transactions[[#This Row],[TTR]],TT_COL_LONGORSHORT)="S" ),
      Transactions[[#This Row],[PL]],
      IF(INDEX(TransTypes[],Transactions[[#This Row],[TTR]],TT_COL_LONGORSHORT)="S",0,Transactions[[#This Row],[CalCashImpact]])
)</f>
        <v>111819.23</v>
      </c>
      <c r="N971" s="161">
        <f>IF(VLOOKUP(Transactions[[#This Row],[Symbol]],Symbols[],COLUMN(Symbols[Currency])-COLUMN(Symbols[])+1,FALSE)=
       VLOOKUP(Transactions[[#This Row],[Account]],Accounts[],COLUMN(Accounts[Currency])-COLUMN(Accounts[])+1,FALSE),
     Transactions[[#This Row],[OrigCashImpact]],
     0
)</f>
        <v>111819.23</v>
      </c>
      <c r="O9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260910.84999999992</v>
      </c>
      <c r="P9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9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71" s="41">
        <f>ROW()</f>
        <v>971</v>
      </c>
      <c r="S9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-107920.55541666667</v>
      </c>
      <c r="T9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71" s="166">
        <f>IF(INDEX(TransTypes[],Transactions[[#This Row],[TTR]],TT_COL_GLFlag)=1,Transactions[[#This Row],[CalCashImpact]]+Transactions[[#This Row],[CostImpact]],0)</f>
        <v>3898.6745833333262</v>
      </c>
      <c r="W971" s="167">
        <f>Transactions[[#This Row],[Amount]]*INDEX(TransTypes[],Transactions[[#This Row],[TTR]],TT_COL_AmntSign)</f>
        <v>111819.23</v>
      </c>
      <c r="X971" s="167">
        <f>IF(INDEX(TransTypes[],Transactions[[#This Row],[TTR]],TT_COL_LONGORSHORT)="S",
      IF( OR(INDEX(TransTypes[],Transactions[[#This Row],[TTR]],TT_COL_GLFlag)=1, INDEX(TransTypes[], Transactions[[#This Row],[TTR]], TT_COL_ShareTransferFlag)=1),
            Transactions[[#This Row],[CostImpact]]*-1,
            Transactions[[#This Row],[CalCashImpact]]
      ),
     0
)</f>
        <v>0</v>
      </c>
      <c r="Y971" s="168" t="str">
        <f>VLOOKUP(Transactions[[#This Row],[Symbol]],Symbols[], COLUMN(Symbols[Currency])-COLUMN(Symbols[])+1,FALSE)</f>
        <v>CNY</v>
      </c>
    </row>
    <row r="972" spans="1:25">
      <c r="A972" s="155" t="s">
        <v>82</v>
      </c>
      <c r="B972" s="156">
        <v>42387</v>
      </c>
      <c r="C972" s="155" t="s">
        <v>115</v>
      </c>
      <c r="D972" s="155"/>
      <c r="E972" s="155" t="s">
        <v>675</v>
      </c>
      <c r="F972" s="157">
        <v>200000</v>
      </c>
      <c r="G972" s="158">
        <v>0.97799999999999998</v>
      </c>
      <c r="H972" s="157">
        <v>78.239999999999995</v>
      </c>
      <c r="I972" s="157"/>
      <c r="J972" s="159">
        <v>195521.76</v>
      </c>
      <c r="K972" s="6" t="s">
        <v>641</v>
      </c>
      <c r="L972" s="20">
        <f>IF(ISNA(MATCH(Transactions[[#This Row],[TransType]],TransTypes[TransType],0)),1,MATCH(Transactions[[#This Row],[TransType]],TransTypes[TransType],0))</f>
        <v>3</v>
      </c>
      <c r="M972" s="160">
        <f>IF( AND( INDEX(TransTypes[],Transactions[[#This Row],[TTR]],TT_COL_GLFlag)=1, INDEX(TransTypes[],Transactions[[#This Row],[TTR]],TT_COL_LONGORSHORT)="S" ),
      Transactions[[#This Row],[PL]],
      IF(INDEX(TransTypes[],Transactions[[#This Row],[TTR]],TT_COL_LONGORSHORT)="S",0,Transactions[[#This Row],[CalCashImpact]])
)</f>
        <v>195521.76</v>
      </c>
      <c r="N972" s="161">
        <f>IF(VLOOKUP(Transactions[[#This Row],[Symbol]],Symbols[],COLUMN(Symbols[Currency])-COLUMN(Symbols[])+1,FALSE)=
       VLOOKUP(Transactions[[#This Row],[Account]],Accounts[],COLUMN(Accounts[Currency])-COLUMN(Accounts[])+1,FALSE),
     Transactions[[#This Row],[OrigCashImpact]],
     0
)</f>
        <v>195521.76</v>
      </c>
      <c r="O9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456432.60999999993</v>
      </c>
      <c r="P9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9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72" s="41">
        <f>ROW()</f>
        <v>972</v>
      </c>
      <c r="S9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-203734.74</v>
      </c>
      <c r="T9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972" s="166">
        <f>IF(INDEX(TransTypes[],Transactions[[#This Row],[TTR]],TT_COL_GLFlag)=1,Transactions[[#This Row],[CalCashImpact]]+Transactions[[#This Row],[CostImpact]],0)</f>
        <v>-8212.9799999999814</v>
      </c>
      <c r="W972" s="167">
        <f>Transactions[[#This Row],[Amount]]*INDEX(TransTypes[],Transactions[[#This Row],[TTR]],TT_COL_AmntSign)</f>
        <v>195521.76</v>
      </c>
      <c r="X972" s="167">
        <f>IF(INDEX(TransTypes[],Transactions[[#This Row],[TTR]],TT_COL_LONGORSHORT)="S",
      IF( OR(INDEX(TransTypes[],Transactions[[#This Row],[TTR]],TT_COL_GLFlag)=1, INDEX(TransTypes[], Transactions[[#This Row],[TTR]], TT_COL_ShareTransferFlag)=1),
            Transactions[[#This Row],[CostImpact]]*-1,
            Transactions[[#This Row],[CalCashImpact]]
      ),
     0
)</f>
        <v>0</v>
      </c>
      <c r="Y972" s="168" t="str">
        <f>VLOOKUP(Transactions[[#This Row],[Symbol]],Symbols[], COLUMN(Symbols[Currency])-COLUMN(Symbols[])+1,FALSE)</f>
        <v>CNY</v>
      </c>
    </row>
    <row r="973" spans="1:25">
      <c r="A973" s="155" t="s">
        <v>82</v>
      </c>
      <c r="B973" s="156">
        <v>42387</v>
      </c>
      <c r="C973" s="155" t="s">
        <v>115</v>
      </c>
      <c r="D973" s="155"/>
      <c r="E973" s="155" t="s">
        <v>642</v>
      </c>
      <c r="F973" s="157">
        <v>3000</v>
      </c>
      <c r="G973" s="158">
        <v>25.17</v>
      </c>
      <c r="H973" s="157">
        <v>105.71</v>
      </c>
      <c r="I973" s="157"/>
      <c r="J973" s="159">
        <v>75404.289999999994</v>
      </c>
      <c r="K973" s="6" t="s">
        <v>641</v>
      </c>
      <c r="L973" s="20">
        <f>IF(ISNA(MATCH(Transactions[[#This Row],[TransType]],TransTypes[TransType],0)),1,MATCH(Transactions[[#This Row],[TransType]],TransTypes[TransType],0))</f>
        <v>3</v>
      </c>
      <c r="M973" s="160">
        <f>IF( AND( INDEX(TransTypes[],Transactions[[#This Row],[TTR]],TT_COL_GLFlag)=1, INDEX(TransTypes[],Transactions[[#This Row],[TTR]],TT_COL_LONGORSHORT)="S" ),
      Transactions[[#This Row],[PL]],
      IF(INDEX(TransTypes[],Transactions[[#This Row],[TTR]],TT_COL_LONGORSHORT)="S",0,Transactions[[#This Row],[CalCashImpact]])
)</f>
        <v>75404.289999999994</v>
      </c>
      <c r="N973" s="161">
        <f>IF(VLOOKUP(Transactions[[#This Row],[Symbol]],Symbols[],COLUMN(Symbols[Currency])-COLUMN(Symbols[])+1,FALSE)=
       VLOOKUP(Transactions[[#This Row],[Account]],Accounts[],COLUMN(Accounts[Currency])-COLUMN(Accounts[])+1,FALSE),
     Transactions[[#This Row],[OrigCashImpact]],
     0
)</f>
        <v>75404.289999999994</v>
      </c>
      <c r="O9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531836.89999999991</v>
      </c>
      <c r="P9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9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73" s="41">
        <f>ROW()</f>
        <v>973</v>
      </c>
      <c r="S9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-81231.21875</v>
      </c>
      <c r="T9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973" s="166">
        <f>IF(INDEX(TransTypes[],Transactions[[#This Row],[TTR]],TT_COL_GLFlag)=1,Transactions[[#This Row],[CalCashImpact]]+Transactions[[#This Row],[CostImpact]],0)</f>
        <v>-5826.9287500000064</v>
      </c>
      <c r="W973" s="167">
        <f>Transactions[[#This Row],[Amount]]*INDEX(TransTypes[],Transactions[[#This Row],[TTR]],TT_COL_AmntSign)</f>
        <v>75404.289999999994</v>
      </c>
      <c r="X973" s="167">
        <f>IF(INDEX(TransTypes[],Transactions[[#This Row],[TTR]],TT_COL_LONGORSHORT)="S",
      IF( OR(INDEX(TransTypes[],Transactions[[#This Row],[TTR]],TT_COL_GLFlag)=1, INDEX(TransTypes[], Transactions[[#This Row],[TTR]], TT_COL_ShareTransferFlag)=1),
            Transactions[[#This Row],[CostImpact]]*-1,
            Transactions[[#This Row],[CalCashImpact]]
      ),
     0
)</f>
        <v>0</v>
      </c>
      <c r="Y973" s="168" t="str">
        <f>VLOOKUP(Transactions[[#This Row],[Symbol]],Symbols[], COLUMN(Symbols[Currency])-COLUMN(Symbols[])+1,FALSE)</f>
        <v>CNY</v>
      </c>
    </row>
    <row r="974" spans="1:25">
      <c r="A974" s="155" t="s">
        <v>82</v>
      </c>
      <c r="B974" s="156">
        <v>42387</v>
      </c>
      <c r="C974" s="155" t="s">
        <v>115</v>
      </c>
      <c r="D974" s="155"/>
      <c r="E974" s="155" t="s">
        <v>649</v>
      </c>
      <c r="F974" s="157">
        <v>1000</v>
      </c>
      <c r="G974" s="158">
        <v>44.503999999999998</v>
      </c>
      <c r="H974" s="157">
        <v>62.3</v>
      </c>
      <c r="I974" s="157"/>
      <c r="J974" s="159">
        <v>44441.7</v>
      </c>
      <c r="K974" s="6" t="s">
        <v>641</v>
      </c>
      <c r="L974" s="20">
        <f>IF(ISNA(MATCH(Transactions[[#This Row],[TransType]],TransTypes[TransType],0)),1,MATCH(Transactions[[#This Row],[TransType]],TransTypes[TransType],0))</f>
        <v>3</v>
      </c>
      <c r="M974" s="160">
        <f>IF( AND( INDEX(TransTypes[],Transactions[[#This Row],[TTR]],TT_COL_GLFlag)=1, INDEX(TransTypes[],Transactions[[#This Row],[TTR]],TT_COL_LONGORSHORT)="S" ),
      Transactions[[#This Row],[PL]],
      IF(INDEX(TransTypes[],Transactions[[#This Row],[TTR]],TT_COL_LONGORSHORT)="S",0,Transactions[[#This Row],[CalCashImpact]])
)</f>
        <v>44441.7</v>
      </c>
      <c r="N974" s="161">
        <f>IF(VLOOKUP(Transactions[[#This Row],[Symbol]],Symbols[],COLUMN(Symbols[Currency])-COLUMN(Symbols[])+1,FALSE)=
       VLOOKUP(Transactions[[#This Row],[Account]],Accounts[],COLUMN(Accounts[Currency])-COLUMN(Accounts[])+1,FALSE),
     Transactions[[#This Row],[OrigCashImpact]],
     0
)</f>
        <v>44441.7</v>
      </c>
      <c r="O9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576278.59999999986</v>
      </c>
      <c r="P9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74" s="41">
        <f>ROW()</f>
        <v>974</v>
      </c>
      <c r="S9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-47662.822</v>
      </c>
      <c r="T9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74" s="166">
        <f>IF(INDEX(TransTypes[],Transactions[[#This Row],[TTR]],TT_COL_GLFlag)=1,Transactions[[#This Row],[CalCashImpact]]+Transactions[[#This Row],[CostImpact]],0)</f>
        <v>-3221.122000000003</v>
      </c>
      <c r="W974" s="167">
        <f>Transactions[[#This Row],[Amount]]*INDEX(TransTypes[],Transactions[[#This Row],[TTR]],TT_COL_AmntSign)</f>
        <v>44441.7</v>
      </c>
      <c r="X974" s="167">
        <f>IF(INDEX(TransTypes[],Transactions[[#This Row],[TTR]],TT_COL_LONGORSHORT)="S",
      IF( OR(INDEX(TransTypes[],Transactions[[#This Row],[TTR]],TT_COL_GLFlag)=1, INDEX(TransTypes[], Transactions[[#This Row],[TTR]], TT_COL_ShareTransferFlag)=1),
            Transactions[[#This Row],[CostImpact]]*-1,
            Transactions[[#This Row],[CalCashImpact]]
      ),
     0
)</f>
        <v>0</v>
      </c>
      <c r="Y974" s="168" t="str">
        <f>VLOOKUP(Transactions[[#This Row],[Symbol]],Symbols[], COLUMN(Symbols[Currency])-COLUMN(Symbols[])+1,FALSE)</f>
        <v>CNY</v>
      </c>
    </row>
    <row r="975" spans="1:25">
      <c r="A975" s="155" t="s">
        <v>82</v>
      </c>
      <c r="B975" s="156">
        <v>42387</v>
      </c>
      <c r="C975" s="155" t="s">
        <v>115</v>
      </c>
      <c r="D975" s="155"/>
      <c r="E975" s="155" t="s">
        <v>468</v>
      </c>
      <c r="F975" s="157">
        <v>500</v>
      </c>
      <c r="G975" s="158">
        <v>31.01</v>
      </c>
      <c r="H975" s="157">
        <v>22.02</v>
      </c>
      <c r="I975" s="157"/>
      <c r="J975" s="159">
        <v>15482.98</v>
      </c>
      <c r="K975" s="6" t="s">
        <v>641</v>
      </c>
      <c r="L975" s="20">
        <f>IF(ISNA(MATCH(Transactions[[#This Row],[TransType]],TransTypes[TransType],0)),1,MATCH(Transactions[[#This Row],[TransType]],TransTypes[TransType],0))</f>
        <v>3</v>
      </c>
      <c r="M975" s="160">
        <f>IF( AND( INDEX(TransTypes[],Transactions[[#This Row],[TTR]],TT_COL_GLFlag)=1, INDEX(TransTypes[],Transactions[[#This Row],[TTR]],TT_COL_LONGORSHORT)="S" ),
      Transactions[[#This Row],[PL]],
      IF(INDEX(TransTypes[],Transactions[[#This Row],[TTR]],TT_COL_LONGORSHORT)="S",0,Transactions[[#This Row],[CalCashImpact]])
)</f>
        <v>15482.98</v>
      </c>
      <c r="N975" s="161">
        <f>IF(VLOOKUP(Transactions[[#This Row],[Symbol]],Symbols[],COLUMN(Symbols[Currency])-COLUMN(Symbols[])+1,FALSE)=
       VLOOKUP(Transactions[[#This Row],[Account]],Accounts[],COLUMN(Accounts[Currency])-COLUMN(Accounts[])+1,FALSE),
     Transactions[[#This Row],[OrigCashImpact]],
     0
)</f>
        <v>15482.98</v>
      </c>
      <c r="O9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591761.57999999984</v>
      </c>
      <c r="P9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9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75" s="41">
        <f>ROW()</f>
        <v>975</v>
      </c>
      <c r="S9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-14940</v>
      </c>
      <c r="T9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975" s="166">
        <f>IF(INDEX(TransTypes[],Transactions[[#This Row],[TTR]],TT_COL_GLFlag)=1,Transactions[[#This Row],[CalCashImpact]]+Transactions[[#This Row],[CostImpact]],0)</f>
        <v>542.97999999999956</v>
      </c>
      <c r="W975" s="167">
        <f>Transactions[[#This Row],[Amount]]*INDEX(TransTypes[],Transactions[[#This Row],[TTR]],TT_COL_AmntSign)</f>
        <v>15482.98</v>
      </c>
      <c r="X975" s="167">
        <f>IF(INDEX(TransTypes[],Transactions[[#This Row],[TTR]],TT_COL_LONGORSHORT)="S",
      IF( OR(INDEX(TransTypes[],Transactions[[#This Row],[TTR]],TT_COL_GLFlag)=1, INDEX(TransTypes[], Transactions[[#This Row],[TTR]], TT_COL_ShareTransferFlag)=1),
            Transactions[[#This Row],[CostImpact]]*-1,
            Transactions[[#This Row],[CalCashImpact]]
      ),
     0
)</f>
        <v>0</v>
      </c>
      <c r="Y975" s="168" t="str">
        <f>VLOOKUP(Transactions[[#This Row],[Symbol]],Symbols[], COLUMN(Symbols[Currency])-COLUMN(Symbols[])+1,FALSE)</f>
        <v>CNY</v>
      </c>
    </row>
    <row r="976" spans="1:25">
      <c r="A976" s="155" t="s">
        <v>82</v>
      </c>
      <c r="B976" s="156">
        <v>42387</v>
      </c>
      <c r="C976" s="155" t="s">
        <v>115</v>
      </c>
      <c r="D976" s="155"/>
      <c r="E976" s="155" t="s">
        <v>677</v>
      </c>
      <c r="F976" s="157">
        <v>2000</v>
      </c>
      <c r="G976" s="158">
        <v>8.34</v>
      </c>
      <c r="H976" s="157">
        <v>23.68</v>
      </c>
      <c r="I976" s="157"/>
      <c r="J976" s="159">
        <v>16656.32</v>
      </c>
      <c r="K976" s="6" t="s">
        <v>641</v>
      </c>
      <c r="L976" s="20">
        <f>IF(ISNA(MATCH(Transactions[[#This Row],[TransType]],TransTypes[TransType],0)),1,MATCH(Transactions[[#This Row],[TransType]],TransTypes[TransType],0))</f>
        <v>3</v>
      </c>
      <c r="M976" s="160">
        <f>IF( AND( INDEX(TransTypes[],Transactions[[#This Row],[TTR]],TT_COL_GLFlag)=1, INDEX(TransTypes[],Transactions[[#This Row],[TTR]],TT_COL_LONGORSHORT)="S" ),
      Transactions[[#This Row],[PL]],
      IF(INDEX(TransTypes[],Transactions[[#This Row],[TTR]],TT_COL_LONGORSHORT)="S",0,Transactions[[#This Row],[CalCashImpact]])
)</f>
        <v>16656.32</v>
      </c>
      <c r="N976" s="161">
        <f>IF(VLOOKUP(Transactions[[#This Row],[Symbol]],Symbols[],COLUMN(Symbols[Currency])-COLUMN(Symbols[])+1,FALSE)=
       VLOOKUP(Transactions[[#This Row],[Account]],Accounts[],COLUMN(Accounts[Currency])-COLUMN(Accounts[])+1,FALSE),
     Transactions[[#This Row],[OrigCashImpact]],
     0
)</f>
        <v>16656.32</v>
      </c>
      <c r="O9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608417.89999999991</v>
      </c>
      <c r="P9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9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76" s="41">
        <f>ROW()</f>
        <v>976</v>
      </c>
      <c r="S9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-16927.11</v>
      </c>
      <c r="T9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76" s="166">
        <f>IF(INDEX(TransTypes[],Transactions[[#This Row],[TTR]],TT_COL_GLFlag)=1,Transactions[[#This Row],[CalCashImpact]]+Transactions[[#This Row],[CostImpact]],0)</f>
        <v>-270.79000000000087</v>
      </c>
      <c r="W976" s="167">
        <f>Transactions[[#This Row],[Amount]]*INDEX(TransTypes[],Transactions[[#This Row],[TTR]],TT_COL_AmntSign)</f>
        <v>16656.32</v>
      </c>
      <c r="X976" s="167">
        <f>IF(INDEX(TransTypes[],Transactions[[#This Row],[TTR]],TT_COL_LONGORSHORT)="S",
      IF( OR(INDEX(TransTypes[],Transactions[[#This Row],[TTR]],TT_COL_GLFlag)=1, INDEX(TransTypes[], Transactions[[#This Row],[TTR]], TT_COL_ShareTransferFlag)=1),
            Transactions[[#This Row],[CostImpact]]*-1,
            Transactions[[#This Row],[CalCashImpact]]
      ),
     0
)</f>
        <v>0</v>
      </c>
      <c r="Y976" s="168" t="str">
        <f>VLOOKUP(Transactions[[#This Row],[Symbol]],Symbols[], COLUMN(Symbols[Currency])-COLUMN(Symbols[])+1,FALSE)</f>
        <v>CNY</v>
      </c>
    </row>
    <row r="977" spans="1:25">
      <c r="A977" s="155" t="s">
        <v>82</v>
      </c>
      <c r="B977" s="156">
        <v>42387</v>
      </c>
      <c r="C977" s="155" t="s">
        <v>115</v>
      </c>
      <c r="D977" s="155"/>
      <c r="E977" s="155" t="s">
        <v>464</v>
      </c>
      <c r="F977" s="157">
        <v>500</v>
      </c>
      <c r="G977" s="158">
        <v>201.2</v>
      </c>
      <c r="H977" s="157">
        <v>142.85</v>
      </c>
      <c r="I977" s="157"/>
      <c r="J977" s="159">
        <v>100457.15</v>
      </c>
      <c r="K977" s="6" t="s">
        <v>641</v>
      </c>
      <c r="L977" s="20">
        <f>IF(ISNA(MATCH(Transactions[[#This Row],[TransType]],TransTypes[TransType],0)),1,MATCH(Transactions[[#This Row],[TransType]],TransTypes[TransType],0))</f>
        <v>3</v>
      </c>
      <c r="M977" s="160">
        <f>IF( AND( INDEX(TransTypes[],Transactions[[#This Row],[TTR]],TT_COL_GLFlag)=1, INDEX(TransTypes[],Transactions[[#This Row],[TTR]],TT_COL_LONGORSHORT)="S" ),
      Transactions[[#This Row],[PL]],
      IF(INDEX(TransTypes[],Transactions[[#This Row],[TTR]],TT_COL_LONGORSHORT)="S",0,Transactions[[#This Row],[CalCashImpact]])
)</f>
        <v>100457.15</v>
      </c>
      <c r="N977" s="161">
        <f>IF(VLOOKUP(Transactions[[#This Row],[Symbol]],Symbols[],COLUMN(Symbols[Currency])-COLUMN(Symbols[])+1,FALSE)=
       VLOOKUP(Transactions[[#This Row],[Account]],Accounts[],COLUMN(Accounts[Currency])-COLUMN(Accounts[])+1,FALSE),
     Transactions[[#This Row],[OrigCashImpact]],
     0
)</f>
        <v>100457.15</v>
      </c>
      <c r="O9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708875.04999999981</v>
      </c>
      <c r="P9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9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77" s="41">
        <f>ROW()</f>
        <v>977</v>
      </c>
      <c r="S9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-102330.125</v>
      </c>
      <c r="T9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977" s="166">
        <f>IF(INDEX(TransTypes[],Transactions[[#This Row],[TTR]],TT_COL_GLFlag)=1,Transactions[[#This Row],[CalCashImpact]]+Transactions[[#This Row],[CostImpact]],0)</f>
        <v>-1872.9750000000058</v>
      </c>
      <c r="W977" s="167">
        <f>Transactions[[#This Row],[Amount]]*INDEX(TransTypes[],Transactions[[#This Row],[TTR]],TT_COL_AmntSign)</f>
        <v>100457.15</v>
      </c>
      <c r="X977" s="167">
        <f>IF(INDEX(TransTypes[],Transactions[[#This Row],[TTR]],TT_COL_LONGORSHORT)="S",
      IF( OR(INDEX(TransTypes[],Transactions[[#This Row],[TTR]],TT_COL_GLFlag)=1, INDEX(TransTypes[], Transactions[[#This Row],[TTR]], TT_COL_ShareTransferFlag)=1),
            Transactions[[#This Row],[CostImpact]]*-1,
            Transactions[[#This Row],[CalCashImpact]]
      ),
     0
)</f>
        <v>0</v>
      </c>
      <c r="Y977" s="168" t="str">
        <f>VLOOKUP(Transactions[[#This Row],[Symbol]],Symbols[], COLUMN(Symbols[Currency])-COLUMN(Symbols[])+1,FALSE)</f>
        <v>CNY</v>
      </c>
    </row>
    <row r="978" spans="1:25">
      <c r="A978" s="155" t="s">
        <v>82</v>
      </c>
      <c r="B978" s="156">
        <v>42387</v>
      </c>
      <c r="C978" s="155" t="s">
        <v>115</v>
      </c>
      <c r="D978" s="155"/>
      <c r="E978" s="155" t="s">
        <v>498</v>
      </c>
      <c r="F978" s="157">
        <v>11800</v>
      </c>
      <c r="G978" s="158">
        <v>100.23399999999999</v>
      </c>
      <c r="H978" s="157">
        <v>0</v>
      </c>
      <c r="I978" s="157"/>
      <c r="J978" s="159">
        <v>1182761.2</v>
      </c>
      <c r="K978" s="6" t="s">
        <v>641</v>
      </c>
      <c r="L978" s="20">
        <f>IF(ISNA(MATCH(Transactions[[#This Row],[TransType]],TransTypes[TransType],0)),1,MATCH(Transactions[[#This Row],[TransType]],TransTypes[TransType],0))</f>
        <v>3</v>
      </c>
      <c r="M978" s="160">
        <f>IF( AND( INDEX(TransTypes[],Transactions[[#This Row],[TTR]],TT_COL_GLFlag)=1, INDEX(TransTypes[],Transactions[[#This Row],[TTR]],TT_COL_LONGORSHORT)="S" ),
      Transactions[[#This Row],[PL]],
      IF(INDEX(TransTypes[],Transactions[[#This Row],[TTR]],TT_COL_LONGORSHORT)="S",0,Transactions[[#This Row],[CalCashImpact]])
)</f>
        <v>1182761.2</v>
      </c>
      <c r="N978" s="161">
        <f>IF(VLOOKUP(Transactions[[#This Row],[Symbol]],Symbols[],COLUMN(Symbols[Currency])-COLUMN(Symbols[])+1,FALSE)=
       VLOOKUP(Transactions[[#This Row],[Account]],Accounts[],COLUMN(Accounts[Currency])-COLUMN(Accounts[])+1,FALSE),
     Transactions[[#This Row],[OrigCashImpact]],
     0
)</f>
        <v>1182761.2</v>
      </c>
      <c r="O9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1891636.2499999998</v>
      </c>
      <c r="P9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-11800</v>
      </c>
      <c r="Q9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978" s="41">
        <f>ROW()</f>
        <v>978</v>
      </c>
      <c r="S9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-1182446.2863123992</v>
      </c>
      <c r="T9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200414.62479871185</v>
      </c>
      <c r="U9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13800</v>
      </c>
      <c r="V978" s="166">
        <f>IF(INDEX(TransTypes[],Transactions[[#This Row],[TTR]],TT_COL_GLFlag)=1,Transactions[[#This Row],[CalCashImpact]]+Transactions[[#This Row],[CostImpact]],0)</f>
        <v>314.9136876007542</v>
      </c>
      <c r="W978" s="167">
        <f>Transactions[[#This Row],[Amount]]*INDEX(TransTypes[],Transactions[[#This Row],[TTR]],TT_COL_AmntSign)</f>
        <v>1182761.2</v>
      </c>
      <c r="X978" s="167">
        <f>IF(INDEX(TransTypes[],Transactions[[#This Row],[TTR]],TT_COL_LONGORSHORT)="S",
      IF( OR(INDEX(TransTypes[],Transactions[[#This Row],[TTR]],TT_COL_GLFlag)=1, INDEX(TransTypes[], Transactions[[#This Row],[TTR]], TT_COL_ShareTransferFlag)=1),
            Transactions[[#This Row],[CostImpact]]*-1,
            Transactions[[#This Row],[CalCashImpact]]
      ),
     0
)</f>
        <v>0</v>
      </c>
      <c r="Y978" s="168" t="str">
        <f>VLOOKUP(Transactions[[#This Row],[Symbol]],Symbols[], COLUMN(Symbols[Currency])-COLUMN(Symbols[])+1,FALSE)</f>
        <v>CNY</v>
      </c>
    </row>
    <row r="979" spans="1:25">
      <c r="A979" s="155" t="s">
        <v>82</v>
      </c>
      <c r="B979" s="156">
        <v>42387</v>
      </c>
      <c r="C979" s="155" t="s">
        <v>115</v>
      </c>
      <c r="D979" s="155"/>
      <c r="E979" s="155" t="s">
        <v>665</v>
      </c>
      <c r="F979" s="157">
        <v>420000</v>
      </c>
      <c r="G979" s="158">
        <v>0.84799999999999998</v>
      </c>
      <c r="H979" s="157">
        <v>142.46</v>
      </c>
      <c r="I979" s="157"/>
      <c r="J979" s="159">
        <v>356017.54</v>
      </c>
      <c r="K979" s="6" t="s">
        <v>641</v>
      </c>
      <c r="L979" s="20">
        <f>IF(ISNA(MATCH(Transactions[[#This Row],[TransType]],TransTypes[TransType],0)),1,MATCH(Transactions[[#This Row],[TransType]],TransTypes[TransType],0))</f>
        <v>3</v>
      </c>
      <c r="M979" s="160">
        <f>IF( AND( INDEX(TransTypes[],Transactions[[#This Row],[TTR]],TT_COL_GLFlag)=1, INDEX(TransTypes[],Transactions[[#This Row],[TTR]],TT_COL_LONGORSHORT)="S" ),
      Transactions[[#This Row],[PL]],
      IF(INDEX(TransTypes[],Transactions[[#This Row],[TTR]],TT_COL_LONGORSHORT)="S",0,Transactions[[#This Row],[CalCashImpact]])
)</f>
        <v>356017.54</v>
      </c>
      <c r="N979" s="161">
        <f>IF(VLOOKUP(Transactions[[#This Row],[Symbol]],Symbols[],COLUMN(Symbols[Currency])-COLUMN(Symbols[])+1,FALSE)=
       VLOOKUP(Transactions[[#This Row],[Account]],Accounts[],COLUMN(Accounts[Currency])-COLUMN(Accounts[])+1,FALSE),
     Transactions[[#This Row],[OrigCashImpact]],
     0
)</f>
        <v>356017.54</v>
      </c>
      <c r="O9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2247653.7899999996</v>
      </c>
      <c r="P9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-420000</v>
      </c>
      <c r="Q9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79" s="41">
        <f>ROW()</f>
        <v>979</v>
      </c>
      <c r="S9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-401554.46</v>
      </c>
      <c r="T9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420000</v>
      </c>
      <c r="V979" s="166">
        <f>IF(INDEX(TransTypes[],Transactions[[#This Row],[TTR]],TT_COL_GLFlag)=1,Transactions[[#This Row],[CalCashImpact]]+Transactions[[#This Row],[CostImpact]],0)</f>
        <v>-45536.920000000042</v>
      </c>
      <c r="W979" s="167">
        <f>Transactions[[#This Row],[Amount]]*INDEX(TransTypes[],Transactions[[#This Row],[TTR]],TT_COL_AmntSign)</f>
        <v>356017.54</v>
      </c>
      <c r="X979" s="167">
        <f>IF(INDEX(TransTypes[],Transactions[[#This Row],[TTR]],TT_COL_LONGORSHORT)="S",
      IF( OR(INDEX(TransTypes[],Transactions[[#This Row],[TTR]],TT_COL_GLFlag)=1, INDEX(TransTypes[], Transactions[[#This Row],[TTR]], TT_COL_ShareTransferFlag)=1),
            Transactions[[#This Row],[CostImpact]]*-1,
            Transactions[[#This Row],[CalCashImpact]]
      ),
     0
)</f>
        <v>0</v>
      </c>
      <c r="Y979" s="168" t="str">
        <f>VLOOKUP(Transactions[[#This Row],[Symbol]],Symbols[], COLUMN(Symbols[Currency])-COLUMN(Symbols[])+1,FALSE)</f>
        <v>CNY</v>
      </c>
    </row>
    <row r="980" spans="1:25">
      <c r="A980" s="155" t="s">
        <v>82</v>
      </c>
      <c r="B980" s="156">
        <v>42387</v>
      </c>
      <c r="C980" s="155" t="s">
        <v>115</v>
      </c>
      <c r="D980" s="155"/>
      <c r="E980" s="155" t="s">
        <v>498</v>
      </c>
      <c r="F980" s="157">
        <v>2000</v>
      </c>
      <c r="G980" s="158">
        <v>100.23399999999999</v>
      </c>
      <c r="H980" s="157">
        <v>0</v>
      </c>
      <c r="I980" s="157"/>
      <c r="J980" s="159">
        <v>200468</v>
      </c>
      <c r="K980" s="6" t="s">
        <v>641</v>
      </c>
      <c r="L980" s="20">
        <f>IF(ISNA(MATCH(Transactions[[#This Row],[TransType]],TransTypes[TransType],0)),1,MATCH(Transactions[[#This Row],[TransType]],TransTypes[TransType],0))</f>
        <v>3</v>
      </c>
      <c r="M980" s="160">
        <f>IF( AND( INDEX(TransTypes[],Transactions[[#This Row],[TTR]],TT_COL_GLFlag)=1, INDEX(TransTypes[],Transactions[[#This Row],[TTR]],TT_COL_LONGORSHORT)="S" ),
      Transactions[[#This Row],[PL]],
      IF(INDEX(TransTypes[],Transactions[[#This Row],[TTR]],TT_COL_LONGORSHORT)="S",0,Transactions[[#This Row],[CalCashImpact]])
)</f>
        <v>200468</v>
      </c>
      <c r="N980" s="161">
        <f>IF(VLOOKUP(Transactions[[#This Row],[Symbol]],Symbols[],COLUMN(Symbols[Currency])-COLUMN(Symbols[])+1,FALSE)=
       VLOOKUP(Transactions[[#This Row],[Account]],Accounts[],COLUMN(Accounts[Currency])-COLUMN(Accounts[])+1,FALSE),
     Transactions[[#This Row],[OrigCashImpact]],
     0
)</f>
        <v>200468</v>
      </c>
      <c r="O9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2448121.7899999996</v>
      </c>
      <c r="P9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9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80" s="41">
        <f>ROW()</f>
        <v>980</v>
      </c>
      <c r="S9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-200414.62479871185</v>
      </c>
      <c r="T9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80" s="166">
        <f>IF(INDEX(TransTypes[],Transactions[[#This Row],[TTR]],TT_COL_GLFlag)=1,Transactions[[#This Row],[CalCashImpact]]+Transactions[[#This Row],[CostImpact]],0)</f>
        <v>53.375201288145036</v>
      </c>
      <c r="W980" s="167">
        <f>Transactions[[#This Row],[Amount]]*INDEX(TransTypes[],Transactions[[#This Row],[TTR]],TT_COL_AmntSign)</f>
        <v>200468</v>
      </c>
      <c r="X980" s="167">
        <f>IF(INDEX(TransTypes[],Transactions[[#This Row],[TTR]],TT_COL_LONGORSHORT)="S",
      IF( OR(INDEX(TransTypes[],Transactions[[#This Row],[TTR]],TT_COL_GLFlag)=1, INDEX(TransTypes[], Transactions[[#This Row],[TTR]], TT_COL_ShareTransferFlag)=1),
            Transactions[[#This Row],[CostImpact]]*-1,
            Transactions[[#This Row],[CalCashImpact]]
      ),
     0
)</f>
        <v>0</v>
      </c>
      <c r="Y980" s="168" t="str">
        <f>VLOOKUP(Transactions[[#This Row],[Symbol]],Symbols[], COLUMN(Symbols[Currency])-COLUMN(Symbols[])+1,FALSE)</f>
        <v>CNY</v>
      </c>
    </row>
    <row r="981" spans="1:25">
      <c r="A981" s="155" t="s">
        <v>82</v>
      </c>
      <c r="B981" s="156">
        <v>42387</v>
      </c>
      <c r="C981" s="155" t="s">
        <v>115</v>
      </c>
      <c r="D981" s="155"/>
      <c r="E981" s="155" t="s">
        <v>646</v>
      </c>
      <c r="F981" s="157">
        <v>4000</v>
      </c>
      <c r="G981" s="158">
        <v>137</v>
      </c>
      <c r="H981" s="157">
        <v>2245.65</v>
      </c>
      <c r="I981" s="157"/>
      <c r="J981" s="159">
        <v>545754.35</v>
      </c>
      <c r="K981" s="6" t="s">
        <v>641</v>
      </c>
      <c r="L981" s="20">
        <f>IF(ISNA(MATCH(Transactions[[#This Row],[TransType]],TransTypes[TransType],0)),1,MATCH(Transactions[[#This Row],[TransType]],TransTypes[TransType],0))</f>
        <v>3</v>
      </c>
      <c r="M981" s="160">
        <f>IF( AND( INDEX(TransTypes[],Transactions[[#This Row],[TTR]],TT_COL_GLFlag)=1, INDEX(TransTypes[],Transactions[[#This Row],[TTR]],TT_COL_LONGORSHORT)="S" ),
      Transactions[[#This Row],[PL]],
      IF(INDEX(TransTypes[],Transactions[[#This Row],[TTR]],TT_COL_LONGORSHORT)="S",0,Transactions[[#This Row],[CalCashImpact]])
)</f>
        <v>545754.35</v>
      </c>
      <c r="N981" s="161">
        <f>IF(VLOOKUP(Transactions[[#This Row],[Symbol]],Symbols[],COLUMN(Symbols[Currency])-COLUMN(Symbols[])+1,FALSE)=
       VLOOKUP(Transactions[[#This Row],[Account]],Accounts[],COLUMN(Accounts[Currency])-COLUMN(Accounts[])+1,FALSE),
     Transactions[[#This Row],[OrigCashImpact]],
     0
)</f>
        <v>0</v>
      </c>
      <c r="O9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2448121.7899999996</v>
      </c>
      <c r="P9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9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81" s="41">
        <f>ROW()</f>
        <v>981</v>
      </c>
      <c r="S9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-579819.65</v>
      </c>
      <c r="T9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981" s="166">
        <f>IF(INDEX(TransTypes[],Transactions[[#This Row],[TTR]],TT_COL_GLFlag)=1,Transactions[[#This Row],[CalCashImpact]]+Transactions[[#This Row],[CostImpact]],0)</f>
        <v>-34065.300000000047</v>
      </c>
      <c r="W981" s="167">
        <f>Transactions[[#This Row],[Amount]]*INDEX(TransTypes[],Transactions[[#This Row],[TTR]],TT_COL_AmntSign)</f>
        <v>545754.35</v>
      </c>
      <c r="X981" s="167">
        <f>IF(INDEX(TransTypes[],Transactions[[#This Row],[TTR]],TT_COL_LONGORSHORT)="S",
      IF( OR(INDEX(TransTypes[],Transactions[[#This Row],[TTR]],TT_COL_GLFlag)=1, INDEX(TransTypes[], Transactions[[#This Row],[TTR]], TT_COL_ShareTransferFlag)=1),
            Transactions[[#This Row],[CostImpact]]*-1,
            Transactions[[#This Row],[CalCashImpact]]
      ),
     0
)</f>
        <v>0</v>
      </c>
      <c r="Y981" s="168" t="str">
        <f>VLOOKUP(Transactions[[#This Row],[Symbol]],Symbols[], COLUMN(Symbols[Currency])-COLUMN(Symbols[])+1,FALSE)</f>
        <v>HKD</v>
      </c>
    </row>
    <row r="982" spans="1:25">
      <c r="A982" s="155" t="s">
        <v>82</v>
      </c>
      <c r="B982" s="156">
        <v>42387</v>
      </c>
      <c r="C982" s="155" t="s">
        <v>115</v>
      </c>
      <c r="D982" s="155"/>
      <c r="E982" s="155" t="s">
        <v>645</v>
      </c>
      <c r="F982" s="157">
        <v>10000</v>
      </c>
      <c r="G982" s="158">
        <v>10.263</v>
      </c>
      <c r="H982" s="157">
        <v>434.83</v>
      </c>
      <c r="I982" s="157"/>
      <c r="J982" s="159">
        <v>102195.17</v>
      </c>
      <c r="K982" s="6"/>
      <c r="L982" s="20">
        <f>IF(ISNA(MATCH(Transactions[[#This Row],[TransType]],TransTypes[TransType],0)),1,MATCH(Transactions[[#This Row],[TransType]],TransTypes[TransType],0))</f>
        <v>3</v>
      </c>
      <c r="M982" s="160">
        <f>IF( AND( INDEX(TransTypes[],Transactions[[#This Row],[TTR]],TT_COL_GLFlag)=1, INDEX(TransTypes[],Transactions[[#This Row],[TTR]],TT_COL_LONGORSHORT)="S" ),
      Transactions[[#This Row],[PL]],
      IF(INDEX(TransTypes[],Transactions[[#This Row],[TTR]],TT_COL_LONGORSHORT)="S",0,Transactions[[#This Row],[CalCashImpact]])
)</f>
        <v>102195.17</v>
      </c>
      <c r="N982" s="161">
        <f>IF(VLOOKUP(Transactions[[#This Row],[Symbol]],Symbols[],COLUMN(Symbols[Currency])-COLUMN(Symbols[])+1,FALSE)=
       VLOOKUP(Transactions[[#This Row],[Account]],Accounts[],COLUMN(Accounts[Currency])-COLUMN(Accounts[])+1,FALSE),
     Transactions[[#This Row],[OrigCashImpact]],
     0
)</f>
        <v>0</v>
      </c>
      <c r="O9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2448121.7899999996</v>
      </c>
      <c r="P9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9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82" s="41">
        <f>ROW()</f>
        <v>982</v>
      </c>
      <c r="S9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-120882.75</v>
      </c>
      <c r="T9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982" s="166">
        <f>IF(INDEX(TransTypes[],Transactions[[#This Row],[TTR]],TT_COL_GLFlag)=1,Transactions[[#This Row],[CalCashImpact]]+Transactions[[#This Row],[CostImpact]],0)</f>
        <v>-18687.580000000002</v>
      </c>
      <c r="W982" s="167">
        <f>Transactions[[#This Row],[Amount]]*INDEX(TransTypes[],Transactions[[#This Row],[TTR]],TT_COL_AmntSign)</f>
        <v>102195.17</v>
      </c>
      <c r="X982" s="167">
        <f>IF(INDEX(TransTypes[],Transactions[[#This Row],[TTR]],TT_COL_LONGORSHORT)="S",
      IF( OR(INDEX(TransTypes[],Transactions[[#This Row],[TTR]],TT_COL_GLFlag)=1, INDEX(TransTypes[], Transactions[[#This Row],[TTR]], TT_COL_ShareTransferFlag)=1),
            Transactions[[#This Row],[CostImpact]]*-1,
            Transactions[[#This Row],[CalCashImpact]]
      ),
     0
)</f>
        <v>0</v>
      </c>
      <c r="Y982" s="168" t="str">
        <f>VLOOKUP(Transactions[[#This Row],[Symbol]],Symbols[], COLUMN(Symbols[Currency])-COLUMN(Symbols[])+1,FALSE)</f>
        <v>HKD</v>
      </c>
    </row>
    <row r="983" spans="1:25">
      <c r="A983" s="155" t="s">
        <v>82</v>
      </c>
      <c r="B983" s="156">
        <v>42387</v>
      </c>
      <c r="C983" s="155" t="s">
        <v>156</v>
      </c>
      <c r="D983" s="155"/>
      <c r="E983" s="155" t="s">
        <v>210</v>
      </c>
      <c r="F983" s="157"/>
      <c r="G983" s="158"/>
      <c r="H983" s="157"/>
      <c r="I983" s="157"/>
      <c r="J983" s="159">
        <v>647949.52</v>
      </c>
      <c r="K983" s="6" t="s">
        <v>678</v>
      </c>
      <c r="L983" s="20">
        <f>IF(ISNA(MATCH(Transactions[[#This Row],[TransType]],TransTypes[TransType],0)),1,MATCH(Transactions[[#This Row],[TransType]],TransTypes[TransType],0))</f>
        <v>17</v>
      </c>
      <c r="M983" s="160">
        <f>IF( AND( INDEX(TransTypes[],Transactions[[#This Row],[TTR]],TT_COL_GLFlag)=1, INDEX(TransTypes[],Transactions[[#This Row],[TTR]],TT_COL_LONGORSHORT)="S" ),
      Transactions[[#This Row],[PL]],
      IF(INDEX(TransTypes[],Transactions[[#This Row],[TTR]],TT_COL_LONGORSHORT)="S",0,Transactions[[#This Row],[CalCashImpact]])
)</f>
        <v>-647949.52</v>
      </c>
      <c r="N983" s="161">
        <f>IF(VLOOKUP(Transactions[[#This Row],[Symbol]],Symbols[],COLUMN(Symbols[Currency])-COLUMN(Symbols[])+1,FALSE)=
       VLOOKUP(Transactions[[#This Row],[Account]],Accounts[],COLUMN(Accounts[Currency])-COLUMN(Accounts[])+1,FALSE),
     Transactions[[#This Row],[OrigCashImpact]],
     0
)</f>
        <v>0</v>
      </c>
      <c r="O9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2448121.7899999996</v>
      </c>
      <c r="P9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83" s="41">
        <f>ROW()</f>
        <v>983</v>
      </c>
      <c r="S9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983" s="166">
        <f>IF(INDEX(TransTypes[],Transactions[[#This Row],[TTR]],TT_COL_GLFlag)=1,Transactions[[#This Row],[CalCashImpact]]+Transactions[[#This Row],[CostImpact]],0)</f>
        <v>0</v>
      </c>
      <c r="W983" s="167">
        <f>Transactions[[#This Row],[Amount]]*INDEX(TransTypes[],Transactions[[#This Row],[TTR]],TT_COL_AmntSign)</f>
        <v>-647949.52</v>
      </c>
      <c r="X983" s="167">
        <f>IF(INDEX(TransTypes[],Transactions[[#This Row],[TTR]],TT_COL_LONGORSHORT)="S",
      IF( OR(INDEX(TransTypes[],Transactions[[#This Row],[TTR]],TT_COL_GLFlag)=1, INDEX(TransTypes[], Transactions[[#This Row],[TTR]], TT_COL_ShareTransferFlag)=1),
            Transactions[[#This Row],[CostImpact]]*-1,
            Transactions[[#This Row],[CalCashImpact]]
      ),
     0
)</f>
        <v>0</v>
      </c>
      <c r="Y983" s="168" t="str">
        <f>VLOOKUP(Transactions[[#This Row],[Symbol]],Symbols[], COLUMN(Symbols[Currency])-COLUMN(Symbols[])+1,FALSE)</f>
        <v>HKD</v>
      </c>
    </row>
    <row r="984" spans="1:25">
      <c r="A984" s="155" t="s">
        <v>82</v>
      </c>
      <c r="B984" s="156">
        <v>42387</v>
      </c>
      <c r="C984" s="155" t="s">
        <v>239</v>
      </c>
      <c r="D984" s="155"/>
      <c r="E984" s="155" t="s">
        <v>211</v>
      </c>
      <c r="F984" s="157"/>
      <c r="G984" s="158"/>
      <c r="H984" s="157"/>
      <c r="I984" s="157"/>
      <c r="J984" s="159">
        <v>551878.21</v>
      </c>
      <c r="K984" s="6" t="s">
        <v>679</v>
      </c>
      <c r="L984" s="20">
        <f>IF(ISNA(MATCH(Transactions[[#This Row],[TransType]],TransTypes[TransType],0)),1,MATCH(Transactions[[#This Row],[TransType]],TransTypes[TransType],0))</f>
        <v>18</v>
      </c>
      <c r="M984" s="160">
        <f>IF( AND( INDEX(TransTypes[],Transactions[[#This Row],[TTR]],TT_COL_GLFlag)=1, INDEX(TransTypes[],Transactions[[#This Row],[TTR]],TT_COL_LONGORSHORT)="S" ),
      Transactions[[#This Row],[PL]],
      IF(INDEX(TransTypes[],Transactions[[#This Row],[TTR]],TT_COL_LONGORSHORT)="S",0,Transactions[[#This Row],[CalCashImpact]])
)</f>
        <v>551878.21</v>
      </c>
      <c r="N984" s="161">
        <f>IF(VLOOKUP(Transactions[[#This Row],[Symbol]],Symbols[],COLUMN(Symbols[Currency])-COLUMN(Symbols[])+1,FALSE)=
       VLOOKUP(Transactions[[#This Row],[Account]],Accounts[],COLUMN(Accounts[Currency])-COLUMN(Accounts[])+1,FALSE),
     Transactions[[#This Row],[OrigCashImpact]],
     0
)</f>
        <v>551878.21</v>
      </c>
      <c r="O9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2999999.9999999995</v>
      </c>
      <c r="P9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84" s="41">
        <f>ROW()</f>
        <v>984</v>
      </c>
      <c r="S9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984" s="166">
        <f>IF(INDEX(TransTypes[],Transactions[[#This Row],[TTR]],TT_COL_GLFlag)=1,Transactions[[#This Row],[CalCashImpact]]+Transactions[[#This Row],[CostImpact]],0)</f>
        <v>0</v>
      </c>
      <c r="W984" s="167">
        <f>Transactions[[#This Row],[Amount]]*INDEX(TransTypes[],Transactions[[#This Row],[TTR]],TT_COL_AmntSign)</f>
        <v>551878.21</v>
      </c>
      <c r="X984" s="167">
        <f>IF(INDEX(TransTypes[],Transactions[[#This Row],[TTR]],TT_COL_LONGORSHORT)="S",
      IF( OR(INDEX(TransTypes[],Transactions[[#This Row],[TTR]],TT_COL_GLFlag)=1, INDEX(TransTypes[], Transactions[[#This Row],[TTR]], TT_COL_ShareTransferFlag)=1),
            Transactions[[#This Row],[CostImpact]]*-1,
            Transactions[[#This Row],[CalCashImpact]]
      ),
     0
)</f>
        <v>0</v>
      </c>
      <c r="Y984" s="168" t="str">
        <f>VLOOKUP(Transactions[[#This Row],[Symbol]],Symbols[], COLUMN(Symbols[Currency])-COLUMN(Symbols[])+1,FALSE)</f>
        <v>CNY</v>
      </c>
    </row>
    <row r="985" spans="1:25">
      <c r="A985" s="155" t="s">
        <v>82</v>
      </c>
      <c r="B985" s="156">
        <v>42388</v>
      </c>
      <c r="C985" s="155" t="s">
        <v>113</v>
      </c>
      <c r="D985" s="155"/>
      <c r="E985" s="155" t="s">
        <v>464</v>
      </c>
      <c r="F985" s="157">
        <v>300</v>
      </c>
      <c r="G985" s="158">
        <v>205.9</v>
      </c>
      <c r="H985" s="157">
        <v>25.95</v>
      </c>
      <c r="I985" s="157"/>
      <c r="J985" s="159">
        <v>61795.95</v>
      </c>
      <c r="K985" s="6" t="s">
        <v>641</v>
      </c>
      <c r="L985" s="20">
        <f>IF(ISNA(MATCH(Transactions[[#This Row],[TransType]],TransTypes[TransType],0)),1,MATCH(Transactions[[#This Row],[TransType]],TransTypes[TransType],0))</f>
        <v>2</v>
      </c>
      <c r="M985" s="160">
        <f>IF( AND( INDEX(TransTypes[],Transactions[[#This Row],[TTR]],TT_COL_GLFlag)=1, INDEX(TransTypes[],Transactions[[#This Row],[TTR]],TT_COL_LONGORSHORT)="S" ),
      Transactions[[#This Row],[PL]],
      IF(INDEX(TransTypes[],Transactions[[#This Row],[TTR]],TT_COL_LONGORSHORT)="S",0,Transactions[[#This Row],[CalCashImpact]])
)</f>
        <v>-61795.95</v>
      </c>
      <c r="N985" s="161">
        <f>IF(VLOOKUP(Transactions[[#This Row],[Symbol]],Symbols[],COLUMN(Symbols[Currency])-COLUMN(Symbols[])+1,FALSE)=
       VLOOKUP(Transactions[[#This Row],[Account]],Accounts[],COLUMN(Accounts[Currency])-COLUMN(Accounts[])+1,FALSE),
     Transactions[[#This Row],[OrigCashImpact]],
     0
)</f>
        <v>-61795.95</v>
      </c>
      <c r="O9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2938204.0499999993</v>
      </c>
      <c r="P9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9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985" s="41">
        <f>ROW()</f>
        <v>985</v>
      </c>
      <c r="S9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61795.95</v>
      </c>
      <c r="T9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61795.95</v>
      </c>
      <c r="U9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985" s="166">
        <f>IF(INDEX(TransTypes[],Transactions[[#This Row],[TTR]],TT_COL_GLFlag)=1,Transactions[[#This Row],[CalCashImpact]]+Transactions[[#This Row],[CostImpact]],0)</f>
        <v>0</v>
      </c>
      <c r="W985" s="167">
        <f>Transactions[[#This Row],[Amount]]*INDEX(TransTypes[],Transactions[[#This Row],[TTR]],TT_COL_AmntSign)</f>
        <v>-61795.95</v>
      </c>
      <c r="X985" s="167">
        <f>IF(INDEX(TransTypes[],Transactions[[#This Row],[TTR]],TT_COL_LONGORSHORT)="S",
      IF( OR(INDEX(TransTypes[],Transactions[[#This Row],[TTR]],TT_COL_GLFlag)=1, INDEX(TransTypes[], Transactions[[#This Row],[TTR]], TT_COL_ShareTransferFlag)=1),
            Transactions[[#This Row],[CostImpact]]*-1,
            Transactions[[#This Row],[CalCashImpact]]
      ),
     0
)</f>
        <v>0</v>
      </c>
      <c r="Y985" s="168" t="str">
        <f>VLOOKUP(Transactions[[#This Row],[Symbol]],Symbols[], COLUMN(Symbols[Currency])-COLUMN(Symbols[])+1,FALSE)</f>
        <v>CNY</v>
      </c>
    </row>
    <row r="986" spans="1:25">
      <c r="A986" s="155" t="s">
        <v>82</v>
      </c>
      <c r="B986" s="156">
        <v>42388</v>
      </c>
      <c r="C986" s="155" t="s">
        <v>113</v>
      </c>
      <c r="D986" s="155"/>
      <c r="E986" s="155" t="s">
        <v>665</v>
      </c>
      <c r="F986" s="157">
        <v>223200</v>
      </c>
      <c r="G986" s="158">
        <v>0.84599999999999997</v>
      </c>
      <c r="H986" s="157">
        <v>75.53</v>
      </c>
      <c r="I986" s="157"/>
      <c r="J986" s="159">
        <v>188902.73</v>
      </c>
      <c r="K986" s="6" t="s">
        <v>641</v>
      </c>
      <c r="L986" s="20">
        <f>IF(ISNA(MATCH(Transactions[[#This Row],[TransType]],TransTypes[TransType],0)),1,MATCH(Transactions[[#This Row],[TransType]],TransTypes[TransType],0))</f>
        <v>2</v>
      </c>
      <c r="M986" s="160">
        <f>IF( AND( INDEX(TransTypes[],Transactions[[#This Row],[TTR]],TT_COL_GLFlag)=1, INDEX(TransTypes[],Transactions[[#This Row],[TTR]],TT_COL_LONGORSHORT)="S" ),
      Transactions[[#This Row],[PL]],
      IF(INDEX(TransTypes[],Transactions[[#This Row],[TTR]],TT_COL_LONGORSHORT)="S",0,Transactions[[#This Row],[CalCashImpact]])
)</f>
        <v>-188902.73</v>
      </c>
      <c r="N986" s="161">
        <f>IF(VLOOKUP(Transactions[[#This Row],[Symbol]],Symbols[],COLUMN(Symbols[Currency])-COLUMN(Symbols[])+1,FALSE)=
       VLOOKUP(Transactions[[#This Row],[Account]],Accounts[],COLUMN(Accounts[Currency])-COLUMN(Accounts[])+1,FALSE),
     Transactions[[#This Row],[OrigCashImpact]],
     0
)</f>
        <v>-188902.73</v>
      </c>
      <c r="O9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2749301.3199999994</v>
      </c>
      <c r="P9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223200</v>
      </c>
      <c r="Q9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223200</v>
      </c>
      <c r="R986" s="41">
        <f>ROW()</f>
        <v>986</v>
      </c>
      <c r="S9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188902.73</v>
      </c>
      <c r="T9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188902.73</v>
      </c>
      <c r="U9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223200</v>
      </c>
      <c r="V986" s="166">
        <f>IF(INDEX(TransTypes[],Transactions[[#This Row],[TTR]],TT_COL_GLFlag)=1,Transactions[[#This Row],[CalCashImpact]]+Transactions[[#This Row],[CostImpact]],0)</f>
        <v>0</v>
      </c>
      <c r="W986" s="167">
        <f>Transactions[[#This Row],[Amount]]*INDEX(TransTypes[],Transactions[[#This Row],[TTR]],TT_COL_AmntSign)</f>
        <v>-188902.73</v>
      </c>
      <c r="X986" s="167">
        <f>IF(INDEX(TransTypes[],Transactions[[#This Row],[TTR]],TT_COL_LONGORSHORT)="S",
      IF( OR(INDEX(TransTypes[],Transactions[[#This Row],[TTR]],TT_COL_GLFlag)=1, INDEX(TransTypes[], Transactions[[#This Row],[TTR]], TT_COL_ShareTransferFlag)=1),
            Transactions[[#This Row],[CostImpact]]*-1,
            Transactions[[#This Row],[CalCashImpact]]
      ),
     0
)</f>
        <v>0</v>
      </c>
      <c r="Y986" s="168" t="str">
        <f>VLOOKUP(Transactions[[#This Row],[Symbol]],Symbols[], COLUMN(Symbols[Currency])-COLUMN(Symbols[])+1,FALSE)</f>
        <v>CNY</v>
      </c>
    </row>
    <row r="987" spans="1:25">
      <c r="A987" s="155" t="s">
        <v>82</v>
      </c>
      <c r="B987" s="156">
        <v>42388</v>
      </c>
      <c r="C987" s="155" t="s">
        <v>113</v>
      </c>
      <c r="D987" s="155"/>
      <c r="E987" s="155" t="s">
        <v>665</v>
      </c>
      <c r="F987" s="157">
        <v>24800</v>
      </c>
      <c r="G987" s="158">
        <v>0.84699999999999998</v>
      </c>
      <c r="H987" s="157">
        <v>8.4</v>
      </c>
      <c r="I987" s="157"/>
      <c r="J987" s="159">
        <v>21014</v>
      </c>
      <c r="K987" s="6" t="s">
        <v>641</v>
      </c>
      <c r="L987" s="20">
        <f>IF(ISNA(MATCH(Transactions[[#This Row],[TransType]],TransTypes[TransType],0)),1,MATCH(Transactions[[#This Row],[TransType]],TransTypes[TransType],0))</f>
        <v>2</v>
      </c>
      <c r="M987" s="160">
        <f>IF( AND( INDEX(TransTypes[],Transactions[[#This Row],[TTR]],TT_COL_GLFlag)=1, INDEX(TransTypes[],Transactions[[#This Row],[TTR]],TT_COL_LONGORSHORT)="S" ),
      Transactions[[#This Row],[PL]],
      IF(INDEX(TransTypes[],Transactions[[#This Row],[TTR]],TT_COL_LONGORSHORT)="S",0,Transactions[[#This Row],[CalCashImpact]])
)</f>
        <v>-21014</v>
      </c>
      <c r="N987" s="161">
        <f>IF(VLOOKUP(Transactions[[#This Row],[Symbol]],Symbols[],COLUMN(Symbols[Currency])-COLUMN(Symbols[])+1,FALSE)=
       VLOOKUP(Transactions[[#This Row],[Account]],Accounts[],COLUMN(Accounts[Currency])-COLUMN(Accounts[])+1,FALSE),
     Transactions[[#This Row],[OrigCashImpact]],
     0
)</f>
        <v>-21014</v>
      </c>
      <c r="O9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2728287.3199999994</v>
      </c>
      <c r="P9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24800</v>
      </c>
      <c r="Q9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248000</v>
      </c>
      <c r="R987" s="41">
        <f>ROW()</f>
        <v>987</v>
      </c>
      <c r="S9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21014</v>
      </c>
      <c r="T9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209916.73</v>
      </c>
      <c r="U9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248000</v>
      </c>
      <c r="V987" s="166">
        <f>IF(INDEX(TransTypes[],Transactions[[#This Row],[TTR]],TT_COL_GLFlag)=1,Transactions[[#This Row],[CalCashImpact]]+Transactions[[#This Row],[CostImpact]],0)</f>
        <v>0</v>
      </c>
      <c r="W987" s="167">
        <f>Transactions[[#This Row],[Amount]]*INDEX(TransTypes[],Transactions[[#This Row],[TTR]],TT_COL_AmntSign)</f>
        <v>-21014</v>
      </c>
      <c r="X987" s="167">
        <f>IF(INDEX(TransTypes[],Transactions[[#This Row],[TTR]],TT_COL_LONGORSHORT)="S",
      IF( OR(INDEX(TransTypes[],Transactions[[#This Row],[TTR]],TT_COL_GLFlag)=1, INDEX(TransTypes[], Transactions[[#This Row],[TTR]], TT_COL_ShareTransferFlag)=1),
            Transactions[[#This Row],[CostImpact]]*-1,
            Transactions[[#This Row],[CalCashImpact]]
      ),
     0
)</f>
        <v>0</v>
      </c>
      <c r="Y987" s="168" t="str">
        <f>VLOOKUP(Transactions[[#This Row],[Symbol]],Symbols[], COLUMN(Symbols[Currency])-COLUMN(Symbols[])+1,FALSE)</f>
        <v>CNY</v>
      </c>
    </row>
    <row r="988" spans="1:25">
      <c r="A988" s="155" t="s">
        <v>82</v>
      </c>
      <c r="B988" s="156">
        <v>42388</v>
      </c>
      <c r="C988" s="155" t="s">
        <v>113</v>
      </c>
      <c r="D988" s="155"/>
      <c r="E988" s="155" t="s">
        <v>675</v>
      </c>
      <c r="F988" s="157">
        <v>200000</v>
      </c>
      <c r="G988" s="158">
        <v>0.97799999999999998</v>
      </c>
      <c r="H988" s="157">
        <v>108.25</v>
      </c>
      <c r="I988" s="157"/>
      <c r="J988" s="159">
        <v>195708.25</v>
      </c>
      <c r="K988" s="6" t="s">
        <v>641</v>
      </c>
      <c r="L988" s="20">
        <f>IF(ISNA(MATCH(Transactions[[#This Row],[TransType]],TransTypes[TransType],0)),1,MATCH(Transactions[[#This Row],[TransType]],TransTypes[TransType],0))</f>
        <v>2</v>
      </c>
      <c r="M988" s="160">
        <f>IF( AND( INDEX(TransTypes[],Transactions[[#This Row],[TTR]],TT_COL_GLFlag)=1, INDEX(TransTypes[],Transactions[[#This Row],[TTR]],TT_COL_LONGORSHORT)="S" ),
      Transactions[[#This Row],[PL]],
      IF(INDEX(TransTypes[],Transactions[[#This Row],[TTR]],TT_COL_LONGORSHORT)="S",0,Transactions[[#This Row],[CalCashImpact]])
)</f>
        <v>-195708.25</v>
      </c>
      <c r="N988" s="161">
        <f>IF(VLOOKUP(Transactions[[#This Row],[Symbol]],Symbols[],COLUMN(Symbols[Currency])-COLUMN(Symbols[])+1,FALSE)=
       VLOOKUP(Transactions[[#This Row],[Account]],Accounts[],COLUMN(Accounts[Currency])-COLUMN(Accounts[])+1,FALSE),
     Transactions[[#This Row],[OrigCashImpact]],
     0
)</f>
        <v>-195708.25</v>
      </c>
      <c r="O9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2532579.0699999994</v>
      </c>
      <c r="P9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9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988" s="41">
        <f>ROW()</f>
        <v>988</v>
      </c>
      <c r="S9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195708.25</v>
      </c>
      <c r="T9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195708.25</v>
      </c>
      <c r="U9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988" s="166">
        <f>IF(INDEX(TransTypes[],Transactions[[#This Row],[TTR]],TT_COL_GLFlag)=1,Transactions[[#This Row],[CalCashImpact]]+Transactions[[#This Row],[CostImpact]],0)</f>
        <v>0</v>
      </c>
      <c r="W988" s="167">
        <f>Transactions[[#This Row],[Amount]]*INDEX(TransTypes[],Transactions[[#This Row],[TTR]],TT_COL_AmntSign)</f>
        <v>-195708.25</v>
      </c>
      <c r="X988" s="167">
        <f>IF(INDEX(TransTypes[],Transactions[[#This Row],[TTR]],TT_COL_LONGORSHORT)="S",
      IF( OR(INDEX(TransTypes[],Transactions[[#This Row],[TTR]],TT_COL_GLFlag)=1, INDEX(TransTypes[], Transactions[[#This Row],[TTR]], TT_COL_ShareTransferFlag)=1),
            Transactions[[#This Row],[CostImpact]]*-1,
            Transactions[[#This Row],[CalCashImpact]]
      ),
     0
)</f>
        <v>0</v>
      </c>
      <c r="Y988" s="168" t="str">
        <f>VLOOKUP(Transactions[[#This Row],[Symbol]],Symbols[], COLUMN(Symbols[Currency])-COLUMN(Symbols[])+1,FALSE)</f>
        <v>CNY</v>
      </c>
    </row>
    <row r="989" spans="1:25">
      <c r="A989" s="155" t="s">
        <v>82</v>
      </c>
      <c r="B989" s="156">
        <v>42388</v>
      </c>
      <c r="C989" s="155" t="s">
        <v>152</v>
      </c>
      <c r="D989" s="155"/>
      <c r="E989" s="155" t="s">
        <v>210</v>
      </c>
      <c r="F989" s="157"/>
      <c r="G989" s="158"/>
      <c r="H989" s="157"/>
      <c r="I989" s="157"/>
      <c r="J989" s="159">
        <v>414491.95</v>
      </c>
      <c r="K989" s="6" t="s">
        <v>641</v>
      </c>
      <c r="L989" s="20">
        <f>IF(ISNA(MATCH(Transactions[[#This Row],[TransType]],TransTypes[TransType],0)),1,MATCH(Transactions[[#This Row],[TransType]],TransTypes[TransType],0))</f>
        <v>15</v>
      </c>
      <c r="M989" s="160">
        <f>IF( AND( INDEX(TransTypes[],Transactions[[#This Row],[TTR]],TT_COL_GLFlag)=1, INDEX(TransTypes[],Transactions[[#This Row],[TTR]],TT_COL_LONGORSHORT)="S" ),
      Transactions[[#This Row],[PL]],
      IF(INDEX(TransTypes[],Transactions[[#This Row],[TTR]],TT_COL_LONGORSHORT)="S",0,Transactions[[#This Row],[CalCashImpact]])
)</f>
        <v>414491.95</v>
      </c>
      <c r="N989" s="161">
        <f>IF(VLOOKUP(Transactions[[#This Row],[Symbol]],Symbols[],COLUMN(Symbols[Currency])-COLUMN(Symbols[])+1,FALSE)=
       VLOOKUP(Transactions[[#This Row],[Account]],Accounts[],COLUMN(Accounts[Currency])-COLUMN(Accounts[])+1,FALSE),
     Transactions[[#This Row],[OrigCashImpact]],
     0
)</f>
        <v>0</v>
      </c>
      <c r="O9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2532579.0699999994</v>
      </c>
      <c r="P9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89" s="41">
        <f>ROW()</f>
        <v>989</v>
      </c>
      <c r="S9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989" s="166">
        <f>IF(INDEX(TransTypes[],Transactions[[#This Row],[TTR]],TT_COL_GLFlag)=1,Transactions[[#This Row],[CalCashImpact]]+Transactions[[#This Row],[CostImpact]],0)</f>
        <v>0</v>
      </c>
      <c r="W989" s="167">
        <f>Transactions[[#This Row],[Amount]]*INDEX(TransTypes[],Transactions[[#This Row],[TTR]],TT_COL_AmntSign)</f>
        <v>414491.95</v>
      </c>
      <c r="X989" s="167">
        <f>IF(INDEX(TransTypes[],Transactions[[#This Row],[TTR]],TT_COL_LONGORSHORT)="S",
      IF( OR(INDEX(TransTypes[],Transactions[[#This Row],[TTR]],TT_COL_GLFlag)=1, INDEX(TransTypes[], Transactions[[#This Row],[TTR]], TT_COL_ShareTransferFlag)=1),
            Transactions[[#This Row],[CostImpact]]*-1,
            Transactions[[#This Row],[CalCashImpact]]
      ),
     0
)</f>
        <v>0</v>
      </c>
      <c r="Y989" s="168" t="str">
        <f>VLOOKUP(Transactions[[#This Row],[Symbol]],Symbols[], COLUMN(Symbols[Currency])-COLUMN(Symbols[])+1,FALSE)</f>
        <v>HKD</v>
      </c>
    </row>
    <row r="990" spans="1:25">
      <c r="A990" s="155" t="s">
        <v>82</v>
      </c>
      <c r="B990" s="156">
        <v>42388</v>
      </c>
      <c r="C990" s="155" t="s">
        <v>238</v>
      </c>
      <c r="D990" s="155"/>
      <c r="E990" s="155" t="s">
        <v>211</v>
      </c>
      <c r="F990" s="157"/>
      <c r="G990" s="158"/>
      <c r="H990" s="157"/>
      <c r="I990" s="157"/>
      <c r="J990" s="159">
        <v>350701.64</v>
      </c>
      <c r="K990" s="6" t="s">
        <v>680</v>
      </c>
      <c r="L990" s="20">
        <f>IF(ISNA(MATCH(Transactions[[#This Row],[TransType]],TransTypes[TransType],0)),1,MATCH(Transactions[[#This Row],[TransType]],TransTypes[TransType],0))</f>
        <v>16</v>
      </c>
      <c r="M990" s="160">
        <f>IF( AND( INDEX(TransTypes[],Transactions[[#This Row],[TTR]],TT_COL_GLFlag)=1, INDEX(TransTypes[],Transactions[[#This Row],[TTR]],TT_COL_LONGORSHORT)="S" ),
      Transactions[[#This Row],[PL]],
      IF(INDEX(TransTypes[],Transactions[[#This Row],[TTR]],TT_COL_LONGORSHORT)="S",0,Transactions[[#This Row],[CalCashImpact]])
)</f>
        <v>-350701.64</v>
      </c>
      <c r="N990" s="161">
        <f>IF(VLOOKUP(Transactions[[#This Row],[Symbol]],Symbols[],COLUMN(Symbols[Currency])-COLUMN(Symbols[])+1,FALSE)=
       VLOOKUP(Transactions[[#This Row],[Account]],Accounts[],COLUMN(Accounts[Currency])-COLUMN(Accounts[])+1,FALSE),
     Transactions[[#This Row],[OrigCashImpact]],
     0
)</f>
        <v>-350701.64</v>
      </c>
      <c r="O9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2181877.4299999997</v>
      </c>
      <c r="P9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9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990" s="41">
        <f>ROW()</f>
        <v>990</v>
      </c>
      <c r="S9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9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9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990" s="166">
        <f>IF(INDEX(TransTypes[],Transactions[[#This Row],[TTR]],TT_COL_GLFlag)=1,Transactions[[#This Row],[CalCashImpact]]+Transactions[[#This Row],[CostImpact]],0)</f>
        <v>0</v>
      </c>
      <c r="W990" s="167">
        <f>Transactions[[#This Row],[Amount]]*INDEX(TransTypes[],Transactions[[#This Row],[TTR]],TT_COL_AmntSign)</f>
        <v>-350701.64</v>
      </c>
      <c r="X990" s="167">
        <f>IF(INDEX(TransTypes[],Transactions[[#This Row],[TTR]],TT_COL_LONGORSHORT)="S",
      IF( OR(INDEX(TransTypes[],Transactions[[#This Row],[TTR]],TT_COL_GLFlag)=1, INDEX(TransTypes[], Transactions[[#This Row],[TTR]], TT_COL_ShareTransferFlag)=1),
            Transactions[[#This Row],[CostImpact]]*-1,
            Transactions[[#This Row],[CalCashImpact]]
      ),
     0
)</f>
        <v>0</v>
      </c>
      <c r="Y990" s="168" t="str">
        <f>VLOOKUP(Transactions[[#This Row],[Symbol]],Symbols[], COLUMN(Symbols[Currency])-COLUMN(Symbols[])+1,FALSE)</f>
        <v>CNY</v>
      </c>
    </row>
    <row r="991" spans="1:25">
      <c r="A991" s="155" t="s">
        <v>82</v>
      </c>
      <c r="B991" s="156">
        <v>42388</v>
      </c>
      <c r="C991" s="155" t="s">
        <v>113</v>
      </c>
      <c r="D991" s="155"/>
      <c r="E991" s="155" t="s">
        <v>646</v>
      </c>
      <c r="F991" s="157">
        <v>3000</v>
      </c>
      <c r="G991" s="158">
        <v>137.6</v>
      </c>
      <c r="H991" s="157">
        <v>1691.95</v>
      </c>
      <c r="I991" s="157"/>
      <c r="J991" s="159">
        <v>414491.95</v>
      </c>
      <c r="K991" s="6" t="s">
        <v>641</v>
      </c>
      <c r="L991" s="20">
        <f>IF(ISNA(MATCH(Transactions[[#This Row],[TransType]],TransTypes[TransType],0)),1,MATCH(Transactions[[#This Row],[TransType]],TransTypes[TransType],0))</f>
        <v>2</v>
      </c>
      <c r="M991" s="160">
        <f>IF( AND( INDEX(TransTypes[],Transactions[[#This Row],[TTR]],TT_COL_GLFlag)=1, INDEX(TransTypes[],Transactions[[#This Row],[TTR]],TT_COL_LONGORSHORT)="S" ),
      Transactions[[#This Row],[PL]],
      IF(INDEX(TransTypes[],Transactions[[#This Row],[TTR]],TT_COL_LONGORSHORT)="S",0,Transactions[[#This Row],[CalCashImpact]])
)</f>
        <v>-414491.95</v>
      </c>
      <c r="N991" s="161">
        <f>IF(VLOOKUP(Transactions[[#This Row],[Symbol]],Symbols[],COLUMN(Symbols[Currency])-COLUMN(Symbols[])+1,FALSE)=
       VLOOKUP(Transactions[[#This Row],[Account]],Accounts[],COLUMN(Accounts[Currency])-COLUMN(Accounts[])+1,FALSE),
     Transactions[[#This Row],[OrigCashImpact]],
     0
)</f>
        <v>0</v>
      </c>
      <c r="O9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2181877.4299999997</v>
      </c>
      <c r="P9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9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991" s="41">
        <f>ROW()</f>
        <v>991</v>
      </c>
      <c r="S9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414491.95</v>
      </c>
      <c r="T9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414491.95</v>
      </c>
      <c r="U9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991" s="166">
        <f>IF(INDEX(TransTypes[],Transactions[[#This Row],[TTR]],TT_COL_GLFlag)=1,Transactions[[#This Row],[CalCashImpact]]+Transactions[[#This Row],[CostImpact]],0)</f>
        <v>0</v>
      </c>
      <c r="W991" s="167">
        <f>Transactions[[#This Row],[Amount]]*INDEX(TransTypes[],Transactions[[#This Row],[TTR]],TT_COL_AmntSign)</f>
        <v>-414491.95</v>
      </c>
      <c r="X991" s="167">
        <f>IF(INDEX(TransTypes[],Transactions[[#This Row],[TTR]],TT_COL_LONGORSHORT)="S",
      IF( OR(INDEX(TransTypes[],Transactions[[#This Row],[TTR]],TT_COL_GLFlag)=1, INDEX(TransTypes[], Transactions[[#This Row],[TTR]], TT_COL_ShareTransferFlag)=1),
            Transactions[[#This Row],[CostImpact]]*-1,
            Transactions[[#This Row],[CalCashImpact]]
      ),
     0
)</f>
        <v>0</v>
      </c>
      <c r="Y991" s="168" t="str">
        <f>VLOOKUP(Transactions[[#This Row],[Symbol]],Symbols[], COLUMN(Symbols[Currency])-COLUMN(Symbols[])+1,FALSE)</f>
        <v>HKD</v>
      </c>
    </row>
    <row r="992" spans="1:25">
      <c r="A992" s="155" t="s">
        <v>82</v>
      </c>
      <c r="B992" s="156">
        <v>42389</v>
      </c>
      <c r="C992" s="155" t="s">
        <v>113</v>
      </c>
      <c r="D992" s="155"/>
      <c r="E992" s="155" t="s">
        <v>675</v>
      </c>
      <c r="F992" s="157">
        <v>30000</v>
      </c>
      <c r="G992" s="158">
        <v>0.96399999999999997</v>
      </c>
      <c r="H992" s="157">
        <v>11.57</v>
      </c>
      <c r="I992" s="157"/>
      <c r="J992" s="159">
        <v>28931.57</v>
      </c>
      <c r="K992" s="6" t="s">
        <v>641</v>
      </c>
      <c r="L992" s="20">
        <f>IF(ISNA(MATCH(Transactions[[#This Row],[TransType]],TransTypes[TransType],0)),1,MATCH(Transactions[[#This Row],[TransType]],TransTypes[TransType],0))</f>
        <v>2</v>
      </c>
      <c r="M992" s="160">
        <f>IF( AND( INDEX(TransTypes[],Transactions[[#This Row],[TTR]],TT_COL_GLFlag)=1, INDEX(TransTypes[],Transactions[[#This Row],[TTR]],TT_COL_LONGORSHORT)="S" ),
      Transactions[[#This Row],[PL]],
      IF(INDEX(TransTypes[],Transactions[[#This Row],[TTR]],TT_COL_LONGORSHORT)="S",0,Transactions[[#This Row],[CalCashImpact]])
)</f>
        <v>-28931.57</v>
      </c>
      <c r="N992" s="161">
        <f>IF(VLOOKUP(Transactions[[#This Row],[Symbol]],Symbols[],COLUMN(Symbols[Currency])-COLUMN(Symbols[])+1,FALSE)=
       VLOOKUP(Transactions[[#This Row],[Account]],Accounts[],COLUMN(Accounts[Currency])-COLUMN(Accounts[])+1,FALSE),
     Transactions[[#This Row],[OrigCashImpact]],
     0
)</f>
        <v>-28931.57</v>
      </c>
      <c r="O9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2152945.8599999994</v>
      </c>
      <c r="P9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v>
      </c>
      <c r="Q9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230000</v>
      </c>
      <c r="R992" s="41">
        <f>ROW()</f>
        <v>992</v>
      </c>
      <c r="S9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28931.57</v>
      </c>
      <c r="T9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224639.82</v>
      </c>
      <c r="U9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230000</v>
      </c>
      <c r="V992" s="166">
        <f>IF(INDEX(TransTypes[],Transactions[[#This Row],[TTR]],TT_COL_GLFlag)=1,Transactions[[#This Row],[CalCashImpact]]+Transactions[[#This Row],[CostImpact]],0)</f>
        <v>0</v>
      </c>
      <c r="W992" s="167">
        <f>Transactions[[#This Row],[Amount]]*INDEX(TransTypes[],Transactions[[#This Row],[TTR]],TT_COL_AmntSign)</f>
        <v>-28931.57</v>
      </c>
      <c r="X992" s="167">
        <f>IF(INDEX(TransTypes[],Transactions[[#This Row],[TTR]],TT_COL_LONGORSHORT)="S",
      IF( OR(INDEX(TransTypes[],Transactions[[#This Row],[TTR]],TT_COL_GLFlag)=1, INDEX(TransTypes[], Transactions[[#This Row],[TTR]], TT_COL_ShareTransferFlag)=1),
            Transactions[[#This Row],[CostImpact]]*-1,
            Transactions[[#This Row],[CalCashImpact]]
      ),
     0
)</f>
        <v>0</v>
      </c>
      <c r="Y992" s="168" t="str">
        <f>VLOOKUP(Transactions[[#This Row],[Symbol]],Symbols[], COLUMN(Symbols[Currency])-COLUMN(Symbols[])+1,FALSE)</f>
        <v>CNY</v>
      </c>
    </row>
    <row r="993" spans="1:25">
      <c r="A993" s="155" t="s">
        <v>82</v>
      </c>
      <c r="B993" s="156">
        <v>42389</v>
      </c>
      <c r="C993" s="155" t="s">
        <v>113</v>
      </c>
      <c r="D993" s="155"/>
      <c r="E993" s="155" t="s">
        <v>642</v>
      </c>
      <c r="F993" s="157">
        <v>2000</v>
      </c>
      <c r="G993" s="158">
        <v>26.3</v>
      </c>
      <c r="H993" s="157">
        <v>21.04</v>
      </c>
      <c r="I993" s="157"/>
      <c r="J993" s="159">
        <v>52621.04</v>
      </c>
      <c r="K993" s="6" t="s">
        <v>641</v>
      </c>
      <c r="L993" s="20">
        <f>IF(ISNA(MATCH(Transactions[[#This Row],[TransType]],TransTypes[TransType],0)),1,MATCH(Transactions[[#This Row],[TransType]],TransTypes[TransType],0))</f>
        <v>2</v>
      </c>
      <c r="M993" s="160">
        <f>IF( AND( INDEX(TransTypes[],Transactions[[#This Row],[TTR]],TT_COL_GLFlag)=1, INDEX(TransTypes[],Transactions[[#This Row],[TTR]],TT_COL_LONGORSHORT)="S" ),
      Transactions[[#This Row],[PL]],
      IF(INDEX(TransTypes[],Transactions[[#This Row],[TTR]],TT_COL_LONGORSHORT)="S",0,Transactions[[#This Row],[CalCashImpact]])
)</f>
        <v>-52621.04</v>
      </c>
      <c r="N993" s="161">
        <f>IF(VLOOKUP(Transactions[[#This Row],[Symbol]],Symbols[],COLUMN(Symbols[Currency])-COLUMN(Symbols[])+1,FALSE)=
       VLOOKUP(Transactions[[#This Row],[Account]],Accounts[],COLUMN(Accounts[Currency])-COLUMN(Accounts[])+1,FALSE),
     Transactions[[#This Row],[OrigCashImpact]],
     0
)</f>
        <v>-52621.04</v>
      </c>
      <c r="O9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2100324.8199999994</v>
      </c>
      <c r="P9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9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993" s="41">
        <f>ROW()</f>
        <v>993</v>
      </c>
      <c r="S9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52621.04</v>
      </c>
      <c r="T9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52621.04</v>
      </c>
      <c r="U9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993" s="166">
        <f>IF(INDEX(TransTypes[],Transactions[[#This Row],[TTR]],TT_COL_GLFlag)=1,Transactions[[#This Row],[CalCashImpact]]+Transactions[[#This Row],[CostImpact]],0)</f>
        <v>0</v>
      </c>
      <c r="W993" s="167">
        <f>Transactions[[#This Row],[Amount]]*INDEX(TransTypes[],Transactions[[#This Row],[TTR]],TT_COL_AmntSign)</f>
        <v>-52621.04</v>
      </c>
      <c r="X993" s="167">
        <f>IF(INDEX(TransTypes[],Transactions[[#This Row],[TTR]],TT_COL_LONGORSHORT)="S",
      IF( OR(INDEX(TransTypes[],Transactions[[#This Row],[TTR]],TT_COL_GLFlag)=1, INDEX(TransTypes[], Transactions[[#This Row],[TTR]], TT_COL_ShareTransferFlag)=1),
            Transactions[[#This Row],[CostImpact]]*-1,
            Transactions[[#This Row],[CalCashImpact]]
      ),
     0
)</f>
        <v>0</v>
      </c>
      <c r="Y993" s="168" t="str">
        <f>VLOOKUP(Transactions[[#This Row],[Symbol]],Symbols[], COLUMN(Symbols[Currency])-COLUMN(Symbols[])+1,FALSE)</f>
        <v>CNY</v>
      </c>
    </row>
    <row r="994" spans="1:25">
      <c r="A994" s="155" t="s">
        <v>82</v>
      </c>
      <c r="B994" s="156">
        <v>42389</v>
      </c>
      <c r="C994" s="155" t="s">
        <v>113</v>
      </c>
      <c r="D994" s="155"/>
      <c r="E994" s="155" t="s">
        <v>467</v>
      </c>
      <c r="F994" s="157">
        <v>1000</v>
      </c>
      <c r="G994" s="158">
        <v>43.43</v>
      </c>
      <c r="H994" s="157">
        <v>17.37</v>
      </c>
      <c r="I994" s="157"/>
      <c r="J994" s="159">
        <v>43447.37</v>
      </c>
      <c r="K994" s="6" t="s">
        <v>641</v>
      </c>
      <c r="L994" s="20">
        <f>IF(ISNA(MATCH(Transactions[[#This Row],[TransType]],TransTypes[TransType],0)),1,MATCH(Transactions[[#This Row],[TransType]],TransTypes[TransType],0))</f>
        <v>2</v>
      </c>
      <c r="M994" s="160">
        <f>IF( AND( INDEX(TransTypes[],Transactions[[#This Row],[TTR]],TT_COL_GLFlag)=1, INDEX(TransTypes[],Transactions[[#This Row],[TTR]],TT_COL_LONGORSHORT)="S" ),
      Transactions[[#This Row],[PL]],
      IF(INDEX(TransTypes[],Transactions[[#This Row],[TTR]],TT_COL_LONGORSHORT)="S",0,Transactions[[#This Row],[CalCashImpact]])
)</f>
        <v>-43447.37</v>
      </c>
      <c r="N994" s="161">
        <f>IF(VLOOKUP(Transactions[[#This Row],[Symbol]],Symbols[],COLUMN(Symbols[Currency])-COLUMN(Symbols[])+1,FALSE)=
       VLOOKUP(Transactions[[#This Row],[Account]],Accounts[],COLUMN(Accounts[Currency])-COLUMN(Accounts[])+1,FALSE),
     Transactions[[#This Row],[OrigCashImpact]],
     0
)</f>
        <v>-43447.37</v>
      </c>
      <c r="O9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2056877.4499999993</v>
      </c>
      <c r="P9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94" s="41">
        <f>ROW()</f>
        <v>994</v>
      </c>
      <c r="S9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43447.37</v>
      </c>
      <c r="T9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43447.37</v>
      </c>
      <c r="U9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94" s="166">
        <f>IF(INDEX(TransTypes[],Transactions[[#This Row],[TTR]],TT_COL_GLFlag)=1,Transactions[[#This Row],[CalCashImpact]]+Transactions[[#This Row],[CostImpact]],0)</f>
        <v>0</v>
      </c>
      <c r="W994" s="167">
        <f>Transactions[[#This Row],[Amount]]*INDEX(TransTypes[],Transactions[[#This Row],[TTR]],TT_COL_AmntSign)</f>
        <v>-43447.37</v>
      </c>
      <c r="X994" s="167">
        <f>IF(INDEX(TransTypes[],Transactions[[#This Row],[TTR]],TT_COL_LONGORSHORT)="S",
      IF( OR(INDEX(TransTypes[],Transactions[[#This Row],[TTR]],TT_COL_GLFlag)=1, INDEX(TransTypes[], Transactions[[#This Row],[TTR]], TT_COL_ShareTransferFlag)=1),
            Transactions[[#This Row],[CostImpact]]*-1,
            Transactions[[#This Row],[CalCashImpact]]
      ),
     0
)</f>
        <v>0</v>
      </c>
      <c r="Y994" s="168" t="str">
        <f>VLOOKUP(Transactions[[#This Row],[Symbol]],Symbols[], COLUMN(Symbols[Currency])-COLUMN(Symbols[])+1,FALSE)</f>
        <v>CNY</v>
      </c>
    </row>
    <row r="995" spans="1:25">
      <c r="A995" s="155" t="s">
        <v>82</v>
      </c>
      <c r="B995" s="156">
        <v>42389</v>
      </c>
      <c r="C995" s="155" t="s">
        <v>113</v>
      </c>
      <c r="D995" s="155"/>
      <c r="E995" s="155" t="s">
        <v>649</v>
      </c>
      <c r="F995" s="157">
        <v>1000</v>
      </c>
      <c r="G995" s="158">
        <v>45.55</v>
      </c>
      <c r="H995" s="157">
        <v>18.22</v>
      </c>
      <c r="I995" s="157"/>
      <c r="J995" s="159">
        <v>45568.22</v>
      </c>
      <c r="K995" s="6" t="s">
        <v>641</v>
      </c>
      <c r="L995" s="20">
        <f>IF(ISNA(MATCH(Transactions[[#This Row],[TransType]],TransTypes[TransType],0)),1,MATCH(Transactions[[#This Row],[TransType]],TransTypes[TransType],0))</f>
        <v>2</v>
      </c>
      <c r="M995" s="160">
        <f>IF( AND( INDEX(TransTypes[],Transactions[[#This Row],[TTR]],TT_COL_GLFlag)=1, INDEX(TransTypes[],Transactions[[#This Row],[TTR]],TT_COL_LONGORSHORT)="S" ),
      Transactions[[#This Row],[PL]],
      IF(INDEX(TransTypes[],Transactions[[#This Row],[TTR]],TT_COL_LONGORSHORT)="S",0,Transactions[[#This Row],[CalCashImpact]])
)</f>
        <v>-45568.22</v>
      </c>
      <c r="N995" s="161">
        <f>IF(VLOOKUP(Transactions[[#This Row],[Symbol]],Symbols[],COLUMN(Symbols[Currency])-COLUMN(Symbols[])+1,FALSE)=
       VLOOKUP(Transactions[[#This Row],[Account]],Accounts[],COLUMN(Accounts[Currency])-COLUMN(Accounts[])+1,FALSE),
     Transactions[[#This Row],[OrigCashImpact]],
     0
)</f>
        <v>-45568.22</v>
      </c>
      <c r="O9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2011309.2299999993</v>
      </c>
      <c r="P9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95" s="41">
        <f>ROW()</f>
        <v>995</v>
      </c>
      <c r="S9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45568.22</v>
      </c>
      <c r="T9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45568.22</v>
      </c>
      <c r="U9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95" s="166">
        <f>IF(INDEX(TransTypes[],Transactions[[#This Row],[TTR]],TT_COL_GLFlag)=1,Transactions[[#This Row],[CalCashImpact]]+Transactions[[#This Row],[CostImpact]],0)</f>
        <v>0</v>
      </c>
      <c r="W995" s="167">
        <f>Transactions[[#This Row],[Amount]]*INDEX(TransTypes[],Transactions[[#This Row],[TTR]],TT_COL_AmntSign)</f>
        <v>-45568.22</v>
      </c>
      <c r="X995" s="167">
        <f>IF(INDEX(TransTypes[],Transactions[[#This Row],[TTR]],TT_COL_LONGORSHORT)="S",
      IF( OR(INDEX(TransTypes[],Transactions[[#This Row],[TTR]],TT_COL_GLFlag)=1, INDEX(TransTypes[], Transactions[[#This Row],[TTR]], TT_COL_ShareTransferFlag)=1),
            Transactions[[#This Row],[CostImpact]]*-1,
            Transactions[[#This Row],[CalCashImpact]]
      ),
     0
)</f>
        <v>0</v>
      </c>
      <c r="Y995" s="168" t="str">
        <f>VLOOKUP(Transactions[[#This Row],[Symbol]],Symbols[], COLUMN(Symbols[Currency])-COLUMN(Symbols[])+1,FALSE)</f>
        <v>CNY</v>
      </c>
    </row>
    <row r="996" spans="1:25">
      <c r="A996" s="155" t="s">
        <v>82</v>
      </c>
      <c r="B996" s="156">
        <v>42389</v>
      </c>
      <c r="C996" s="155" t="s">
        <v>113</v>
      </c>
      <c r="D996" s="155"/>
      <c r="E996" s="155" t="s">
        <v>644</v>
      </c>
      <c r="F996" s="157">
        <v>1000</v>
      </c>
      <c r="G996" s="158">
        <v>55.15</v>
      </c>
      <c r="H996" s="157">
        <v>22.06</v>
      </c>
      <c r="I996" s="157"/>
      <c r="J996" s="159">
        <v>55172.06</v>
      </c>
      <c r="K996" s="6" t="s">
        <v>641</v>
      </c>
      <c r="L996" s="20">
        <f>IF(ISNA(MATCH(Transactions[[#This Row],[TransType]],TransTypes[TransType],0)),1,MATCH(Transactions[[#This Row],[TransType]],TransTypes[TransType],0))</f>
        <v>2</v>
      </c>
      <c r="M996" s="160">
        <f>IF( AND( INDEX(TransTypes[],Transactions[[#This Row],[TTR]],TT_COL_GLFlag)=1, INDEX(TransTypes[],Transactions[[#This Row],[TTR]],TT_COL_LONGORSHORT)="S" ),
      Transactions[[#This Row],[PL]],
      IF(INDEX(TransTypes[],Transactions[[#This Row],[TTR]],TT_COL_LONGORSHORT)="S",0,Transactions[[#This Row],[CalCashImpact]])
)</f>
        <v>-55172.06</v>
      </c>
      <c r="N996" s="161">
        <f>IF(VLOOKUP(Transactions[[#This Row],[Symbol]],Symbols[],COLUMN(Symbols[Currency])-COLUMN(Symbols[])+1,FALSE)=
       VLOOKUP(Transactions[[#This Row],[Account]],Accounts[],COLUMN(Accounts[Currency])-COLUMN(Accounts[])+1,FALSE),
     Transactions[[#This Row],[OrigCashImpact]],
     0
)</f>
        <v>-55172.06</v>
      </c>
      <c r="O9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1956137.1699999992</v>
      </c>
      <c r="P9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96" s="41">
        <f>ROW()</f>
        <v>996</v>
      </c>
      <c r="S9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55172.06</v>
      </c>
      <c r="T9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55172.06</v>
      </c>
      <c r="U9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96" s="166">
        <f>IF(INDEX(TransTypes[],Transactions[[#This Row],[TTR]],TT_COL_GLFlag)=1,Transactions[[#This Row],[CalCashImpact]]+Transactions[[#This Row],[CostImpact]],0)</f>
        <v>0</v>
      </c>
      <c r="W996" s="167">
        <f>Transactions[[#This Row],[Amount]]*INDEX(TransTypes[],Transactions[[#This Row],[TTR]],TT_COL_AmntSign)</f>
        <v>-55172.06</v>
      </c>
      <c r="X996" s="167">
        <f>IF(INDEX(TransTypes[],Transactions[[#This Row],[TTR]],TT_COL_LONGORSHORT)="S",
      IF( OR(INDEX(TransTypes[],Transactions[[#This Row],[TTR]],TT_COL_GLFlag)=1, INDEX(TransTypes[], Transactions[[#This Row],[TTR]], TT_COL_ShareTransferFlag)=1),
            Transactions[[#This Row],[CostImpact]]*-1,
            Transactions[[#This Row],[CalCashImpact]]
      ),
     0
)</f>
        <v>0</v>
      </c>
      <c r="Y996" s="168" t="str">
        <f>VLOOKUP(Transactions[[#This Row],[Symbol]],Symbols[], COLUMN(Symbols[Currency])-COLUMN(Symbols[])+1,FALSE)</f>
        <v>CNY</v>
      </c>
    </row>
    <row r="997" spans="1:25">
      <c r="A997" s="155" t="s">
        <v>82</v>
      </c>
      <c r="B997" s="156">
        <v>42389</v>
      </c>
      <c r="C997" s="155" t="s">
        <v>113</v>
      </c>
      <c r="D997" s="155"/>
      <c r="E997" s="155" t="s">
        <v>674</v>
      </c>
      <c r="F997" s="157">
        <v>1000</v>
      </c>
      <c r="G997" s="158">
        <v>61.8</v>
      </c>
      <c r="H997" s="157">
        <v>24.72</v>
      </c>
      <c r="I997" s="157"/>
      <c r="J997" s="159">
        <v>61824.72</v>
      </c>
      <c r="K997" s="6" t="s">
        <v>641</v>
      </c>
      <c r="L997" s="20">
        <f>IF(ISNA(MATCH(Transactions[[#This Row],[TransType]],TransTypes[TransType],0)),1,MATCH(Transactions[[#This Row],[TransType]],TransTypes[TransType],0))</f>
        <v>2</v>
      </c>
      <c r="M997" s="160">
        <f>IF( AND( INDEX(TransTypes[],Transactions[[#This Row],[TTR]],TT_COL_GLFlag)=1, INDEX(TransTypes[],Transactions[[#This Row],[TTR]],TT_COL_LONGORSHORT)="S" ),
      Transactions[[#This Row],[PL]],
      IF(INDEX(TransTypes[],Transactions[[#This Row],[TTR]],TT_COL_LONGORSHORT)="S",0,Transactions[[#This Row],[CalCashImpact]])
)</f>
        <v>-61824.72</v>
      </c>
      <c r="N997" s="161">
        <f>IF(VLOOKUP(Transactions[[#This Row],[Symbol]],Symbols[],COLUMN(Symbols[Currency])-COLUMN(Symbols[])+1,FALSE)=
       VLOOKUP(Transactions[[#This Row],[Account]],Accounts[],COLUMN(Accounts[Currency])-COLUMN(Accounts[])+1,FALSE),
     Transactions[[#This Row],[OrigCashImpact]],
     0
)</f>
        <v>-61824.72</v>
      </c>
      <c r="O9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1894312.4499999993</v>
      </c>
      <c r="P9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9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997" s="41">
        <f>ROW()</f>
        <v>997</v>
      </c>
      <c r="S9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61824.72</v>
      </c>
      <c r="T9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61824.72</v>
      </c>
      <c r="U9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997" s="166">
        <f>IF(INDEX(TransTypes[],Transactions[[#This Row],[TTR]],TT_COL_GLFlag)=1,Transactions[[#This Row],[CalCashImpact]]+Transactions[[#This Row],[CostImpact]],0)</f>
        <v>0</v>
      </c>
      <c r="W997" s="167">
        <f>Transactions[[#This Row],[Amount]]*INDEX(TransTypes[],Transactions[[#This Row],[TTR]],TT_COL_AmntSign)</f>
        <v>-61824.72</v>
      </c>
      <c r="X997" s="167">
        <f>IF(INDEX(TransTypes[],Transactions[[#This Row],[TTR]],TT_COL_LONGORSHORT)="S",
      IF( OR(INDEX(TransTypes[],Transactions[[#This Row],[TTR]],TT_COL_GLFlag)=1, INDEX(TransTypes[], Transactions[[#This Row],[TTR]], TT_COL_ShareTransferFlag)=1),
            Transactions[[#This Row],[CostImpact]]*-1,
            Transactions[[#This Row],[CalCashImpact]]
      ),
     0
)</f>
        <v>0</v>
      </c>
      <c r="Y997" s="168" t="str">
        <f>VLOOKUP(Transactions[[#This Row],[Symbol]],Symbols[], COLUMN(Symbols[Currency])-COLUMN(Symbols[])+1,FALSE)</f>
        <v>CNY</v>
      </c>
    </row>
    <row r="998" spans="1:25">
      <c r="A998" s="155" t="s">
        <v>82</v>
      </c>
      <c r="B998" s="156">
        <v>42389</v>
      </c>
      <c r="C998" s="155" t="s">
        <v>113</v>
      </c>
      <c r="D998" s="155"/>
      <c r="E998" s="155" t="s">
        <v>665</v>
      </c>
      <c r="F998" s="157">
        <v>36000</v>
      </c>
      <c r="G998" s="158">
        <v>0.83099999999999996</v>
      </c>
      <c r="H998" s="157">
        <v>11.97</v>
      </c>
      <c r="I998" s="157"/>
      <c r="J998" s="159">
        <v>29927.97</v>
      </c>
      <c r="K998" s="6" t="s">
        <v>641</v>
      </c>
      <c r="L998" s="20">
        <f>IF(ISNA(MATCH(Transactions[[#This Row],[TransType]],TransTypes[TransType],0)),1,MATCH(Transactions[[#This Row],[TransType]],TransTypes[TransType],0))</f>
        <v>2</v>
      </c>
      <c r="M998" s="160">
        <f>IF( AND( INDEX(TransTypes[],Transactions[[#This Row],[TTR]],TT_COL_GLFlag)=1, INDEX(TransTypes[],Transactions[[#This Row],[TTR]],TT_COL_LONGORSHORT)="S" ),
      Transactions[[#This Row],[PL]],
      IF(INDEX(TransTypes[],Transactions[[#This Row],[TTR]],TT_COL_LONGORSHORT)="S",0,Transactions[[#This Row],[CalCashImpact]])
)</f>
        <v>-29927.97</v>
      </c>
      <c r="N998" s="161">
        <f>IF(VLOOKUP(Transactions[[#This Row],[Symbol]],Symbols[],COLUMN(Symbols[Currency])-COLUMN(Symbols[])+1,FALSE)=
       VLOOKUP(Transactions[[#This Row],[Account]],Accounts[],COLUMN(Accounts[Currency])-COLUMN(Accounts[])+1,FALSE),
     Transactions[[#This Row],[OrigCashImpact]],
     0
)</f>
        <v>-29927.97</v>
      </c>
      <c r="O9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1864384.4799999993</v>
      </c>
      <c r="P9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36000</v>
      </c>
      <c r="Q9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284000</v>
      </c>
      <c r="R998" s="41">
        <f>ROW()</f>
        <v>998</v>
      </c>
      <c r="S9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29927.97</v>
      </c>
      <c r="T9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239844.7</v>
      </c>
      <c r="U9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284000</v>
      </c>
      <c r="V998" s="166">
        <f>IF(INDEX(TransTypes[],Transactions[[#This Row],[TTR]],TT_COL_GLFlag)=1,Transactions[[#This Row],[CalCashImpact]]+Transactions[[#This Row],[CostImpact]],0)</f>
        <v>0</v>
      </c>
      <c r="W998" s="167">
        <f>Transactions[[#This Row],[Amount]]*INDEX(TransTypes[],Transactions[[#This Row],[TTR]],TT_COL_AmntSign)</f>
        <v>-29927.97</v>
      </c>
      <c r="X998" s="167">
        <f>IF(INDEX(TransTypes[],Transactions[[#This Row],[TTR]],TT_COL_LONGORSHORT)="S",
      IF( OR(INDEX(TransTypes[],Transactions[[#This Row],[TTR]],TT_COL_GLFlag)=1, INDEX(TransTypes[], Transactions[[#This Row],[TTR]], TT_COL_ShareTransferFlag)=1),
            Transactions[[#This Row],[CostImpact]]*-1,
            Transactions[[#This Row],[CalCashImpact]]
      ),
     0
)</f>
        <v>0</v>
      </c>
      <c r="Y998" s="168" t="str">
        <f>VLOOKUP(Transactions[[#This Row],[Symbol]],Symbols[], COLUMN(Symbols[Currency])-COLUMN(Symbols[])+1,FALSE)</f>
        <v>CNY</v>
      </c>
    </row>
    <row r="999" spans="1:25">
      <c r="A999" s="155" t="s">
        <v>82</v>
      </c>
      <c r="B999" s="156">
        <v>42389</v>
      </c>
      <c r="C999" s="155" t="s">
        <v>113</v>
      </c>
      <c r="D999" s="155"/>
      <c r="E999" s="155" t="s">
        <v>498</v>
      </c>
      <c r="F999" s="157">
        <v>15000</v>
      </c>
      <c r="G999" s="158">
        <v>100.241</v>
      </c>
      <c r="H999" s="157">
        <v>0</v>
      </c>
      <c r="I999" s="157"/>
      <c r="J999" s="159">
        <v>1503615</v>
      </c>
      <c r="K999" s="6" t="s">
        <v>641</v>
      </c>
      <c r="L999" s="20">
        <f>IF(ISNA(MATCH(Transactions[[#This Row],[TransType]],TransTypes[TransType],0)),1,MATCH(Transactions[[#This Row],[TransType]],TransTypes[TransType],0))</f>
        <v>2</v>
      </c>
      <c r="M999" s="160">
        <f>IF( AND( INDEX(TransTypes[],Transactions[[#This Row],[TTR]],TT_COL_GLFlag)=1, INDEX(TransTypes[],Transactions[[#This Row],[TTR]],TT_COL_LONGORSHORT)="S" ),
      Transactions[[#This Row],[PL]],
      IF(INDEX(TransTypes[],Transactions[[#This Row],[TTR]],TT_COL_LONGORSHORT)="S",0,Transactions[[#This Row],[CalCashImpact]])
)</f>
        <v>-1503615</v>
      </c>
      <c r="N999" s="161">
        <f>IF(VLOOKUP(Transactions[[#This Row],[Symbol]],Symbols[],COLUMN(Symbols[Currency])-COLUMN(Symbols[])+1,FALSE)=
       VLOOKUP(Transactions[[#This Row],[Account]],Accounts[],COLUMN(Accounts[Currency])-COLUMN(Accounts[])+1,FALSE),
     Transactions[[#This Row],[OrigCashImpact]],
     0
)</f>
        <v>-1503615</v>
      </c>
      <c r="O9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360769.47999999928</v>
      </c>
      <c r="P9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15000</v>
      </c>
      <c r="Q9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15000</v>
      </c>
      <c r="R999" s="41">
        <f>ROW()</f>
        <v>999</v>
      </c>
      <c r="S9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1503615</v>
      </c>
      <c r="T9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1503615</v>
      </c>
      <c r="U9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15000</v>
      </c>
      <c r="V999" s="166">
        <f>IF(INDEX(TransTypes[],Transactions[[#This Row],[TTR]],TT_COL_GLFlag)=1,Transactions[[#This Row],[CalCashImpact]]+Transactions[[#This Row],[CostImpact]],0)</f>
        <v>0</v>
      </c>
      <c r="W999" s="167">
        <f>Transactions[[#This Row],[Amount]]*INDEX(TransTypes[],Transactions[[#This Row],[TTR]],TT_COL_AmntSign)</f>
        <v>-1503615</v>
      </c>
      <c r="X999" s="167">
        <f>IF(INDEX(TransTypes[],Transactions[[#This Row],[TTR]],TT_COL_LONGORSHORT)="S",
      IF( OR(INDEX(TransTypes[],Transactions[[#This Row],[TTR]],TT_COL_GLFlag)=1, INDEX(TransTypes[], Transactions[[#This Row],[TTR]], TT_COL_ShareTransferFlag)=1),
            Transactions[[#This Row],[CostImpact]]*-1,
            Transactions[[#This Row],[CalCashImpact]]
      ),
     0
)</f>
        <v>0</v>
      </c>
      <c r="Y999" s="168" t="str">
        <f>VLOOKUP(Transactions[[#This Row],[Symbol]],Symbols[], COLUMN(Symbols[Currency])-COLUMN(Symbols[])+1,FALSE)</f>
        <v>CNY</v>
      </c>
    </row>
    <row r="1000" spans="1:25">
      <c r="A1000" s="155" t="s">
        <v>82</v>
      </c>
      <c r="B1000" s="156">
        <v>42389</v>
      </c>
      <c r="C1000" s="155" t="s">
        <v>113</v>
      </c>
      <c r="D1000" s="155"/>
      <c r="E1000" s="155" t="s">
        <v>677</v>
      </c>
      <c r="F1000" s="157">
        <v>5000</v>
      </c>
      <c r="G1000" s="158">
        <v>8.59</v>
      </c>
      <c r="H1000" s="157">
        <v>18.04</v>
      </c>
      <c r="I1000" s="157"/>
      <c r="J1000" s="159">
        <v>42968.04</v>
      </c>
      <c r="K1000" s="6" t="s">
        <v>641</v>
      </c>
      <c r="L1000" s="20">
        <f>IF(ISNA(MATCH(Transactions[[#This Row],[TransType]],TransTypes[TransType],0)),1,MATCH(Transactions[[#This Row],[TransType]],TransTypes[TransType],0))</f>
        <v>2</v>
      </c>
      <c r="M1000" s="160">
        <f>IF( AND( INDEX(TransTypes[],Transactions[[#This Row],[TTR]],TT_COL_GLFlag)=1, INDEX(TransTypes[],Transactions[[#This Row],[TTR]],TT_COL_LONGORSHORT)="S" ),
      Transactions[[#This Row],[PL]],
      IF(INDEX(TransTypes[],Transactions[[#This Row],[TTR]],TT_COL_LONGORSHORT)="S",0,Transactions[[#This Row],[CalCashImpact]])
)</f>
        <v>-42968.04</v>
      </c>
      <c r="N1000" s="161">
        <f>IF(VLOOKUP(Transactions[[#This Row],[Symbol]],Symbols[],COLUMN(Symbols[Currency])-COLUMN(Symbols[])+1,FALSE)=
       VLOOKUP(Transactions[[#This Row],[Account]],Accounts[],COLUMN(Accounts[Currency])-COLUMN(Accounts[])+1,FALSE),
     Transactions[[#This Row],[OrigCashImpact]],
     0
)</f>
        <v>-42968.04</v>
      </c>
      <c r="O10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317801.43999999925</v>
      </c>
      <c r="P10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0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000" s="41">
        <f>ROW()</f>
        <v>1000</v>
      </c>
      <c r="S10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42968.04</v>
      </c>
      <c r="T10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42968.04</v>
      </c>
      <c r="U10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00" s="166">
        <f>IF(INDEX(TransTypes[],Transactions[[#This Row],[TTR]],TT_COL_GLFlag)=1,Transactions[[#This Row],[CalCashImpact]]+Transactions[[#This Row],[CostImpact]],0)</f>
        <v>0</v>
      </c>
      <c r="W1000" s="167">
        <f>Transactions[[#This Row],[Amount]]*INDEX(TransTypes[],Transactions[[#This Row],[TTR]],TT_COL_AmntSign)</f>
        <v>-42968.04</v>
      </c>
      <c r="X1000" s="167">
        <f>IF(INDEX(TransTypes[],Transactions[[#This Row],[TTR]],TT_COL_LONGORSHORT)="S",
      IF( OR(INDEX(TransTypes[],Transactions[[#This Row],[TTR]],TT_COL_GLFlag)=1, INDEX(TransTypes[], Transactions[[#This Row],[TTR]], TT_COL_ShareTransferFlag)=1),
            Transactions[[#This Row],[CostImpact]]*-1,
            Transactions[[#This Row],[CalCashImpact]]
      ),
     0
)</f>
        <v>0</v>
      </c>
      <c r="Y1000" s="168" t="str">
        <f>VLOOKUP(Transactions[[#This Row],[Symbol]],Symbols[], COLUMN(Symbols[Currency])-COLUMN(Symbols[])+1,FALSE)</f>
        <v>CNY</v>
      </c>
    </row>
    <row r="1001" spans="1:25">
      <c r="A1001" s="155" t="s">
        <v>82</v>
      </c>
      <c r="B1001" s="156">
        <v>42389</v>
      </c>
      <c r="C1001" s="155" t="s">
        <v>113</v>
      </c>
      <c r="D1001" s="155"/>
      <c r="E1001" s="155" t="s">
        <v>468</v>
      </c>
      <c r="F1001" s="157">
        <v>1000</v>
      </c>
      <c r="G1001" s="158">
        <v>31.1</v>
      </c>
      <c r="H1001" s="157">
        <v>13.06</v>
      </c>
      <c r="I1001" s="157"/>
      <c r="J1001" s="159">
        <v>31113.06</v>
      </c>
      <c r="K1001" s="6" t="s">
        <v>641</v>
      </c>
      <c r="L1001" s="20">
        <f>IF(ISNA(MATCH(Transactions[[#This Row],[TransType]],TransTypes[TransType],0)),1,MATCH(Transactions[[#This Row],[TransType]],TransTypes[TransType],0))</f>
        <v>2</v>
      </c>
      <c r="M1001" s="160">
        <f>IF( AND( INDEX(TransTypes[],Transactions[[#This Row],[TTR]],TT_COL_GLFlag)=1, INDEX(TransTypes[],Transactions[[#This Row],[TTR]],TT_COL_LONGORSHORT)="S" ),
      Transactions[[#This Row],[PL]],
      IF(INDEX(TransTypes[],Transactions[[#This Row],[TTR]],TT_COL_LONGORSHORT)="S",0,Transactions[[#This Row],[CalCashImpact]])
)</f>
        <v>-31113.06</v>
      </c>
      <c r="N1001" s="161">
        <f>IF(VLOOKUP(Transactions[[#This Row],[Symbol]],Symbols[],COLUMN(Symbols[Currency])-COLUMN(Symbols[])+1,FALSE)=
       VLOOKUP(Transactions[[#This Row],[Account]],Accounts[],COLUMN(Accounts[Currency])-COLUMN(Accounts[])+1,FALSE),
     Transactions[[#This Row],[OrigCashImpact]],
     0
)</f>
        <v>-31113.06</v>
      </c>
      <c r="O10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286688.37999999919</v>
      </c>
      <c r="P10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001" s="41">
        <f>ROW()</f>
        <v>1001</v>
      </c>
      <c r="S10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31113.06</v>
      </c>
      <c r="T10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31113.06</v>
      </c>
      <c r="U10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001" s="166">
        <f>IF(INDEX(TransTypes[],Transactions[[#This Row],[TTR]],TT_COL_GLFlag)=1,Transactions[[#This Row],[CalCashImpact]]+Transactions[[#This Row],[CostImpact]],0)</f>
        <v>0</v>
      </c>
      <c r="W1001" s="167">
        <f>Transactions[[#This Row],[Amount]]*INDEX(TransTypes[],Transactions[[#This Row],[TTR]],TT_COL_AmntSign)</f>
        <v>-31113.06</v>
      </c>
      <c r="X1001" s="167">
        <f>IF(INDEX(TransTypes[],Transactions[[#This Row],[TTR]],TT_COL_LONGORSHORT)="S",
      IF( OR(INDEX(TransTypes[],Transactions[[#This Row],[TTR]],TT_COL_GLFlag)=1, INDEX(TransTypes[], Transactions[[#This Row],[TTR]], TT_COL_ShareTransferFlag)=1),
            Transactions[[#This Row],[CostImpact]]*-1,
            Transactions[[#This Row],[CalCashImpact]]
      ),
     0
)</f>
        <v>0</v>
      </c>
      <c r="Y1001" s="168" t="str">
        <f>VLOOKUP(Transactions[[#This Row],[Symbol]],Symbols[], COLUMN(Symbols[Currency])-COLUMN(Symbols[])+1,FALSE)</f>
        <v>CNY</v>
      </c>
    </row>
    <row r="1002" spans="1:25">
      <c r="A1002" s="155" t="s">
        <v>82</v>
      </c>
      <c r="B1002" s="156">
        <v>42390</v>
      </c>
      <c r="C1002" s="155" t="s">
        <v>113</v>
      </c>
      <c r="D1002" s="155"/>
      <c r="E1002" s="155" t="s">
        <v>647</v>
      </c>
      <c r="F1002" s="157">
        <v>2000</v>
      </c>
      <c r="G1002" s="158">
        <v>29.55</v>
      </c>
      <c r="H1002" s="157">
        <v>23.64</v>
      </c>
      <c r="I1002" s="157"/>
      <c r="J1002" s="159">
        <v>59123.64</v>
      </c>
      <c r="K1002" s="6" t="s">
        <v>641</v>
      </c>
      <c r="L1002" s="20">
        <f>IF(ISNA(MATCH(Transactions[[#This Row],[TransType]],TransTypes[TransType],0)),1,MATCH(Transactions[[#This Row],[TransType]],TransTypes[TransType],0))</f>
        <v>2</v>
      </c>
      <c r="M1002" s="160">
        <f>IF( AND( INDEX(TransTypes[],Transactions[[#This Row],[TTR]],TT_COL_GLFlag)=1, INDEX(TransTypes[],Transactions[[#This Row],[TTR]],TT_COL_LONGORSHORT)="S" ),
      Transactions[[#This Row],[PL]],
      IF(INDEX(TransTypes[],Transactions[[#This Row],[TTR]],TT_COL_LONGORSHORT)="S",0,Transactions[[#This Row],[CalCashImpact]])
)</f>
        <v>-59123.64</v>
      </c>
      <c r="N1002" s="161">
        <f>IF(VLOOKUP(Transactions[[#This Row],[Symbol]],Symbols[],COLUMN(Symbols[Currency])-COLUMN(Symbols[])+1,FALSE)=
       VLOOKUP(Transactions[[#This Row],[Account]],Accounts[],COLUMN(Accounts[Currency])-COLUMN(Accounts[])+1,FALSE),
     Transactions[[#This Row],[OrigCashImpact]],
     0
)</f>
        <v>-59123.64</v>
      </c>
      <c r="O10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227564.73999999929</v>
      </c>
      <c r="P10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02" s="41">
        <f>ROW()</f>
        <v>1002</v>
      </c>
      <c r="S10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59123.64</v>
      </c>
      <c r="T10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59123.64</v>
      </c>
      <c r="U10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02" s="166">
        <f>IF(INDEX(TransTypes[],Transactions[[#This Row],[TTR]],TT_COL_GLFlag)=1,Transactions[[#This Row],[CalCashImpact]]+Transactions[[#This Row],[CostImpact]],0)</f>
        <v>0</v>
      </c>
      <c r="W1002" s="167">
        <f>Transactions[[#This Row],[Amount]]*INDEX(TransTypes[],Transactions[[#This Row],[TTR]],TT_COL_AmntSign)</f>
        <v>-59123.64</v>
      </c>
      <c r="X1002" s="167">
        <f>IF(INDEX(TransTypes[],Transactions[[#This Row],[TTR]],TT_COL_LONGORSHORT)="S",
      IF( OR(INDEX(TransTypes[],Transactions[[#This Row],[TTR]],TT_COL_GLFlag)=1, INDEX(TransTypes[], Transactions[[#This Row],[TTR]], TT_COL_ShareTransferFlag)=1),
            Transactions[[#This Row],[CostImpact]]*-1,
            Transactions[[#This Row],[CalCashImpact]]
      ),
     0
)</f>
        <v>0</v>
      </c>
      <c r="Y1002" s="168" t="str">
        <f>VLOOKUP(Transactions[[#This Row],[Symbol]],Symbols[], COLUMN(Symbols[Currency])-COLUMN(Symbols[])+1,FALSE)</f>
        <v>CNY</v>
      </c>
    </row>
    <row r="1003" spans="1:25">
      <c r="A1003" s="155" t="s">
        <v>82</v>
      </c>
      <c r="B1003" s="156">
        <v>42391</v>
      </c>
      <c r="C1003" s="155" t="s">
        <v>113</v>
      </c>
      <c r="D1003" s="155"/>
      <c r="E1003" s="155" t="s">
        <v>647</v>
      </c>
      <c r="F1003" s="157">
        <v>1000</v>
      </c>
      <c r="G1003" s="158">
        <v>30.16</v>
      </c>
      <c r="H1003" s="157">
        <v>12.06</v>
      </c>
      <c r="I1003" s="157"/>
      <c r="J1003" s="159">
        <v>30172.06</v>
      </c>
      <c r="K1003" s="6" t="s">
        <v>641</v>
      </c>
      <c r="L1003" s="20">
        <f>IF(ISNA(MATCH(Transactions[[#This Row],[TransType]],TransTypes[TransType],0)),1,MATCH(Transactions[[#This Row],[TransType]],TransTypes[TransType],0))</f>
        <v>2</v>
      </c>
      <c r="M1003" s="160">
        <f>IF( AND( INDEX(TransTypes[],Transactions[[#This Row],[TTR]],TT_COL_GLFlag)=1, INDEX(TransTypes[],Transactions[[#This Row],[TTR]],TT_COL_LONGORSHORT)="S" ),
      Transactions[[#This Row],[PL]],
      IF(INDEX(TransTypes[],Transactions[[#This Row],[TTR]],TT_COL_LONGORSHORT)="S",0,Transactions[[#This Row],[CalCashImpact]])
)</f>
        <v>-30172.06</v>
      </c>
      <c r="N1003" s="161">
        <f>IF(VLOOKUP(Transactions[[#This Row],[Symbol]],Symbols[],COLUMN(Symbols[Currency])-COLUMN(Symbols[])+1,FALSE)=
       VLOOKUP(Transactions[[#This Row],[Account]],Accounts[],COLUMN(Accounts[Currency])-COLUMN(Accounts[])+1,FALSE),
     Transactions[[#This Row],[OrigCashImpact]],
     0
)</f>
        <v>-30172.06</v>
      </c>
      <c r="O10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197392.67999999929</v>
      </c>
      <c r="P10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03" s="41">
        <f>ROW()</f>
        <v>1003</v>
      </c>
      <c r="S10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30172.06</v>
      </c>
      <c r="T10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89295.7</v>
      </c>
      <c r="U10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03" s="166">
        <f>IF(INDEX(TransTypes[],Transactions[[#This Row],[TTR]],TT_COL_GLFlag)=1,Transactions[[#This Row],[CalCashImpact]]+Transactions[[#This Row],[CostImpact]],0)</f>
        <v>0</v>
      </c>
      <c r="W1003" s="167">
        <f>Transactions[[#This Row],[Amount]]*INDEX(TransTypes[],Transactions[[#This Row],[TTR]],TT_COL_AmntSign)</f>
        <v>-30172.06</v>
      </c>
      <c r="X1003" s="167">
        <f>IF(INDEX(TransTypes[],Transactions[[#This Row],[TTR]],TT_COL_LONGORSHORT)="S",
      IF( OR(INDEX(TransTypes[],Transactions[[#This Row],[TTR]],TT_COL_GLFlag)=1, INDEX(TransTypes[], Transactions[[#This Row],[TTR]], TT_COL_ShareTransferFlag)=1),
            Transactions[[#This Row],[CostImpact]]*-1,
            Transactions[[#This Row],[CalCashImpact]]
      ),
     0
)</f>
        <v>0</v>
      </c>
      <c r="Y1003" s="168" t="str">
        <f>VLOOKUP(Transactions[[#This Row],[Symbol]],Symbols[], COLUMN(Symbols[Currency])-COLUMN(Symbols[])+1,FALSE)</f>
        <v>CNY</v>
      </c>
    </row>
    <row r="1004" spans="1:25">
      <c r="A1004" s="155" t="s">
        <v>82</v>
      </c>
      <c r="B1004" s="156">
        <v>42391</v>
      </c>
      <c r="C1004" s="155" t="s">
        <v>113</v>
      </c>
      <c r="D1004" s="155"/>
      <c r="E1004" s="155" t="s">
        <v>467</v>
      </c>
      <c r="F1004" s="157">
        <v>1000</v>
      </c>
      <c r="G1004" s="158">
        <v>40.79</v>
      </c>
      <c r="H1004" s="157">
        <v>16.32</v>
      </c>
      <c r="I1004" s="157"/>
      <c r="J1004" s="159">
        <v>40806.32</v>
      </c>
      <c r="K1004" s="6" t="s">
        <v>641</v>
      </c>
      <c r="L1004" s="20">
        <f>IF(ISNA(MATCH(Transactions[[#This Row],[TransType]],TransTypes[TransType],0)),1,MATCH(Transactions[[#This Row],[TransType]],TransTypes[TransType],0))</f>
        <v>2</v>
      </c>
      <c r="M1004" s="160">
        <f>IF( AND( INDEX(TransTypes[],Transactions[[#This Row],[TTR]],TT_COL_GLFlag)=1, INDEX(TransTypes[],Transactions[[#This Row],[TTR]],TT_COL_LONGORSHORT)="S" ),
      Transactions[[#This Row],[PL]],
      IF(INDEX(TransTypes[],Transactions[[#This Row],[TTR]],TT_COL_LONGORSHORT)="S",0,Transactions[[#This Row],[CalCashImpact]])
)</f>
        <v>-40806.32</v>
      </c>
      <c r="N1004" s="161">
        <f>IF(VLOOKUP(Transactions[[#This Row],[Symbol]],Symbols[],COLUMN(Symbols[Currency])-COLUMN(Symbols[])+1,FALSE)=
       VLOOKUP(Transactions[[#This Row],[Account]],Accounts[],COLUMN(Accounts[Currency])-COLUMN(Accounts[])+1,FALSE),
     Transactions[[#This Row],[OrigCashImpact]],
     0
)</f>
        <v>-40806.32</v>
      </c>
      <c r="O10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156586.35999999929</v>
      </c>
      <c r="P10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04" s="41">
        <f>ROW()</f>
        <v>1004</v>
      </c>
      <c r="S10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40806.32</v>
      </c>
      <c r="T10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84253.69</v>
      </c>
      <c r="U10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04" s="166">
        <f>IF(INDEX(TransTypes[],Transactions[[#This Row],[TTR]],TT_COL_GLFlag)=1,Transactions[[#This Row],[CalCashImpact]]+Transactions[[#This Row],[CostImpact]],0)</f>
        <v>0</v>
      </c>
      <c r="W1004" s="167">
        <f>Transactions[[#This Row],[Amount]]*INDEX(TransTypes[],Transactions[[#This Row],[TTR]],TT_COL_AmntSign)</f>
        <v>-40806.32</v>
      </c>
      <c r="X1004" s="167">
        <f>IF(INDEX(TransTypes[],Transactions[[#This Row],[TTR]],TT_COL_LONGORSHORT)="S",
      IF( OR(INDEX(TransTypes[],Transactions[[#This Row],[TTR]],TT_COL_GLFlag)=1, INDEX(TransTypes[], Transactions[[#This Row],[TTR]], TT_COL_ShareTransferFlag)=1),
            Transactions[[#This Row],[CostImpact]]*-1,
            Transactions[[#This Row],[CalCashImpact]]
      ),
     0
)</f>
        <v>0</v>
      </c>
      <c r="Y1004" s="168" t="str">
        <f>VLOOKUP(Transactions[[#This Row],[Symbol]],Symbols[], COLUMN(Symbols[Currency])-COLUMN(Symbols[])+1,FALSE)</f>
        <v>CNY</v>
      </c>
    </row>
    <row r="1005" spans="1:25">
      <c r="A1005" s="155" t="s">
        <v>82</v>
      </c>
      <c r="B1005" s="156">
        <v>42391</v>
      </c>
      <c r="C1005" s="155" t="s">
        <v>115</v>
      </c>
      <c r="D1005" s="155"/>
      <c r="E1005" s="155" t="s">
        <v>677</v>
      </c>
      <c r="F1005" s="157">
        <v>4100</v>
      </c>
      <c r="G1005" s="158">
        <v>8.17</v>
      </c>
      <c r="H1005" s="157">
        <v>47.57</v>
      </c>
      <c r="I1005" s="157"/>
      <c r="J1005" s="159">
        <v>33449.43</v>
      </c>
      <c r="K1005" s="6" t="s">
        <v>641</v>
      </c>
      <c r="L1005" s="20">
        <f>IF(ISNA(MATCH(Transactions[[#This Row],[TransType]],TransTypes[TransType],0)),1,MATCH(Transactions[[#This Row],[TransType]],TransTypes[TransType],0))</f>
        <v>3</v>
      </c>
      <c r="M1005" s="160">
        <f>IF( AND( INDEX(TransTypes[],Transactions[[#This Row],[TTR]],TT_COL_GLFlag)=1, INDEX(TransTypes[],Transactions[[#This Row],[TTR]],TT_COL_LONGORSHORT)="S" ),
      Transactions[[#This Row],[PL]],
      IF(INDEX(TransTypes[],Transactions[[#This Row],[TTR]],TT_COL_LONGORSHORT)="S",0,Transactions[[#This Row],[CalCashImpact]])
)</f>
        <v>33449.43</v>
      </c>
      <c r="N1005" s="161">
        <f>IF(VLOOKUP(Transactions[[#This Row],[Symbol]],Symbols[],COLUMN(Symbols[Currency])-COLUMN(Symbols[])+1,FALSE)=
       VLOOKUP(Transactions[[#This Row],[Account]],Accounts[],COLUMN(Accounts[Currency])-COLUMN(Accounts[])+1,FALSE),
     Transactions[[#This Row],[OrigCashImpact]],
     0
)</f>
        <v>33449.43</v>
      </c>
      <c r="O10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190035.78999999928</v>
      </c>
      <c r="P10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-4100</v>
      </c>
      <c r="Q10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v>
      </c>
      <c r="R1005" s="41">
        <f>ROW()</f>
        <v>1005</v>
      </c>
      <c r="S10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-35233.792799999996</v>
      </c>
      <c r="T10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7734.2472000000053</v>
      </c>
      <c r="U10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05" s="166">
        <f>IF(INDEX(TransTypes[],Transactions[[#This Row],[TTR]],TT_COL_GLFlag)=1,Transactions[[#This Row],[CalCashImpact]]+Transactions[[#This Row],[CostImpact]],0)</f>
        <v>-1784.3627999999953</v>
      </c>
      <c r="W1005" s="167">
        <f>Transactions[[#This Row],[Amount]]*INDEX(TransTypes[],Transactions[[#This Row],[TTR]],TT_COL_AmntSign)</f>
        <v>33449.43</v>
      </c>
      <c r="X1005" s="167">
        <f>IF(INDEX(TransTypes[],Transactions[[#This Row],[TTR]],TT_COL_LONGORSHORT)="S",
      IF( OR(INDEX(TransTypes[],Transactions[[#This Row],[TTR]],TT_COL_GLFlag)=1, INDEX(TransTypes[], Transactions[[#This Row],[TTR]], TT_COL_ShareTransferFlag)=1),
            Transactions[[#This Row],[CostImpact]]*-1,
            Transactions[[#This Row],[CalCashImpact]]
      ),
     0
)</f>
        <v>0</v>
      </c>
      <c r="Y1005" s="168" t="str">
        <f>VLOOKUP(Transactions[[#This Row],[Symbol]],Symbols[], COLUMN(Symbols[Currency])-COLUMN(Symbols[])+1,FALSE)</f>
        <v>CNY</v>
      </c>
    </row>
    <row r="1006" spans="1:25">
      <c r="A1006" s="155" t="s">
        <v>82</v>
      </c>
      <c r="B1006" s="156">
        <v>42391</v>
      </c>
      <c r="C1006" s="155" t="s">
        <v>115</v>
      </c>
      <c r="D1006" s="155"/>
      <c r="E1006" s="155" t="s">
        <v>677</v>
      </c>
      <c r="F1006" s="157">
        <v>900</v>
      </c>
      <c r="G1006" s="158">
        <v>8.1999999999999993</v>
      </c>
      <c r="H1006" s="157">
        <v>12.53</v>
      </c>
      <c r="I1006" s="157"/>
      <c r="J1006" s="159">
        <v>7367.47</v>
      </c>
      <c r="K1006" s="6" t="s">
        <v>641</v>
      </c>
      <c r="L1006" s="20">
        <f>IF(ISNA(MATCH(Transactions[[#This Row],[TransType]],TransTypes[TransType],0)),1,MATCH(Transactions[[#This Row],[TransType]],TransTypes[TransType],0))</f>
        <v>3</v>
      </c>
      <c r="M1006" s="160">
        <f>IF( AND( INDEX(TransTypes[],Transactions[[#This Row],[TTR]],TT_COL_GLFlag)=1, INDEX(TransTypes[],Transactions[[#This Row],[TTR]],TT_COL_LONGORSHORT)="S" ),
      Transactions[[#This Row],[PL]],
      IF(INDEX(TransTypes[],Transactions[[#This Row],[TTR]],TT_COL_LONGORSHORT)="S",0,Transactions[[#This Row],[CalCashImpact]])
)</f>
        <v>7367.47</v>
      </c>
      <c r="N1006" s="161">
        <f>IF(VLOOKUP(Transactions[[#This Row],[Symbol]],Symbols[],COLUMN(Symbols[Currency])-COLUMN(Symbols[])+1,FALSE)=
       VLOOKUP(Transactions[[#This Row],[Account]],Accounts[],COLUMN(Accounts[Currency])-COLUMN(Accounts[])+1,FALSE),
     Transactions[[#This Row],[OrigCashImpact]],
     0
)</f>
        <v>7367.47</v>
      </c>
      <c r="O10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197403.25999999928</v>
      </c>
      <c r="P10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-900</v>
      </c>
      <c r="Q10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06" s="41">
        <f>ROW()</f>
        <v>1006</v>
      </c>
      <c r="S10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-7734.2472000000043</v>
      </c>
      <c r="T10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v>
      </c>
      <c r="V1006" s="166">
        <f>IF(INDEX(TransTypes[],Transactions[[#This Row],[TTR]],TT_COL_GLFlag)=1,Transactions[[#This Row],[CalCashImpact]]+Transactions[[#This Row],[CostImpact]],0)</f>
        <v>-366.77720000000409</v>
      </c>
      <c r="W1006" s="167">
        <f>Transactions[[#This Row],[Amount]]*INDEX(TransTypes[],Transactions[[#This Row],[TTR]],TT_COL_AmntSign)</f>
        <v>7367.47</v>
      </c>
      <c r="X1006" s="167">
        <f>IF(INDEX(TransTypes[],Transactions[[#This Row],[TTR]],TT_COL_LONGORSHORT)="S",
      IF( OR(INDEX(TransTypes[],Transactions[[#This Row],[TTR]],TT_COL_GLFlag)=1, INDEX(TransTypes[], Transactions[[#This Row],[TTR]], TT_COL_ShareTransferFlag)=1),
            Transactions[[#This Row],[CostImpact]]*-1,
            Transactions[[#This Row],[CalCashImpact]]
      ),
     0
)</f>
        <v>0</v>
      </c>
      <c r="Y1006" s="168" t="str">
        <f>VLOOKUP(Transactions[[#This Row],[Symbol]],Symbols[], COLUMN(Symbols[Currency])-COLUMN(Symbols[])+1,FALSE)</f>
        <v>CNY</v>
      </c>
    </row>
    <row r="1007" spans="1:25">
      <c r="A1007" s="155" t="s">
        <v>82</v>
      </c>
      <c r="B1007" s="156">
        <v>42391</v>
      </c>
      <c r="C1007" s="155" t="s">
        <v>115</v>
      </c>
      <c r="D1007" s="155"/>
      <c r="E1007" s="155" t="s">
        <v>498</v>
      </c>
      <c r="F1007" s="157">
        <v>15000</v>
      </c>
      <c r="G1007" s="158">
        <v>100.252</v>
      </c>
      <c r="H1007" s="157">
        <v>0</v>
      </c>
      <c r="I1007" s="157"/>
      <c r="J1007" s="159">
        <v>1503780</v>
      </c>
      <c r="K1007" s="6" t="s">
        <v>641</v>
      </c>
      <c r="L1007" s="20">
        <f>IF(ISNA(MATCH(Transactions[[#This Row],[TransType]],TransTypes[TransType],0)),1,MATCH(Transactions[[#This Row],[TransType]],TransTypes[TransType],0))</f>
        <v>3</v>
      </c>
      <c r="M1007" s="160">
        <f>IF( AND( INDEX(TransTypes[],Transactions[[#This Row],[TTR]],TT_COL_GLFlag)=1, INDEX(TransTypes[],Transactions[[#This Row],[TTR]],TT_COL_LONGORSHORT)="S" ),
      Transactions[[#This Row],[PL]],
      IF(INDEX(TransTypes[],Transactions[[#This Row],[TTR]],TT_COL_LONGORSHORT)="S",0,Transactions[[#This Row],[CalCashImpact]])
)</f>
        <v>1503780</v>
      </c>
      <c r="N1007" s="161">
        <f>IF(VLOOKUP(Transactions[[#This Row],[Symbol]],Symbols[],COLUMN(Symbols[Currency])-COLUMN(Symbols[])+1,FALSE)=
       VLOOKUP(Transactions[[#This Row],[Account]],Accounts[],COLUMN(Accounts[Currency])-COLUMN(Accounts[])+1,FALSE),
     Transactions[[#This Row],[OrigCashImpact]],
     0
)</f>
        <v>1503780</v>
      </c>
      <c r="O10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1701183.2599999993</v>
      </c>
      <c r="P10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-15000</v>
      </c>
      <c r="Q10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07" s="41">
        <f>ROW()</f>
        <v>1007</v>
      </c>
      <c r="S10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-1503615</v>
      </c>
      <c r="T10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15000</v>
      </c>
      <c r="V1007" s="166">
        <f>IF(INDEX(TransTypes[],Transactions[[#This Row],[TTR]],TT_COL_GLFlag)=1,Transactions[[#This Row],[CalCashImpact]]+Transactions[[#This Row],[CostImpact]],0)</f>
        <v>165</v>
      </c>
      <c r="W1007" s="167">
        <f>Transactions[[#This Row],[Amount]]*INDEX(TransTypes[],Transactions[[#This Row],[TTR]],TT_COL_AmntSign)</f>
        <v>1503780</v>
      </c>
      <c r="X1007" s="167">
        <f>IF(INDEX(TransTypes[],Transactions[[#This Row],[TTR]],TT_COL_LONGORSHORT)="S",
      IF( OR(INDEX(TransTypes[],Transactions[[#This Row],[TTR]],TT_COL_GLFlag)=1, INDEX(TransTypes[], Transactions[[#This Row],[TTR]], TT_COL_ShareTransferFlag)=1),
            Transactions[[#This Row],[CostImpact]]*-1,
            Transactions[[#This Row],[CalCashImpact]]
      ),
     0
)</f>
        <v>0</v>
      </c>
      <c r="Y1007" s="168" t="str">
        <f>VLOOKUP(Transactions[[#This Row],[Symbol]],Symbols[], COLUMN(Symbols[Currency])-COLUMN(Symbols[])+1,FALSE)</f>
        <v>CNY</v>
      </c>
    </row>
    <row r="1008" spans="1:25">
      <c r="A1008" s="155" t="s">
        <v>82</v>
      </c>
      <c r="B1008" s="156">
        <v>42394</v>
      </c>
      <c r="C1008" s="155" t="s">
        <v>240</v>
      </c>
      <c r="D1008" s="155"/>
      <c r="E1008" s="155" t="s">
        <v>211</v>
      </c>
      <c r="F1008" s="157"/>
      <c r="G1008" s="158"/>
      <c r="H1008" s="157"/>
      <c r="I1008" s="157"/>
      <c r="J1008" s="159">
        <v>166.88</v>
      </c>
      <c r="K1008" s="6" t="s">
        <v>641</v>
      </c>
      <c r="L1008" s="20">
        <f>IF(ISNA(MATCH(Transactions[[#This Row],[TransType]],TransTypes[TransType],0)),1,MATCH(Transactions[[#This Row],[TransType]],TransTypes[TransType],0))</f>
        <v>8</v>
      </c>
      <c r="M1008" s="160">
        <f>IF( AND( INDEX(TransTypes[],Transactions[[#This Row],[TTR]],TT_COL_GLFlag)=1, INDEX(TransTypes[],Transactions[[#This Row],[TTR]],TT_COL_LONGORSHORT)="S" ),
      Transactions[[#This Row],[PL]],
      IF(INDEX(TransTypes[],Transactions[[#This Row],[TTR]],TT_COL_LONGORSHORT)="S",0,Transactions[[#This Row],[CalCashImpact]])
)</f>
        <v>166.88</v>
      </c>
      <c r="N1008" s="161">
        <f>IF(VLOOKUP(Transactions[[#This Row],[Symbol]],Symbols[],COLUMN(Symbols[Currency])-COLUMN(Symbols[])+1,FALSE)=
       VLOOKUP(Transactions[[#This Row],[Account]],Accounts[],COLUMN(Accounts[Currency])-COLUMN(Accounts[])+1,FALSE),
     Transactions[[#This Row],[OrigCashImpact]],
     0
)</f>
        <v>166.88</v>
      </c>
      <c r="O10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1701350.1399999992</v>
      </c>
      <c r="P10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0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08" s="41">
        <f>ROW()</f>
        <v>1008</v>
      </c>
      <c r="S10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0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008" s="166">
        <f>IF(INDEX(TransTypes[],Transactions[[#This Row],[TTR]],TT_COL_GLFlag)=1,Transactions[[#This Row],[CalCashImpact]]+Transactions[[#This Row],[CostImpact]],0)</f>
        <v>0</v>
      </c>
      <c r="W1008" s="167">
        <f>Transactions[[#This Row],[Amount]]*INDEX(TransTypes[],Transactions[[#This Row],[TTR]],TT_COL_AmntSign)</f>
        <v>166.88</v>
      </c>
      <c r="X1008" s="167">
        <f>IF(INDEX(TransTypes[],Transactions[[#This Row],[TTR]],TT_COL_LONGORSHORT)="S",
      IF( OR(INDEX(TransTypes[],Transactions[[#This Row],[TTR]],TT_COL_GLFlag)=1, INDEX(TransTypes[], Transactions[[#This Row],[TTR]], TT_COL_ShareTransferFlag)=1),
            Transactions[[#This Row],[CostImpact]]*-1,
            Transactions[[#This Row],[CalCashImpact]]
      ),
     0
)</f>
        <v>0</v>
      </c>
      <c r="Y1008" s="168" t="str">
        <f>VLOOKUP(Transactions[[#This Row],[Symbol]],Symbols[], COLUMN(Symbols[Currency])-COLUMN(Symbols[])+1,FALSE)</f>
        <v>CNY</v>
      </c>
    </row>
    <row r="1009" spans="1:25">
      <c r="A1009" s="155" t="s">
        <v>82</v>
      </c>
      <c r="B1009" s="156">
        <v>42394</v>
      </c>
      <c r="C1009" s="155" t="s">
        <v>113</v>
      </c>
      <c r="D1009" s="155"/>
      <c r="E1009" s="155" t="s">
        <v>467</v>
      </c>
      <c r="F1009" s="157">
        <v>1000</v>
      </c>
      <c r="G1009" s="158">
        <v>40.840000000000003</v>
      </c>
      <c r="H1009" s="157">
        <v>16.34</v>
      </c>
      <c r="I1009" s="157"/>
      <c r="J1009" s="159">
        <v>40856.339999999997</v>
      </c>
      <c r="K1009" s="6" t="s">
        <v>641</v>
      </c>
      <c r="L1009" s="20">
        <f>IF(ISNA(MATCH(Transactions[[#This Row],[TransType]],TransTypes[TransType],0)),1,MATCH(Transactions[[#This Row],[TransType]],TransTypes[TransType],0))</f>
        <v>2</v>
      </c>
      <c r="M1009" s="160">
        <f>IF( AND( INDEX(TransTypes[],Transactions[[#This Row],[TTR]],TT_COL_GLFlag)=1, INDEX(TransTypes[],Transactions[[#This Row],[TTR]],TT_COL_LONGORSHORT)="S" ),
      Transactions[[#This Row],[PL]],
      IF(INDEX(TransTypes[],Transactions[[#This Row],[TTR]],TT_COL_LONGORSHORT)="S",0,Transactions[[#This Row],[CalCashImpact]])
)</f>
        <v>-40856.339999999997</v>
      </c>
      <c r="N1009" s="161">
        <f>IF(VLOOKUP(Transactions[[#This Row],[Symbol]],Symbols[],COLUMN(Symbols[Currency])-COLUMN(Symbols[])+1,FALSE)=
       VLOOKUP(Transactions[[#This Row],[Account]],Accounts[],COLUMN(Accounts[Currency])-COLUMN(Accounts[])+1,FALSE),
     Transactions[[#This Row],[OrigCashImpact]],
     0
)</f>
        <v>-40856.339999999997</v>
      </c>
      <c r="O10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1660493.7999999993</v>
      </c>
      <c r="P10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09" s="41">
        <f>ROW()</f>
        <v>1009</v>
      </c>
      <c r="S10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40856.339999999997</v>
      </c>
      <c r="T10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125110.03</v>
      </c>
      <c r="U10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09" s="166">
        <f>IF(INDEX(TransTypes[],Transactions[[#This Row],[TTR]],TT_COL_GLFlag)=1,Transactions[[#This Row],[CalCashImpact]]+Transactions[[#This Row],[CostImpact]],0)</f>
        <v>0</v>
      </c>
      <c r="W1009" s="167">
        <f>Transactions[[#This Row],[Amount]]*INDEX(TransTypes[],Transactions[[#This Row],[TTR]],TT_COL_AmntSign)</f>
        <v>-40856.339999999997</v>
      </c>
      <c r="X1009" s="167">
        <f>IF(INDEX(TransTypes[],Transactions[[#This Row],[TTR]],TT_COL_LONGORSHORT)="S",
      IF( OR(INDEX(TransTypes[],Transactions[[#This Row],[TTR]],TT_COL_GLFlag)=1, INDEX(TransTypes[], Transactions[[#This Row],[TTR]], TT_COL_ShareTransferFlag)=1),
            Transactions[[#This Row],[CostImpact]]*-1,
            Transactions[[#This Row],[CalCashImpact]]
      ),
     0
)</f>
        <v>0</v>
      </c>
      <c r="Y1009" s="168" t="str">
        <f>VLOOKUP(Transactions[[#This Row],[Symbol]],Symbols[], COLUMN(Symbols[Currency])-COLUMN(Symbols[])+1,FALSE)</f>
        <v>CNY</v>
      </c>
    </row>
    <row r="1010" spans="1:25">
      <c r="A1010" s="155" t="s">
        <v>82</v>
      </c>
      <c r="B1010" s="156">
        <v>42394</v>
      </c>
      <c r="C1010" s="155" t="s">
        <v>113</v>
      </c>
      <c r="D1010" s="155"/>
      <c r="E1010" s="155" t="s">
        <v>644</v>
      </c>
      <c r="F1010" s="157">
        <v>1000</v>
      </c>
      <c r="G1010" s="158">
        <v>54.954999999999998</v>
      </c>
      <c r="H1010" s="157">
        <v>21.98</v>
      </c>
      <c r="I1010" s="157"/>
      <c r="J1010" s="159">
        <v>54976.98</v>
      </c>
      <c r="K1010" s="6" t="s">
        <v>641</v>
      </c>
      <c r="L1010" s="20">
        <f>IF(ISNA(MATCH(Transactions[[#This Row],[TransType]],TransTypes[TransType],0)),1,MATCH(Transactions[[#This Row],[TransType]],TransTypes[TransType],0))</f>
        <v>2</v>
      </c>
      <c r="M1010" s="160">
        <f>IF( AND( INDEX(TransTypes[],Transactions[[#This Row],[TTR]],TT_COL_GLFlag)=1, INDEX(TransTypes[],Transactions[[#This Row],[TTR]],TT_COL_LONGORSHORT)="S" ),
      Transactions[[#This Row],[PL]],
      IF(INDEX(TransTypes[],Transactions[[#This Row],[TTR]],TT_COL_LONGORSHORT)="S",0,Transactions[[#This Row],[CalCashImpact]])
)</f>
        <v>-54976.98</v>
      </c>
      <c r="N1010" s="161">
        <f>IF(VLOOKUP(Transactions[[#This Row],[Symbol]],Symbols[],COLUMN(Symbols[Currency])-COLUMN(Symbols[])+1,FALSE)=
       VLOOKUP(Transactions[[#This Row],[Account]],Accounts[],COLUMN(Accounts[Currency])-COLUMN(Accounts[])+1,FALSE),
     Transactions[[#This Row],[OrigCashImpact]],
     0
)</f>
        <v>-54976.98</v>
      </c>
      <c r="O10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1605516.8199999994</v>
      </c>
      <c r="P10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10" s="41">
        <f>ROW()</f>
        <v>1010</v>
      </c>
      <c r="S10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54976.98</v>
      </c>
      <c r="T10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110149.04000000001</v>
      </c>
      <c r="U10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10" s="166">
        <f>IF(INDEX(TransTypes[],Transactions[[#This Row],[TTR]],TT_COL_GLFlag)=1,Transactions[[#This Row],[CalCashImpact]]+Transactions[[#This Row],[CostImpact]],0)</f>
        <v>0</v>
      </c>
      <c r="W1010" s="167">
        <f>Transactions[[#This Row],[Amount]]*INDEX(TransTypes[],Transactions[[#This Row],[TTR]],TT_COL_AmntSign)</f>
        <v>-54976.98</v>
      </c>
      <c r="X1010" s="167">
        <f>IF(INDEX(TransTypes[],Transactions[[#This Row],[TTR]],TT_COL_LONGORSHORT)="S",
      IF( OR(INDEX(TransTypes[],Transactions[[#This Row],[TTR]],TT_COL_GLFlag)=1, INDEX(TransTypes[], Transactions[[#This Row],[TTR]], TT_COL_ShareTransferFlag)=1),
            Transactions[[#This Row],[CostImpact]]*-1,
            Transactions[[#This Row],[CalCashImpact]]
      ),
     0
)</f>
        <v>0</v>
      </c>
      <c r="Y1010" s="168" t="str">
        <f>VLOOKUP(Transactions[[#This Row],[Symbol]],Symbols[], COLUMN(Symbols[Currency])-COLUMN(Symbols[])+1,FALSE)</f>
        <v>CNY</v>
      </c>
    </row>
    <row r="1011" spans="1:25">
      <c r="A1011" s="155" t="s">
        <v>82</v>
      </c>
      <c r="B1011" s="156">
        <v>42394</v>
      </c>
      <c r="C1011" s="155" t="s">
        <v>113</v>
      </c>
      <c r="D1011" s="155"/>
      <c r="E1011" s="155" t="s">
        <v>675</v>
      </c>
      <c r="F1011" s="157">
        <v>50000</v>
      </c>
      <c r="G1011" s="158">
        <v>0.98699999999999999</v>
      </c>
      <c r="H1011" s="157">
        <v>19.739999999999998</v>
      </c>
      <c r="I1011" s="157"/>
      <c r="J1011" s="159">
        <v>49369.74</v>
      </c>
      <c r="K1011" s="6" t="s">
        <v>641</v>
      </c>
      <c r="L1011" s="20">
        <f>IF(ISNA(MATCH(Transactions[[#This Row],[TransType]],TransTypes[TransType],0)),1,MATCH(Transactions[[#This Row],[TransType]],TransTypes[TransType],0))</f>
        <v>2</v>
      </c>
      <c r="M1011" s="160">
        <f>IF( AND( INDEX(TransTypes[],Transactions[[#This Row],[TTR]],TT_COL_GLFlag)=1, INDEX(TransTypes[],Transactions[[#This Row],[TTR]],TT_COL_LONGORSHORT)="S" ),
      Transactions[[#This Row],[PL]],
      IF(INDEX(TransTypes[],Transactions[[#This Row],[TTR]],TT_COL_LONGORSHORT)="S",0,Transactions[[#This Row],[CalCashImpact]])
)</f>
        <v>-49369.74</v>
      </c>
      <c r="N1011" s="161">
        <f>IF(VLOOKUP(Transactions[[#This Row],[Symbol]],Symbols[],COLUMN(Symbols[Currency])-COLUMN(Symbols[])+1,FALSE)=
       VLOOKUP(Transactions[[#This Row],[Account]],Accounts[],COLUMN(Accounts[Currency])-COLUMN(Accounts[])+1,FALSE),
     Transactions[[#This Row],[OrigCashImpact]],
     0
)</f>
        <v>-49369.74</v>
      </c>
      <c r="O10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1556147.0799999994</v>
      </c>
      <c r="P10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0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280000</v>
      </c>
      <c r="R1011" s="41">
        <f>ROW()</f>
        <v>1011</v>
      </c>
      <c r="S10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49369.74</v>
      </c>
      <c r="T10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274009.56</v>
      </c>
      <c r="U10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280000</v>
      </c>
      <c r="V1011" s="166">
        <f>IF(INDEX(TransTypes[],Transactions[[#This Row],[TTR]],TT_COL_GLFlag)=1,Transactions[[#This Row],[CalCashImpact]]+Transactions[[#This Row],[CostImpact]],0)</f>
        <v>0</v>
      </c>
      <c r="W1011" s="167">
        <f>Transactions[[#This Row],[Amount]]*INDEX(TransTypes[],Transactions[[#This Row],[TTR]],TT_COL_AmntSign)</f>
        <v>-49369.74</v>
      </c>
      <c r="X1011" s="167">
        <f>IF(INDEX(TransTypes[],Transactions[[#This Row],[TTR]],TT_COL_LONGORSHORT)="S",
      IF( OR(INDEX(TransTypes[],Transactions[[#This Row],[TTR]],TT_COL_GLFlag)=1, INDEX(TransTypes[], Transactions[[#This Row],[TTR]], TT_COL_ShareTransferFlag)=1),
            Transactions[[#This Row],[CostImpact]]*-1,
            Transactions[[#This Row],[CalCashImpact]]
      ),
     0
)</f>
        <v>0</v>
      </c>
      <c r="Y1011" s="168" t="str">
        <f>VLOOKUP(Transactions[[#This Row],[Symbol]],Symbols[], COLUMN(Symbols[Currency])-COLUMN(Symbols[])+1,FALSE)</f>
        <v>CNY</v>
      </c>
    </row>
    <row r="1012" spans="1:25">
      <c r="A1012" s="155" t="s">
        <v>82</v>
      </c>
      <c r="B1012" s="156">
        <v>42394</v>
      </c>
      <c r="C1012" s="155" t="s">
        <v>113</v>
      </c>
      <c r="D1012" s="155"/>
      <c r="E1012" s="155" t="s">
        <v>665</v>
      </c>
      <c r="F1012" s="157">
        <v>60000</v>
      </c>
      <c r="G1012" s="158">
        <v>0.85099999999999998</v>
      </c>
      <c r="H1012" s="157">
        <v>20.420000000000002</v>
      </c>
      <c r="I1012" s="157"/>
      <c r="J1012" s="159">
        <v>51080.42</v>
      </c>
      <c r="K1012" s="6" t="s">
        <v>641</v>
      </c>
      <c r="L1012" s="20">
        <f>IF(ISNA(MATCH(Transactions[[#This Row],[TransType]],TransTypes[TransType],0)),1,MATCH(Transactions[[#This Row],[TransType]],TransTypes[TransType],0))</f>
        <v>2</v>
      </c>
      <c r="M1012" s="160">
        <f>IF( AND( INDEX(TransTypes[],Transactions[[#This Row],[TTR]],TT_COL_GLFlag)=1, INDEX(TransTypes[],Transactions[[#This Row],[TTR]],TT_COL_LONGORSHORT)="S" ),
      Transactions[[#This Row],[PL]],
      IF(INDEX(TransTypes[],Transactions[[#This Row],[TTR]],TT_COL_LONGORSHORT)="S",0,Transactions[[#This Row],[CalCashImpact]])
)</f>
        <v>-51080.42</v>
      </c>
      <c r="N1012" s="161">
        <f>IF(VLOOKUP(Transactions[[#This Row],[Symbol]],Symbols[],COLUMN(Symbols[Currency])-COLUMN(Symbols[])+1,FALSE)=
       VLOOKUP(Transactions[[#This Row],[Account]],Accounts[],COLUMN(Accounts[Currency])-COLUMN(Accounts[])+1,FALSE),
     Transactions[[#This Row],[OrigCashImpact]],
     0
)</f>
        <v>-51080.42</v>
      </c>
      <c r="O10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1505066.6599999992</v>
      </c>
      <c r="P10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10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344000</v>
      </c>
      <c r="R1012" s="41">
        <f>ROW()</f>
        <v>1012</v>
      </c>
      <c r="S10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51080.42</v>
      </c>
      <c r="T10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290925.12</v>
      </c>
      <c r="U10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344000</v>
      </c>
      <c r="V1012" s="166">
        <f>IF(INDEX(TransTypes[],Transactions[[#This Row],[TTR]],TT_COL_GLFlag)=1,Transactions[[#This Row],[CalCashImpact]]+Transactions[[#This Row],[CostImpact]],0)</f>
        <v>0</v>
      </c>
      <c r="W1012" s="167">
        <f>Transactions[[#This Row],[Amount]]*INDEX(TransTypes[],Transactions[[#This Row],[TTR]],TT_COL_AmntSign)</f>
        <v>-51080.42</v>
      </c>
      <c r="X1012" s="167">
        <f>IF(INDEX(TransTypes[],Transactions[[#This Row],[TTR]],TT_COL_LONGORSHORT)="S",
      IF( OR(INDEX(TransTypes[],Transactions[[#This Row],[TTR]],TT_COL_GLFlag)=1, INDEX(TransTypes[], Transactions[[#This Row],[TTR]], TT_COL_ShareTransferFlag)=1),
            Transactions[[#This Row],[CostImpact]]*-1,
            Transactions[[#This Row],[CalCashImpact]]
      ),
     0
)</f>
        <v>0</v>
      </c>
      <c r="Y1012" s="168" t="str">
        <f>VLOOKUP(Transactions[[#This Row],[Symbol]],Symbols[], COLUMN(Symbols[Currency])-COLUMN(Symbols[])+1,FALSE)</f>
        <v>CNY</v>
      </c>
    </row>
    <row r="1013" spans="1:25">
      <c r="A1013" s="155" t="s">
        <v>82</v>
      </c>
      <c r="B1013" s="156">
        <v>42396</v>
      </c>
      <c r="C1013" s="155" t="s">
        <v>113</v>
      </c>
      <c r="D1013" s="155"/>
      <c r="E1013" s="155" t="s">
        <v>644</v>
      </c>
      <c r="F1013" s="157">
        <v>1000</v>
      </c>
      <c r="G1013" s="158">
        <v>50.1</v>
      </c>
      <c r="H1013" s="157">
        <v>20.04</v>
      </c>
      <c r="I1013" s="157"/>
      <c r="J1013" s="159">
        <v>50120.04</v>
      </c>
      <c r="K1013" s="6" t="s">
        <v>641</v>
      </c>
      <c r="L1013" s="20">
        <f>IF(ISNA(MATCH(Transactions[[#This Row],[TransType]],TransTypes[TransType],0)),1,MATCH(Transactions[[#This Row],[TransType]],TransTypes[TransType],0))</f>
        <v>2</v>
      </c>
      <c r="M1013" s="160">
        <f>IF( AND( INDEX(TransTypes[],Transactions[[#This Row],[TTR]],TT_COL_GLFlag)=1, INDEX(TransTypes[],Transactions[[#This Row],[TTR]],TT_COL_LONGORSHORT)="S" ),
      Transactions[[#This Row],[PL]],
      IF(INDEX(TransTypes[],Transactions[[#This Row],[TTR]],TT_COL_LONGORSHORT)="S",0,Transactions[[#This Row],[CalCashImpact]])
)</f>
        <v>-50120.04</v>
      </c>
      <c r="N1013" s="161">
        <f>IF(VLOOKUP(Transactions[[#This Row],[Symbol]],Symbols[],COLUMN(Symbols[Currency])-COLUMN(Symbols[])+1,FALSE)=
       VLOOKUP(Transactions[[#This Row],[Account]],Accounts[],COLUMN(Accounts[Currency])-COLUMN(Accounts[])+1,FALSE),
     Transactions[[#This Row],[OrigCashImpact]],
     0
)</f>
        <v>-50120.04</v>
      </c>
      <c r="O10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1454946.6199999992</v>
      </c>
      <c r="P10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13" s="41">
        <f>ROW()</f>
        <v>1013</v>
      </c>
      <c r="S10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50120.04</v>
      </c>
      <c r="T10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160269.08000000002</v>
      </c>
      <c r="U10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13" s="166">
        <f>IF(INDEX(TransTypes[],Transactions[[#This Row],[TTR]],TT_COL_GLFlag)=1,Transactions[[#This Row],[CalCashImpact]]+Transactions[[#This Row],[CostImpact]],0)</f>
        <v>0</v>
      </c>
      <c r="W1013" s="167">
        <f>Transactions[[#This Row],[Amount]]*INDEX(TransTypes[],Transactions[[#This Row],[TTR]],TT_COL_AmntSign)</f>
        <v>-50120.04</v>
      </c>
      <c r="X1013" s="167">
        <f>IF(INDEX(TransTypes[],Transactions[[#This Row],[TTR]],TT_COL_LONGORSHORT)="S",
      IF( OR(INDEX(TransTypes[],Transactions[[#This Row],[TTR]],TT_COL_GLFlag)=1, INDEX(TransTypes[], Transactions[[#This Row],[TTR]], TT_COL_ShareTransferFlag)=1),
            Transactions[[#This Row],[CostImpact]]*-1,
            Transactions[[#This Row],[CalCashImpact]]
      ),
     0
)</f>
        <v>0</v>
      </c>
      <c r="Y1013" s="168" t="str">
        <f>VLOOKUP(Transactions[[#This Row],[Symbol]],Symbols[], COLUMN(Symbols[Currency])-COLUMN(Symbols[])+1,FALSE)</f>
        <v>CNY</v>
      </c>
    </row>
    <row r="1014" spans="1:25">
      <c r="A1014" s="155" t="s">
        <v>82</v>
      </c>
      <c r="B1014" s="156">
        <v>42396</v>
      </c>
      <c r="C1014" s="155" t="s">
        <v>113</v>
      </c>
      <c r="D1014" s="155"/>
      <c r="E1014" s="155" t="s">
        <v>642</v>
      </c>
      <c r="F1014" s="157">
        <v>1000</v>
      </c>
      <c r="G1014" s="158">
        <v>23.26</v>
      </c>
      <c r="H1014" s="157">
        <v>9.3000000000000007</v>
      </c>
      <c r="I1014" s="157"/>
      <c r="J1014" s="159">
        <v>23269.3</v>
      </c>
      <c r="K1014" s="6" t="s">
        <v>641</v>
      </c>
      <c r="L1014" s="20">
        <f>IF(ISNA(MATCH(Transactions[[#This Row],[TransType]],TransTypes[TransType],0)),1,MATCH(Transactions[[#This Row],[TransType]],TransTypes[TransType],0))</f>
        <v>2</v>
      </c>
      <c r="M1014" s="160">
        <f>IF( AND( INDEX(TransTypes[],Transactions[[#This Row],[TTR]],TT_COL_GLFlag)=1, INDEX(TransTypes[],Transactions[[#This Row],[TTR]],TT_COL_LONGORSHORT)="S" ),
      Transactions[[#This Row],[PL]],
      IF(INDEX(TransTypes[],Transactions[[#This Row],[TTR]],TT_COL_LONGORSHORT)="S",0,Transactions[[#This Row],[CalCashImpact]])
)</f>
        <v>-23269.3</v>
      </c>
      <c r="N1014" s="161">
        <f>IF(VLOOKUP(Transactions[[#This Row],[Symbol]],Symbols[],COLUMN(Symbols[Currency])-COLUMN(Symbols[])+1,FALSE)=
       VLOOKUP(Transactions[[#This Row],[Account]],Accounts[],COLUMN(Accounts[Currency])-COLUMN(Accounts[])+1,FALSE),
     Transactions[[#This Row],[OrigCashImpact]],
     0
)</f>
        <v>-23269.3</v>
      </c>
      <c r="O10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1431677.3199999991</v>
      </c>
      <c r="P10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14" s="41">
        <f>ROW()</f>
        <v>1014</v>
      </c>
      <c r="S10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23269.3</v>
      </c>
      <c r="T10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75890.34</v>
      </c>
      <c r="U10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14" s="166">
        <f>IF(INDEX(TransTypes[],Transactions[[#This Row],[TTR]],TT_COL_GLFlag)=1,Transactions[[#This Row],[CalCashImpact]]+Transactions[[#This Row],[CostImpact]],0)</f>
        <v>0</v>
      </c>
      <c r="W1014" s="167">
        <f>Transactions[[#This Row],[Amount]]*INDEX(TransTypes[],Transactions[[#This Row],[TTR]],TT_COL_AmntSign)</f>
        <v>-23269.3</v>
      </c>
      <c r="X1014" s="167">
        <f>IF(INDEX(TransTypes[],Transactions[[#This Row],[TTR]],TT_COL_LONGORSHORT)="S",
      IF( OR(INDEX(TransTypes[],Transactions[[#This Row],[TTR]],TT_COL_GLFlag)=1, INDEX(TransTypes[], Transactions[[#This Row],[TTR]], TT_COL_ShareTransferFlag)=1),
            Transactions[[#This Row],[CostImpact]]*-1,
            Transactions[[#This Row],[CalCashImpact]]
      ),
     0
)</f>
        <v>0</v>
      </c>
      <c r="Y1014" s="168" t="str">
        <f>VLOOKUP(Transactions[[#This Row],[Symbol]],Symbols[], COLUMN(Symbols[Currency])-COLUMN(Symbols[])+1,FALSE)</f>
        <v>CNY</v>
      </c>
    </row>
    <row r="1015" spans="1:25">
      <c r="A1015" s="155" t="s">
        <v>82</v>
      </c>
      <c r="B1015" s="156">
        <v>42396</v>
      </c>
      <c r="C1015" s="155" t="s">
        <v>113</v>
      </c>
      <c r="D1015" s="155"/>
      <c r="E1015" s="155" t="s">
        <v>675</v>
      </c>
      <c r="F1015" s="157">
        <v>20000</v>
      </c>
      <c r="G1015" s="158">
        <v>0.96899999999999997</v>
      </c>
      <c r="H1015" s="157">
        <v>7.75</v>
      </c>
      <c r="I1015" s="157"/>
      <c r="J1015" s="159">
        <v>19387.75</v>
      </c>
      <c r="K1015" s="6" t="s">
        <v>641</v>
      </c>
      <c r="L1015" s="20">
        <f>IF(ISNA(MATCH(Transactions[[#This Row],[TransType]],TransTypes[TransType],0)),1,MATCH(Transactions[[#This Row],[TransType]],TransTypes[TransType],0))</f>
        <v>2</v>
      </c>
      <c r="M1015" s="160">
        <f>IF( AND( INDEX(TransTypes[],Transactions[[#This Row],[TTR]],TT_COL_GLFlag)=1, INDEX(TransTypes[],Transactions[[#This Row],[TTR]],TT_COL_LONGORSHORT)="S" ),
      Transactions[[#This Row],[PL]],
      IF(INDEX(TransTypes[],Transactions[[#This Row],[TTR]],TT_COL_LONGORSHORT)="S",0,Transactions[[#This Row],[CalCashImpact]])
)</f>
        <v>-19387.75</v>
      </c>
      <c r="N1015" s="161">
        <f>IF(VLOOKUP(Transactions[[#This Row],[Symbol]],Symbols[],COLUMN(Symbols[Currency])-COLUMN(Symbols[])+1,FALSE)=
       VLOOKUP(Transactions[[#This Row],[Account]],Accounts[],COLUMN(Accounts[Currency])-COLUMN(Accounts[])+1,FALSE),
     Transactions[[#This Row],[OrigCashImpact]],
     0
)</f>
        <v>-19387.75</v>
      </c>
      <c r="O10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1412289.5699999991</v>
      </c>
      <c r="P10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0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300000</v>
      </c>
      <c r="R1015" s="41">
        <f>ROW()</f>
        <v>1015</v>
      </c>
      <c r="S10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19387.75</v>
      </c>
      <c r="T10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293397.31</v>
      </c>
      <c r="U10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1015" s="166">
        <f>IF(INDEX(TransTypes[],Transactions[[#This Row],[TTR]],TT_COL_GLFlag)=1,Transactions[[#This Row],[CalCashImpact]]+Transactions[[#This Row],[CostImpact]],0)</f>
        <v>0</v>
      </c>
      <c r="W1015" s="167">
        <f>Transactions[[#This Row],[Amount]]*INDEX(TransTypes[],Transactions[[#This Row],[TTR]],TT_COL_AmntSign)</f>
        <v>-19387.75</v>
      </c>
      <c r="X1015" s="167">
        <f>IF(INDEX(TransTypes[],Transactions[[#This Row],[TTR]],TT_COL_LONGORSHORT)="S",
      IF( OR(INDEX(TransTypes[],Transactions[[#This Row],[TTR]],TT_COL_GLFlag)=1, INDEX(TransTypes[], Transactions[[#This Row],[TTR]], TT_COL_ShareTransferFlag)=1),
            Transactions[[#This Row],[CostImpact]]*-1,
            Transactions[[#This Row],[CalCashImpact]]
      ),
     0
)</f>
        <v>0</v>
      </c>
      <c r="Y1015" s="168" t="str">
        <f>VLOOKUP(Transactions[[#This Row],[Symbol]],Symbols[], COLUMN(Symbols[Currency])-COLUMN(Symbols[])+1,FALSE)</f>
        <v>CNY</v>
      </c>
    </row>
    <row r="1016" spans="1:25">
      <c r="A1016" s="155" t="s">
        <v>82</v>
      </c>
      <c r="B1016" s="156">
        <v>42396</v>
      </c>
      <c r="C1016" s="155" t="s">
        <v>113</v>
      </c>
      <c r="D1016" s="155"/>
      <c r="E1016" s="155" t="s">
        <v>647</v>
      </c>
      <c r="F1016" s="157">
        <v>1000</v>
      </c>
      <c r="G1016" s="158">
        <v>28.82</v>
      </c>
      <c r="H1016" s="157">
        <v>11.53</v>
      </c>
      <c r="I1016" s="157"/>
      <c r="J1016" s="159">
        <v>28831.53</v>
      </c>
      <c r="K1016" s="6" t="s">
        <v>641</v>
      </c>
      <c r="L1016" s="20">
        <f>IF(ISNA(MATCH(Transactions[[#This Row],[TransType]],TransTypes[TransType],0)),1,MATCH(Transactions[[#This Row],[TransType]],TransTypes[TransType],0))</f>
        <v>2</v>
      </c>
      <c r="M1016" s="160">
        <f>IF( AND( INDEX(TransTypes[],Transactions[[#This Row],[TTR]],TT_COL_GLFlag)=1, INDEX(TransTypes[],Transactions[[#This Row],[TTR]],TT_COL_LONGORSHORT)="S" ),
      Transactions[[#This Row],[PL]],
      IF(INDEX(TransTypes[],Transactions[[#This Row],[TTR]],TT_COL_LONGORSHORT)="S",0,Transactions[[#This Row],[CalCashImpact]])
)</f>
        <v>-28831.53</v>
      </c>
      <c r="N1016" s="161">
        <f>IF(VLOOKUP(Transactions[[#This Row],[Symbol]],Symbols[],COLUMN(Symbols[Currency])-COLUMN(Symbols[])+1,FALSE)=
       VLOOKUP(Transactions[[#This Row],[Account]],Accounts[],COLUMN(Accounts[Currency])-COLUMN(Accounts[])+1,FALSE),
     Transactions[[#This Row],[OrigCashImpact]],
     0
)</f>
        <v>-28831.53</v>
      </c>
      <c r="O10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1383458.0399999991</v>
      </c>
      <c r="P10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016" s="41">
        <f>ROW()</f>
        <v>1016</v>
      </c>
      <c r="S10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28831.53</v>
      </c>
      <c r="T10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118127.23</v>
      </c>
      <c r="U10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16" s="166">
        <f>IF(INDEX(TransTypes[],Transactions[[#This Row],[TTR]],TT_COL_GLFlag)=1,Transactions[[#This Row],[CalCashImpact]]+Transactions[[#This Row],[CostImpact]],0)</f>
        <v>0</v>
      </c>
      <c r="W1016" s="167">
        <f>Transactions[[#This Row],[Amount]]*INDEX(TransTypes[],Transactions[[#This Row],[TTR]],TT_COL_AmntSign)</f>
        <v>-28831.53</v>
      </c>
      <c r="X1016" s="167">
        <f>IF(INDEX(TransTypes[],Transactions[[#This Row],[TTR]],TT_COL_LONGORSHORT)="S",
      IF( OR(INDEX(TransTypes[],Transactions[[#This Row],[TTR]],TT_COL_GLFlag)=1, INDEX(TransTypes[], Transactions[[#This Row],[TTR]], TT_COL_ShareTransferFlag)=1),
            Transactions[[#This Row],[CostImpact]]*-1,
            Transactions[[#This Row],[CalCashImpact]]
      ),
     0
)</f>
        <v>0</v>
      </c>
      <c r="Y1016" s="168" t="str">
        <f>VLOOKUP(Transactions[[#This Row],[Symbol]],Symbols[], COLUMN(Symbols[Currency])-COLUMN(Symbols[])+1,FALSE)</f>
        <v>CNY</v>
      </c>
    </row>
    <row r="1017" spans="1:25">
      <c r="A1017" s="155" t="s">
        <v>82</v>
      </c>
      <c r="B1017" s="156">
        <v>42396</v>
      </c>
      <c r="C1017" s="155" t="s">
        <v>113</v>
      </c>
      <c r="D1017" s="155"/>
      <c r="E1017" s="155" t="s">
        <v>665</v>
      </c>
      <c r="F1017" s="157">
        <v>30000</v>
      </c>
      <c r="G1017" s="158">
        <v>0.82499999999999996</v>
      </c>
      <c r="H1017" s="157">
        <v>9.9</v>
      </c>
      <c r="I1017" s="157"/>
      <c r="J1017" s="159">
        <v>24759.9</v>
      </c>
      <c r="K1017" s="6" t="s">
        <v>641</v>
      </c>
      <c r="L1017" s="20">
        <f>IF(ISNA(MATCH(Transactions[[#This Row],[TransType]],TransTypes[TransType],0)),1,MATCH(Transactions[[#This Row],[TransType]],TransTypes[TransType],0))</f>
        <v>2</v>
      </c>
      <c r="M1017" s="160">
        <f>IF( AND( INDEX(TransTypes[],Transactions[[#This Row],[TTR]],TT_COL_GLFlag)=1, INDEX(TransTypes[],Transactions[[#This Row],[TTR]],TT_COL_LONGORSHORT)="S" ),
      Transactions[[#This Row],[PL]],
      IF(INDEX(TransTypes[],Transactions[[#This Row],[TTR]],TT_COL_LONGORSHORT)="S",0,Transactions[[#This Row],[CalCashImpact]])
)</f>
        <v>-24759.9</v>
      </c>
      <c r="N1017" s="161">
        <f>IF(VLOOKUP(Transactions[[#This Row],[Symbol]],Symbols[],COLUMN(Symbols[Currency])-COLUMN(Symbols[])+1,FALSE)=
       VLOOKUP(Transactions[[#This Row],[Account]],Accounts[],COLUMN(Accounts[Currency])-COLUMN(Accounts[])+1,FALSE),
     Transactions[[#This Row],[OrigCashImpact]],
     0
)</f>
        <v>-24759.9</v>
      </c>
      <c r="O10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1358698.1399999992</v>
      </c>
      <c r="P10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v>
      </c>
      <c r="Q10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374000</v>
      </c>
      <c r="R1017" s="41">
        <f>ROW()</f>
        <v>1017</v>
      </c>
      <c r="S10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24759.9</v>
      </c>
      <c r="T10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315685.02</v>
      </c>
      <c r="U10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374000</v>
      </c>
      <c r="V1017" s="166">
        <f>IF(INDEX(TransTypes[],Transactions[[#This Row],[TTR]],TT_COL_GLFlag)=1,Transactions[[#This Row],[CalCashImpact]]+Transactions[[#This Row],[CostImpact]],0)</f>
        <v>0</v>
      </c>
      <c r="W1017" s="167">
        <f>Transactions[[#This Row],[Amount]]*INDEX(TransTypes[],Transactions[[#This Row],[TTR]],TT_COL_AmntSign)</f>
        <v>-24759.9</v>
      </c>
      <c r="X1017" s="167">
        <f>IF(INDEX(TransTypes[],Transactions[[#This Row],[TTR]],TT_COL_LONGORSHORT)="S",
      IF( OR(INDEX(TransTypes[],Transactions[[#This Row],[TTR]],TT_COL_GLFlag)=1, INDEX(TransTypes[], Transactions[[#This Row],[TTR]], TT_COL_ShareTransferFlag)=1),
            Transactions[[#This Row],[CostImpact]]*-1,
            Transactions[[#This Row],[CalCashImpact]]
      ),
     0
)</f>
        <v>0</v>
      </c>
      <c r="Y1017" s="168" t="str">
        <f>VLOOKUP(Transactions[[#This Row],[Symbol]],Symbols[], COLUMN(Symbols[Currency])-COLUMN(Symbols[])+1,FALSE)</f>
        <v>CNY</v>
      </c>
    </row>
    <row r="1018" spans="1:25">
      <c r="A1018" s="155" t="s">
        <v>82</v>
      </c>
      <c r="B1018" s="156">
        <v>42396</v>
      </c>
      <c r="C1018" s="155" t="s">
        <v>113</v>
      </c>
      <c r="D1018" s="155"/>
      <c r="E1018" s="155" t="s">
        <v>464</v>
      </c>
      <c r="F1018" s="157">
        <v>100</v>
      </c>
      <c r="G1018" s="158">
        <v>196.6</v>
      </c>
      <c r="H1018" s="157">
        <v>8.25</v>
      </c>
      <c r="I1018" s="157"/>
      <c r="J1018" s="159">
        <v>19668.25</v>
      </c>
      <c r="K1018" s="6" t="s">
        <v>641</v>
      </c>
      <c r="L1018" s="20">
        <f>IF(ISNA(MATCH(Transactions[[#This Row],[TransType]],TransTypes[TransType],0)),1,MATCH(Transactions[[#This Row],[TransType]],TransTypes[TransType],0))</f>
        <v>2</v>
      </c>
      <c r="M1018" s="160">
        <f>IF( AND( INDEX(TransTypes[],Transactions[[#This Row],[TTR]],TT_COL_GLFlag)=1, INDEX(TransTypes[],Transactions[[#This Row],[TTR]],TT_COL_LONGORSHORT)="S" ),
      Transactions[[#This Row],[PL]],
      IF(INDEX(TransTypes[],Transactions[[#This Row],[TTR]],TT_COL_LONGORSHORT)="S",0,Transactions[[#This Row],[CalCashImpact]])
)</f>
        <v>-19668.25</v>
      </c>
      <c r="N1018" s="161">
        <f>IF(VLOOKUP(Transactions[[#This Row],[Symbol]],Symbols[],COLUMN(Symbols[Currency])-COLUMN(Symbols[])+1,FALSE)=
       VLOOKUP(Transactions[[#This Row],[Account]],Accounts[],COLUMN(Accounts[Currency])-COLUMN(Accounts[])+1,FALSE),
     Transactions[[#This Row],[OrigCashImpact]],
     0
)</f>
        <v>-19668.25</v>
      </c>
      <c r="O10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1339029.8899999992</v>
      </c>
      <c r="P10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0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1018" s="41">
        <f>ROW()</f>
        <v>1018</v>
      </c>
      <c r="S10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19668.25</v>
      </c>
      <c r="T10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81464.2</v>
      </c>
      <c r="U10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1018" s="166">
        <f>IF(INDEX(TransTypes[],Transactions[[#This Row],[TTR]],TT_COL_GLFlag)=1,Transactions[[#This Row],[CalCashImpact]]+Transactions[[#This Row],[CostImpact]],0)</f>
        <v>0</v>
      </c>
      <c r="W1018" s="167">
        <f>Transactions[[#This Row],[Amount]]*INDEX(TransTypes[],Transactions[[#This Row],[TTR]],TT_COL_AmntSign)</f>
        <v>-19668.25</v>
      </c>
      <c r="X1018" s="167">
        <f>IF(INDEX(TransTypes[],Transactions[[#This Row],[TTR]],TT_COL_LONGORSHORT)="S",
      IF( OR(INDEX(TransTypes[],Transactions[[#This Row],[TTR]],TT_COL_GLFlag)=1, INDEX(TransTypes[], Transactions[[#This Row],[TTR]], TT_COL_ShareTransferFlag)=1),
            Transactions[[#This Row],[CostImpact]]*-1,
            Transactions[[#This Row],[CalCashImpact]]
      ),
     0
)</f>
        <v>0</v>
      </c>
      <c r="Y1018" s="168" t="str">
        <f>VLOOKUP(Transactions[[#This Row],[Symbol]],Symbols[], COLUMN(Symbols[Currency])-COLUMN(Symbols[])+1,FALSE)</f>
        <v>CNY</v>
      </c>
    </row>
    <row r="1019" spans="1:25">
      <c r="A1019" s="155" t="s">
        <v>82</v>
      </c>
      <c r="B1019" s="156">
        <v>42398</v>
      </c>
      <c r="C1019" s="155" t="s">
        <v>115</v>
      </c>
      <c r="D1019" s="155"/>
      <c r="E1019" s="155" t="s">
        <v>644</v>
      </c>
      <c r="F1019" s="157">
        <v>1000</v>
      </c>
      <c r="G1019" s="158">
        <v>52.113999999999997</v>
      </c>
      <c r="H1019" s="157">
        <v>72.959999999999994</v>
      </c>
      <c r="I1019" s="157"/>
      <c r="J1019" s="159">
        <v>52041.04</v>
      </c>
      <c r="K1019" s="6" t="s">
        <v>641</v>
      </c>
      <c r="L1019" s="20">
        <f>IF(ISNA(MATCH(Transactions[[#This Row],[TransType]],TransTypes[TransType],0)),1,MATCH(Transactions[[#This Row],[TransType]],TransTypes[TransType],0))</f>
        <v>3</v>
      </c>
      <c r="M1019" s="160">
        <f>IF( AND( INDEX(TransTypes[],Transactions[[#This Row],[TTR]],TT_COL_GLFlag)=1, INDEX(TransTypes[],Transactions[[#This Row],[TTR]],TT_COL_LONGORSHORT)="S" ),
      Transactions[[#This Row],[PL]],
      IF(INDEX(TransTypes[],Transactions[[#This Row],[TTR]],TT_COL_LONGORSHORT)="S",0,Transactions[[#This Row],[CalCashImpact]])
)</f>
        <v>52041.04</v>
      </c>
      <c r="N1019" s="161">
        <f>IF(VLOOKUP(Transactions[[#This Row],[Symbol]],Symbols[],COLUMN(Symbols[Currency])-COLUMN(Symbols[])+1,FALSE)=
       VLOOKUP(Transactions[[#This Row],[Account]],Accounts[],COLUMN(Accounts[Currency])-COLUMN(Accounts[])+1,FALSE),
     Transactions[[#This Row],[OrigCashImpact]],
     0
)</f>
        <v>52041.04</v>
      </c>
      <c r="O10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1391070.9299999992</v>
      </c>
      <c r="P10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19" s="41">
        <f>ROW()</f>
        <v>1019</v>
      </c>
      <c r="S10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-53423.026666666672</v>
      </c>
      <c r="T10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106846.05333333334</v>
      </c>
      <c r="U10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19" s="166">
        <f>IF(INDEX(TransTypes[],Transactions[[#This Row],[TTR]],TT_COL_GLFlag)=1,Transactions[[#This Row],[CalCashImpact]]+Transactions[[#This Row],[CostImpact]],0)</f>
        <v>-1381.9866666666712</v>
      </c>
      <c r="W1019" s="167">
        <f>Transactions[[#This Row],[Amount]]*INDEX(TransTypes[],Transactions[[#This Row],[TTR]],TT_COL_AmntSign)</f>
        <v>52041.04</v>
      </c>
      <c r="X1019" s="167">
        <f>IF(INDEX(TransTypes[],Transactions[[#This Row],[TTR]],TT_COL_LONGORSHORT)="S",
      IF( OR(INDEX(TransTypes[],Transactions[[#This Row],[TTR]],TT_COL_GLFlag)=1, INDEX(TransTypes[], Transactions[[#This Row],[TTR]], TT_COL_ShareTransferFlag)=1),
            Transactions[[#This Row],[CostImpact]]*-1,
            Transactions[[#This Row],[CalCashImpact]]
      ),
     0
)</f>
        <v>0</v>
      </c>
      <c r="Y1019" s="168" t="str">
        <f>VLOOKUP(Transactions[[#This Row],[Symbol]],Symbols[], COLUMN(Symbols[Currency])-COLUMN(Symbols[])+1,FALSE)</f>
        <v>CNY</v>
      </c>
    </row>
    <row r="1020" spans="1:25">
      <c r="A1020" s="155" t="s">
        <v>82</v>
      </c>
      <c r="B1020" s="156">
        <v>42398</v>
      </c>
      <c r="C1020" s="155" t="s">
        <v>115</v>
      </c>
      <c r="D1020" s="155"/>
      <c r="E1020" s="155" t="s">
        <v>467</v>
      </c>
      <c r="F1020" s="157">
        <v>1000</v>
      </c>
      <c r="G1020" s="158">
        <v>38.42</v>
      </c>
      <c r="H1020" s="157">
        <v>53.79</v>
      </c>
      <c r="I1020" s="157"/>
      <c r="J1020" s="159">
        <v>38366.21</v>
      </c>
      <c r="K1020" s="6" t="s">
        <v>641</v>
      </c>
      <c r="L1020" s="20">
        <f>IF(ISNA(MATCH(Transactions[[#This Row],[TransType]],TransTypes[TransType],0)),1,MATCH(Transactions[[#This Row],[TransType]],TransTypes[TransType],0))</f>
        <v>3</v>
      </c>
      <c r="M1020" s="160">
        <f>IF( AND( INDEX(TransTypes[],Transactions[[#This Row],[TTR]],TT_COL_GLFlag)=1, INDEX(TransTypes[],Transactions[[#This Row],[TTR]],TT_COL_LONGORSHORT)="S" ),
      Transactions[[#This Row],[PL]],
      IF(INDEX(TransTypes[],Transactions[[#This Row],[TTR]],TT_COL_LONGORSHORT)="S",0,Transactions[[#This Row],[CalCashImpact]])
)</f>
        <v>38366.21</v>
      </c>
      <c r="N1020" s="161">
        <f>IF(VLOOKUP(Transactions[[#This Row],[Symbol]],Symbols[],COLUMN(Symbols[Currency])-COLUMN(Symbols[])+1,FALSE)=
       VLOOKUP(Transactions[[#This Row],[Account]],Accounts[],COLUMN(Accounts[Currency])-COLUMN(Accounts[])+1,FALSE),
     Transactions[[#This Row],[OrigCashImpact]],
     0
)</f>
        <v>38366.21</v>
      </c>
      <c r="O10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1429437.1399999992</v>
      </c>
      <c r="P10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20" s="41">
        <f>ROW()</f>
        <v>1020</v>
      </c>
      <c r="S10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-41703.343333333338</v>
      </c>
      <c r="T10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83406.686666666661</v>
      </c>
      <c r="U10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20" s="166">
        <f>IF(INDEX(TransTypes[],Transactions[[#This Row],[TTR]],TT_COL_GLFlag)=1,Transactions[[#This Row],[CalCashImpact]]+Transactions[[#This Row],[CostImpact]],0)</f>
        <v>-3337.1333333333387</v>
      </c>
      <c r="W1020" s="167">
        <f>Transactions[[#This Row],[Amount]]*INDEX(TransTypes[],Transactions[[#This Row],[TTR]],TT_COL_AmntSign)</f>
        <v>38366.21</v>
      </c>
      <c r="X1020" s="167">
        <f>IF(INDEX(TransTypes[],Transactions[[#This Row],[TTR]],TT_COL_LONGORSHORT)="S",
      IF( OR(INDEX(TransTypes[],Transactions[[#This Row],[TTR]],TT_COL_GLFlag)=1, INDEX(TransTypes[], Transactions[[#This Row],[TTR]], TT_COL_ShareTransferFlag)=1),
            Transactions[[#This Row],[CostImpact]]*-1,
            Transactions[[#This Row],[CalCashImpact]]
      ),
     0
)</f>
        <v>0</v>
      </c>
      <c r="Y1020" s="168" t="str">
        <f>VLOOKUP(Transactions[[#This Row],[Symbol]],Symbols[], COLUMN(Symbols[Currency])-COLUMN(Symbols[])+1,FALSE)</f>
        <v>CNY</v>
      </c>
    </row>
    <row r="1021" spans="1:25">
      <c r="A1021" s="155" t="s">
        <v>82</v>
      </c>
      <c r="B1021" s="156">
        <v>42398</v>
      </c>
      <c r="C1021" s="155" t="s">
        <v>115</v>
      </c>
      <c r="D1021" s="155"/>
      <c r="E1021" s="155" t="s">
        <v>647</v>
      </c>
      <c r="F1021" s="157">
        <v>1000</v>
      </c>
      <c r="G1021" s="158">
        <v>29.35</v>
      </c>
      <c r="H1021" s="157">
        <v>41.09</v>
      </c>
      <c r="I1021" s="157"/>
      <c r="J1021" s="159">
        <v>29308.91</v>
      </c>
      <c r="K1021" s="6" t="s">
        <v>641</v>
      </c>
      <c r="L1021" s="20">
        <f>IF(ISNA(MATCH(Transactions[[#This Row],[TransType]],TransTypes[TransType],0)),1,MATCH(Transactions[[#This Row],[TransType]],TransTypes[TransType],0))</f>
        <v>3</v>
      </c>
      <c r="M1021" s="160">
        <f>IF( AND( INDEX(TransTypes[],Transactions[[#This Row],[TTR]],TT_COL_GLFlag)=1, INDEX(TransTypes[],Transactions[[#This Row],[TTR]],TT_COL_LONGORSHORT)="S" ),
      Transactions[[#This Row],[PL]],
      IF(INDEX(TransTypes[],Transactions[[#This Row],[TTR]],TT_COL_LONGORSHORT)="S",0,Transactions[[#This Row],[CalCashImpact]])
)</f>
        <v>29308.91</v>
      </c>
      <c r="N1021" s="161">
        <f>IF(VLOOKUP(Transactions[[#This Row],[Symbol]],Symbols[],COLUMN(Symbols[Currency])-COLUMN(Symbols[])+1,FALSE)=
       VLOOKUP(Transactions[[#This Row],[Account]],Accounts[],COLUMN(Accounts[Currency])-COLUMN(Accounts[])+1,FALSE),
     Transactions[[#This Row],[OrigCashImpact]],
     0
)</f>
        <v>29308.91</v>
      </c>
      <c r="O10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1458746.0499999991</v>
      </c>
      <c r="P10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21" s="41">
        <f>ROW()</f>
        <v>1021</v>
      </c>
      <c r="S10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-29531.807499999999</v>
      </c>
      <c r="T10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88595.422500000001</v>
      </c>
      <c r="U10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21" s="166">
        <f>IF(INDEX(TransTypes[],Transactions[[#This Row],[TTR]],TT_COL_GLFlag)=1,Transactions[[#This Row],[CalCashImpact]]+Transactions[[#This Row],[CostImpact]],0)</f>
        <v>-222.89749999999913</v>
      </c>
      <c r="W1021" s="167">
        <f>Transactions[[#This Row],[Amount]]*INDEX(TransTypes[],Transactions[[#This Row],[TTR]],TT_COL_AmntSign)</f>
        <v>29308.91</v>
      </c>
      <c r="X1021" s="167">
        <f>IF(INDEX(TransTypes[],Transactions[[#This Row],[TTR]],TT_COL_LONGORSHORT)="S",
      IF( OR(INDEX(TransTypes[],Transactions[[#This Row],[TTR]],TT_COL_GLFlag)=1, INDEX(TransTypes[], Transactions[[#This Row],[TTR]], TT_COL_ShareTransferFlag)=1),
            Transactions[[#This Row],[CostImpact]]*-1,
            Transactions[[#This Row],[CalCashImpact]]
      ),
     0
)</f>
        <v>0</v>
      </c>
      <c r="Y1021" s="168" t="str">
        <f>VLOOKUP(Transactions[[#This Row],[Symbol]],Symbols[], COLUMN(Symbols[Currency])-COLUMN(Symbols[])+1,FALSE)</f>
        <v>CNY</v>
      </c>
    </row>
    <row r="1022" spans="1:25">
      <c r="A1022" s="155" t="s">
        <v>82</v>
      </c>
      <c r="B1022" s="156">
        <v>42398</v>
      </c>
      <c r="C1022" s="155" t="s">
        <v>115</v>
      </c>
      <c r="D1022" s="155"/>
      <c r="E1022" s="155" t="s">
        <v>675</v>
      </c>
      <c r="F1022" s="157">
        <v>50000</v>
      </c>
      <c r="G1022" s="158">
        <v>0.98899999999999999</v>
      </c>
      <c r="H1022" s="157">
        <v>19.78</v>
      </c>
      <c r="I1022" s="157"/>
      <c r="J1022" s="159">
        <v>49430.22</v>
      </c>
      <c r="K1022" s="6" t="s">
        <v>641</v>
      </c>
      <c r="L1022" s="20">
        <f>IF(ISNA(MATCH(Transactions[[#This Row],[TransType]],TransTypes[TransType],0)),1,MATCH(Transactions[[#This Row],[TransType]],TransTypes[TransType],0))</f>
        <v>3</v>
      </c>
      <c r="M1022" s="160">
        <f>IF( AND( INDEX(TransTypes[],Transactions[[#This Row],[TTR]],TT_COL_GLFlag)=1, INDEX(TransTypes[],Transactions[[#This Row],[TTR]],TT_COL_LONGORSHORT)="S" ),
      Transactions[[#This Row],[PL]],
      IF(INDEX(TransTypes[],Transactions[[#This Row],[TTR]],TT_COL_LONGORSHORT)="S",0,Transactions[[#This Row],[CalCashImpact]])
)</f>
        <v>49430.22</v>
      </c>
      <c r="N1022" s="161">
        <f>IF(VLOOKUP(Transactions[[#This Row],[Symbol]],Symbols[],COLUMN(Symbols[Currency])-COLUMN(Symbols[])+1,FALSE)=
       VLOOKUP(Transactions[[#This Row],[Account]],Accounts[],COLUMN(Accounts[Currency])-COLUMN(Accounts[])+1,FALSE),
     Transactions[[#This Row],[OrigCashImpact]],
     0
)</f>
        <v>49430.22</v>
      </c>
      <c r="O10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1508176.2699999991</v>
      </c>
      <c r="P10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0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250000</v>
      </c>
      <c r="R1022" s="41">
        <f>ROW()</f>
        <v>1022</v>
      </c>
      <c r="S10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-48899.551666666666</v>
      </c>
      <c r="T10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244497.75833333333</v>
      </c>
      <c r="U10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1022" s="166">
        <f>IF(INDEX(TransTypes[],Transactions[[#This Row],[TTR]],TT_COL_GLFlag)=1,Transactions[[#This Row],[CalCashImpact]]+Transactions[[#This Row],[CostImpact]],0)</f>
        <v>530.66833333333489</v>
      </c>
      <c r="W1022" s="167">
        <f>Transactions[[#This Row],[Amount]]*INDEX(TransTypes[],Transactions[[#This Row],[TTR]],TT_COL_AmntSign)</f>
        <v>49430.22</v>
      </c>
      <c r="X1022" s="167">
        <f>IF(INDEX(TransTypes[],Transactions[[#This Row],[TTR]],TT_COL_LONGORSHORT)="S",
      IF( OR(INDEX(TransTypes[],Transactions[[#This Row],[TTR]],TT_COL_GLFlag)=1, INDEX(TransTypes[], Transactions[[#This Row],[TTR]], TT_COL_ShareTransferFlag)=1),
            Transactions[[#This Row],[CostImpact]]*-1,
            Transactions[[#This Row],[CalCashImpact]]
      ),
     0
)</f>
        <v>0</v>
      </c>
      <c r="Y1022" s="168" t="str">
        <f>VLOOKUP(Transactions[[#This Row],[Symbol]],Symbols[], COLUMN(Symbols[Currency])-COLUMN(Symbols[])+1,FALSE)</f>
        <v>CNY</v>
      </c>
    </row>
    <row r="1023" spans="1:25">
      <c r="A1023" s="155" t="s">
        <v>82</v>
      </c>
      <c r="B1023" s="156">
        <v>42398</v>
      </c>
      <c r="C1023" s="155" t="s">
        <v>115</v>
      </c>
      <c r="D1023" s="155"/>
      <c r="E1023" s="155" t="s">
        <v>464</v>
      </c>
      <c r="F1023" s="157">
        <v>100</v>
      </c>
      <c r="G1023" s="158">
        <v>200.96</v>
      </c>
      <c r="H1023" s="157">
        <v>28.54</v>
      </c>
      <c r="I1023" s="157"/>
      <c r="J1023" s="159">
        <v>20067.46</v>
      </c>
      <c r="K1023" s="6" t="s">
        <v>641</v>
      </c>
      <c r="L1023" s="20">
        <f>IF(ISNA(MATCH(Transactions[[#This Row],[TransType]],TransTypes[TransType],0)),1,MATCH(Transactions[[#This Row],[TransType]],TransTypes[TransType],0))</f>
        <v>3</v>
      </c>
      <c r="M1023" s="160">
        <f>IF( AND( INDEX(TransTypes[],Transactions[[#This Row],[TTR]],TT_COL_GLFlag)=1, INDEX(TransTypes[],Transactions[[#This Row],[TTR]],TT_COL_LONGORSHORT)="S" ),
      Transactions[[#This Row],[PL]],
      IF(INDEX(TransTypes[],Transactions[[#This Row],[TTR]],TT_COL_LONGORSHORT)="S",0,Transactions[[#This Row],[CalCashImpact]])
)</f>
        <v>20067.46</v>
      </c>
      <c r="N1023" s="161">
        <f>IF(VLOOKUP(Transactions[[#This Row],[Symbol]],Symbols[],COLUMN(Symbols[Currency])-COLUMN(Symbols[])+1,FALSE)=
       VLOOKUP(Transactions[[#This Row],[Account]],Accounts[],COLUMN(Accounts[Currency])-COLUMN(Accounts[])+1,FALSE),
     Transactions[[#This Row],[OrigCashImpact]],
     0
)</f>
        <v>20067.46</v>
      </c>
      <c r="O10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1528243.7299999993</v>
      </c>
      <c r="P10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0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1023" s="41">
        <f>ROW()</f>
        <v>1023</v>
      </c>
      <c r="S10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-20366.05</v>
      </c>
      <c r="T10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61098.149999999994</v>
      </c>
      <c r="U10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1023" s="166">
        <f>IF(INDEX(TransTypes[],Transactions[[#This Row],[TTR]],TT_COL_GLFlag)=1,Transactions[[#This Row],[CalCashImpact]]+Transactions[[#This Row],[CostImpact]],0)</f>
        <v>-298.59000000000015</v>
      </c>
      <c r="W1023" s="167">
        <f>Transactions[[#This Row],[Amount]]*INDEX(TransTypes[],Transactions[[#This Row],[TTR]],TT_COL_AmntSign)</f>
        <v>20067.46</v>
      </c>
      <c r="X1023" s="167">
        <f>IF(INDEX(TransTypes[],Transactions[[#This Row],[TTR]],TT_COL_LONGORSHORT)="S",
      IF( OR(INDEX(TransTypes[],Transactions[[#This Row],[TTR]],TT_COL_GLFlag)=1, INDEX(TransTypes[], Transactions[[#This Row],[TTR]], TT_COL_ShareTransferFlag)=1),
            Transactions[[#This Row],[CostImpact]]*-1,
            Transactions[[#This Row],[CalCashImpact]]
      ),
     0
)</f>
        <v>0</v>
      </c>
      <c r="Y1023" s="168" t="str">
        <f>VLOOKUP(Transactions[[#This Row],[Symbol]],Symbols[], COLUMN(Symbols[Currency])-COLUMN(Symbols[])+1,FALSE)</f>
        <v>CNY</v>
      </c>
    </row>
    <row r="1024" spans="1:25">
      <c r="A1024" s="155" t="s">
        <v>82</v>
      </c>
      <c r="B1024" s="156">
        <v>42398</v>
      </c>
      <c r="C1024" s="155" t="s">
        <v>115</v>
      </c>
      <c r="D1024" s="155"/>
      <c r="E1024" s="155" t="s">
        <v>665</v>
      </c>
      <c r="F1024" s="157">
        <v>50000</v>
      </c>
      <c r="G1024" s="158">
        <v>0.84699999999999998</v>
      </c>
      <c r="H1024" s="157">
        <v>16.940000000000001</v>
      </c>
      <c r="I1024" s="157"/>
      <c r="J1024" s="159">
        <v>42333.06</v>
      </c>
      <c r="K1024" s="6" t="s">
        <v>641</v>
      </c>
      <c r="L1024" s="20">
        <f>IF(ISNA(MATCH(Transactions[[#This Row],[TransType]],TransTypes[TransType],0)),1,MATCH(Transactions[[#This Row],[TransType]],TransTypes[TransType],0))</f>
        <v>3</v>
      </c>
      <c r="M1024" s="160">
        <f>IF( AND( INDEX(TransTypes[],Transactions[[#This Row],[TTR]],TT_COL_GLFlag)=1, INDEX(TransTypes[],Transactions[[#This Row],[TTR]],TT_COL_LONGORSHORT)="S" ),
      Transactions[[#This Row],[PL]],
      IF(INDEX(TransTypes[],Transactions[[#This Row],[TTR]],TT_COL_LONGORSHORT)="S",0,Transactions[[#This Row],[CalCashImpact]])
)</f>
        <v>42333.06</v>
      </c>
      <c r="N1024" s="161">
        <f>IF(VLOOKUP(Transactions[[#This Row],[Symbol]],Symbols[],COLUMN(Symbols[Currency])-COLUMN(Symbols[])+1,FALSE)=
       VLOOKUP(Transactions[[#This Row],[Account]],Accounts[],COLUMN(Accounts[Currency])-COLUMN(Accounts[])+1,FALSE),
     Transactions[[#This Row],[OrigCashImpact]],
     0
)</f>
        <v>42333.06</v>
      </c>
      <c r="O10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1570576.7899999991</v>
      </c>
      <c r="P10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0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324000</v>
      </c>
      <c r="R1024" s="41">
        <f>ROW()</f>
        <v>1024</v>
      </c>
      <c r="S10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-42203.879679144382</v>
      </c>
      <c r="T10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273481.14032085566</v>
      </c>
      <c r="U10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374000</v>
      </c>
      <c r="V1024" s="166">
        <f>IF(INDEX(TransTypes[],Transactions[[#This Row],[TTR]],TT_COL_GLFlag)=1,Transactions[[#This Row],[CalCashImpact]]+Transactions[[#This Row],[CostImpact]],0)</f>
        <v>129.18032085561572</v>
      </c>
      <c r="W1024" s="167">
        <f>Transactions[[#This Row],[Amount]]*INDEX(TransTypes[],Transactions[[#This Row],[TTR]],TT_COL_AmntSign)</f>
        <v>42333.06</v>
      </c>
      <c r="X1024" s="167">
        <f>IF(INDEX(TransTypes[],Transactions[[#This Row],[TTR]],TT_COL_LONGORSHORT)="S",
      IF( OR(INDEX(TransTypes[],Transactions[[#This Row],[TTR]],TT_COL_GLFlag)=1, INDEX(TransTypes[], Transactions[[#This Row],[TTR]], TT_COL_ShareTransferFlag)=1),
            Transactions[[#This Row],[CostImpact]]*-1,
            Transactions[[#This Row],[CalCashImpact]]
      ),
     0
)</f>
        <v>0</v>
      </c>
      <c r="Y1024" s="168" t="str">
        <f>VLOOKUP(Transactions[[#This Row],[Symbol]],Symbols[], COLUMN(Symbols[Currency])-COLUMN(Symbols[])+1,FALSE)</f>
        <v>CNY</v>
      </c>
    </row>
    <row r="1025" spans="1:25">
      <c r="A1025" s="155" t="s">
        <v>82</v>
      </c>
      <c r="B1025" s="156">
        <v>42403</v>
      </c>
      <c r="C1025" s="155" t="s">
        <v>113</v>
      </c>
      <c r="D1025" s="155"/>
      <c r="E1025" s="155" t="s">
        <v>675</v>
      </c>
      <c r="F1025" s="157">
        <v>20000</v>
      </c>
      <c r="G1025" s="158">
        <v>0.96399999999999997</v>
      </c>
      <c r="H1025" s="157">
        <v>7.71</v>
      </c>
      <c r="I1025" s="157"/>
      <c r="J1025" s="159">
        <v>19287.71</v>
      </c>
      <c r="K1025" s="6" t="s">
        <v>641</v>
      </c>
      <c r="L1025" s="20">
        <f>IF(ISNA(MATCH(Transactions[[#This Row],[TransType]],TransTypes[TransType],0)),1,MATCH(Transactions[[#This Row],[TransType]],TransTypes[TransType],0))</f>
        <v>2</v>
      </c>
      <c r="M1025" s="160">
        <f>IF( AND( INDEX(TransTypes[],Transactions[[#This Row],[TTR]],TT_COL_GLFlag)=1, INDEX(TransTypes[],Transactions[[#This Row],[TTR]],TT_COL_LONGORSHORT)="S" ),
      Transactions[[#This Row],[PL]],
      IF(INDEX(TransTypes[],Transactions[[#This Row],[TTR]],TT_COL_LONGORSHORT)="S",0,Transactions[[#This Row],[CalCashImpact]])
)</f>
        <v>-19287.71</v>
      </c>
      <c r="N1025" s="161">
        <f>IF(VLOOKUP(Transactions[[#This Row],[Symbol]],Symbols[],COLUMN(Symbols[Currency])-COLUMN(Symbols[])+1,FALSE)=
       VLOOKUP(Transactions[[#This Row],[Account]],Accounts[],COLUMN(Accounts[Currency])-COLUMN(Accounts[])+1,FALSE),
     Transactions[[#This Row],[OrigCashImpact]],
     0
)</f>
        <v>-19287.71</v>
      </c>
      <c r="O10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1551289.0799999991</v>
      </c>
      <c r="P10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0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270000</v>
      </c>
      <c r="R1025" s="41">
        <f>ROW()</f>
        <v>1025</v>
      </c>
      <c r="S10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19287.71</v>
      </c>
      <c r="T10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263785.46833333332</v>
      </c>
      <c r="U10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270000</v>
      </c>
      <c r="V1025" s="166">
        <f>IF(INDEX(TransTypes[],Transactions[[#This Row],[TTR]],TT_COL_GLFlag)=1,Transactions[[#This Row],[CalCashImpact]]+Transactions[[#This Row],[CostImpact]],0)</f>
        <v>0</v>
      </c>
      <c r="W1025" s="167">
        <f>Transactions[[#This Row],[Amount]]*INDEX(TransTypes[],Transactions[[#This Row],[TTR]],TT_COL_AmntSign)</f>
        <v>-19287.71</v>
      </c>
      <c r="X1025" s="167">
        <f>IF(INDEX(TransTypes[],Transactions[[#This Row],[TTR]],TT_COL_LONGORSHORT)="S",
      IF( OR(INDEX(TransTypes[],Transactions[[#This Row],[TTR]],TT_COL_GLFlag)=1, INDEX(TransTypes[], Transactions[[#This Row],[TTR]], TT_COL_ShareTransferFlag)=1),
            Transactions[[#This Row],[CostImpact]]*-1,
            Transactions[[#This Row],[CalCashImpact]]
      ),
     0
)</f>
        <v>0</v>
      </c>
      <c r="Y1025" s="168" t="str">
        <f>VLOOKUP(Transactions[[#This Row],[Symbol]],Symbols[], COLUMN(Symbols[Currency])-COLUMN(Symbols[])+1,FALSE)</f>
        <v>CNY</v>
      </c>
    </row>
    <row r="1026" spans="1:25">
      <c r="A1026" s="155" t="s">
        <v>82</v>
      </c>
      <c r="B1026" s="156">
        <v>42403</v>
      </c>
      <c r="C1026" s="155" t="s">
        <v>113</v>
      </c>
      <c r="D1026" s="155"/>
      <c r="E1026" s="155" t="s">
        <v>665</v>
      </c>
      <c r="F1026" s="157">
        <v>20000</v>
      </c>
      <c r="G1026" s="158">
        <v>0.81599999999999995</v>
      </c>
      <c r="H1026" s="157">
        <v>6.53</v>
      </c>
      <c r="I1026" s="157"/>
      <c r="J1026" s="159">
        <v>16326.53</v>
      </c>
      <c r="K1026" s="6" t="s">
        <v>641</v>
      </c>
      <c r="L1026" s="20">
        <f>IF(ISNA(MATCH(Transactions[[#This Row],[TransType]],TransTypes[TransType],0)),1,MATCH(Transactions[[#This Row],[TransType]],TransTypes[TransType],0))</f>
        <v>2</v>
      </c>
      <c r="M1026" s="160">
        <f>IF( AND( INDEX(TransTypes[],Transactions[[#This Row],[TTR]],TT_COL_GLFlag)=1, INDEX(TransTypes[],Transactions[[#This Row],[TTR]],TT_COL_LONGORSHORT)="S" ),
      Transactions[[#This Row],[PL]],
      IF(INDEX(TransTypes[],Transactions[[#This Row],[TTR]],TT_COL_LONGORSHORT)="S",0,Transactions[[#This Row],[CalCashImpact]])
)</f>
        <v>-16326.53</v>
      </c>
      <c r="N1026" s="161">
        <f>IF(VLOOKUP(Transactions[[#This Row],[Symbol]],Symbols[],COLUMN(Symbols[Currency])-COLUMN(Symbols[])+1,FALSE)=
       VLOOKUP(Transactions[[#This Row],[Account]],Accounts[],COLUMN(Accounts[Currency])-COLUMN(Accounts[])+1,FALSE),
     Transactions[[#This Row],[OrigCashImpact]],
     0
)</f>
        <v>-16326.53</v>
      </c>
      <c r="O10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1534962.5499999991</v>
      </c>
      <c r="P10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0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344000</v>
      </c>
      <c r="R1026" s="41">
        <f>ROW()</f>
        <v>1026</v>
      </c>
      <c r="S10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16326.53</v>
      </c>
      <c r="T10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289807.67032085569</v>
      </c>
      <c r="U10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344000</v>
      </c>
      <c r="V1026" s="166">
        <f>IF(INDEX(TransTypes[],Transactions[[#This Row],[TTR]],TT_COL_GLFlag)=1,Transactions[[#This Row],[CalCashImpact]]+Transactions[[#This Row],[CostImpact]],0)</f>
        <v>0</v>
      </c>
      <c r="W1026" s="167">
        <f>Transactions[[#This Row],[Amount]]*INDEX(TransTypes[],Transactions[[#This Row],[TTR]],TT_COL_AmntSign)</f>
        <v>-16326.53</v>
      </c>
      <c r="X1026" s="167">
        <f>IF(INDEX(TransTypes[],Transactions[[#This Row],[TTR]],TT_COL_LONGORSHORT)="S",
      IF( OR(INDEX(TransTypes[],Transactions[[#This Row],[TTR]],TT_COL_GLFlag)=1, INDEX(TransTypes[], Transactions[[#This Row],[TTR]], TT_COL_ShareTransferFlag)=1),
            Transactions[[#This Row],[CostImpact]]*-1,
            Transactions[[#This Row],[CalCashImpact]]
      ),
     0
)</f>
        <v>0</v>
      </c>
      <c r="Y1026" s="168" t="str">
        <f>VLOOKUP(Transactions[[#This Row],[Symbol]],Symbols[], COLUMN(Symbols[Currency])-COLUMN(Symbols[])+1,FALSE)</f>
        <v>CNY</v>
      </c>
    </row>
    <row r="1027" spans="1:25">
      <c r="A1027" s="155" t="s">
        <v>82</v>
      </c>
      <c r="B1027" s="156">
        <v>42416</v>
      </c>
      <c r="C1027" s="155" t="s">
        <v>113</v>
      </c>
      <c r="D1027" s="155"/>
      <c r="E1027" s="155" t="s">
        <v>482</v>
      </c>
      <c r="F1027" s="157">
        <v>3000</v>
      </c>
      <c r="G1027" s="158">
        <v>19.100000000000001</v>
      </c>
      <c r="H1027" s="157">
        <v>22.92</v>
      </c>
      <c r="I1027" s="157"/>
      <c r="J1027" s="159">
        <v>57322.92</v>
      </c>
      <c r="K1027" s="6" t="s">
        <v>641</v>
      </c>
      <c r="L1027" s="20">
        <f>IF(ISNA(MATCH(Transactions[[#This Row],[TransType]],TransTypes[TransType],0)),1,MATCH(Transactions[[#This Row],[TransType]],TransTypes[TransType],0))</f>
        <v>2</v>
      </c>
      <c r="M1027" s="160">
        <f>IF( AND( INDEX(TransTypes[],Transactions[[#This Row],[TTR]],TT_COL_GLFlag)=1, INDEX(TransTypes[],Transactions[[#This Row],[TTR]],TT_COL_LONGORSHORT)="S" ),
      Transactions[[#This Row],[PL]],
      IF(INDEX(TransTypes[],Transactions[[#This Row],[TTR]],TT_COL_LONGORSHORT)="S",0,Transactions[[#This Row],[CalCashImpact]])
)</f>
        <v>-57322.92</v>
      </c>
      <c r="N1027" s="161">
        <f>IF(VLOOKUP(Transactions[[#This Row],[Symbol]],Symbols[],COLUMN(Symbols[Currency])-COLUMN(Symbols[])+1,FALSE)=
       VLOOKUP(Transactions[[#This Row],[Account]],Accounts[],COLUMN(Accounts[Currency])-COLUMN(Accounts[])+1,FALSE),
     Transactions[[#This Row],[OrigCashImpact]],
     0
)</f>
        <v>-57322.92</v>
      </c>
      <c r="O10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1477639.6299999992</v>
      </c>
      <c r="P10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0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27" s="41">
        <f>ROW()</f>
        <v>1027</v>
      </c>
      <c r="S10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57322.92</v>
      </c>
      <c r="T10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57322.92</v>
      </c>
      <c r="U10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27" s="166">
        <f>IF(INDEX(TransTypes[],Transactions[[#This Row],[TTR]],TT_COL_GLFlag)=1,Transactions[[#This Row],[CalCashImpact]]+Transactions[[#This Row],[CostImpact]],0)</f>
        <v>0</v>
      </c>
      <c r="W1027" s="167">
        <f>Transactions[[#This Row],[Amount]]*INDEX(TransTypes[],Transactions[[#This Row],[TTR]],TT_COL_AmntSign)</f>
        <v>-57322.92</v>
      </c>
      <c r="X1027" s="167">
        <f>IF(INDEX(TransTypes[],Transactions[[#This Row],[TTR]],TT_COL_LONGORSHORT)="S",
      IF( OR(INDEX(TransTypes[],Transactions[[#This Row],[TTR]],TT_COL_GLFlag)=1, INDEX(TransTypes[], Transactions[[#This Row],[TTR]], TT_COL_ShareTransferFlag)=1),
            Transactions[[#This Row],[CostImpact]]*-1,
            Transactions[[#This Row],[CalCashImpact]]
      ),
     0
)</f>
        <v>0</v>
      </c>
      <c r="Y1027" s="168" t="str">
        <f>VLOOKUP(Transactions[[#This Row],[Symbol]],Symbols[], COLUMN(Symbols[Currency])-COLUMN(Symbols[])+1,FALSE)</f>
        <v>CNY</v>
      </c>
    </row>
    <row r="1028" spans="1:25">
      <c r="A1028" s="155" t="s">
        <v>82</v>
      </c>
      <c r="B1028" s="156">
        <v>42416</v>
      </c>
      <c r="C1028" s="155" t="s">
        <v>113</v>
      </c>
      <c r="D1028" s="155"/>
      <c r="E1028" s="155" t="s">
        <v>675</v>
      </c>
      <c r="F1028" s="157">
        <v>50000</v>
      </c>
      <c r="G1028" s="158">
        <v>0.96199999999999997</v>
      </c>
      <c r="H1028" s="157">
        <v>19.239999999999998</v>
      </c>
      <c r="I1028" s="157"/>
      <c r="J1028" s="159">
        <v>48119.24</v>
      </c>
      <c r="K1028" s="6" t="s">
        <v>641</v>
      </c>
      <c r="L1028" s="20">
        <f>IF(ISNA(MATCH(Transactions[[#This Row],[TransType]],TransTypes[TransType],0)),1,MATCH(Transactions[[#This Row],[TransType]],TransTypes[TransType],0))</f>
        <v>2</v>
      </c>
      <c r="M1028" s="160">
        <f>IF( AND( INDEX(TransTypes[],Transactions[[#This Row],[TTR]],TT_COL_GLFlag)=1, INDEX(TransTypes[],Transactions[[#This Row],[TTR]],TT_COL_LONGORSHORT)="S" ),
      Transactions[[#This Row],[PL]],
      IF(INDEX(TransTypes[],Transactions[[#This Row],[TTR]],TT_COL_LONGORSHORT)="S",0,Transactions[[#This Row],[CalCashImpact]])
)</f>
        <v>-48119.24</v>
      </c>
      <c r="N1028" s="161">
        <f>IF(VLOOKUP(Transactions[[#This Row],[Symbol]],Symbols[],COLUMN(Symbols[Currency])-COLUMN(Symbols[])+1,FALSE)=
       VLOOKUP(Transactions[[#This Row],[Account]],Accounts[],COLUMN(Accounts[Currency])-COLUMN(Accounts[])+1,FALSE),
     Transactions[[#This Row],[OrigCashImpact]],
     0
)</f>
        <v>-48119.24</v>
      </c>
      <c r="O10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1429520.3899999992</v>
      </c>
      <c r="P10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0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320000</v>
      </c>
      <c r="R1028" s="41">
        <f>ROW()</f>
        <v>1028</v>
      </c>
      <c r="S10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48119.24</v>
      </c>
      <c r="T10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311904.70833333331</v>
      </c>
      <c r="U10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320000</v>
      </c>
      <c r="V1028" s="166">
        <f>IF(INDEX(TransTypes[],Transactions[[#This Row],[TTR]],TT_COL_GLFlag)=1,Transactions[[#This Row],[CalCashImpact]]+Transactions[[#This Row],[CostImpact]],0)</f>
        <v>0</v>
      </c>
      <c r="W1028" s="167">
        <f>Transactions[[#This Row],[Amount]]*INDEX(TransTypes[],Transactions[[#This Row],[TTR]],TT_COL_AmntSign)</f>
        <v>-48119.24</v>
      </c>
      <c r="X1028" s="167">
        <f>IF(INDEX(TransTypes[],Transactions[[#This Row],[TTR]],TT_COL_LONGORSHORT)="S",
      IF( OR(INDEX(TransTypes[],Transactions[[#This Row],[TTR]],TT_COL_GLFlag)=1, INDEX(TransTypes[], Transactions[[#This Row],[TTR]], TT_COL_ShareTransferFlag)=1),
            Transactions[[#This Row],[CostImpact]]*-1,
            Transactions[[#This Row],[CalCashImpact]]
      ),
     0
)</f>
        <v>0</v>
      </c>
      <c r="Y1028" s="168" t="str">
        <f>VLOOKUP(Transactions[[#This Row],[Symbol]],Symbols[], COLUMN(Symbols[Currency])-COLUMN(Symbols[])+1,FALSE)</f>
        <v>CNY</v>
      </c>
    </row>
    <row r="1029" spans="1:25">
      <c r="A1029" s="155" t="s">
        <v>82</v>
      </c>
      <c r="B1029" s="156">
        <v>42416</v>
      </c>
      <c r="C1029" s="155" t="s">
        <v>113</v>
      </c>
      <c r="D1029" s="155"/>
      <c r="E1029" s="155" t="s">
        <v>681</v>
      </c>
      <c r="F1029" s="157">
        <v>3000</v>
      </c>
      <c r="G1029" s="158">
        <v>13.54</v>
      </c>
      <c r="H1029" s="157">
        <v>17.059999999999999</v>
      </c>
      <c r="I1029" s="157"/>
      <c r="J1029" s="159">
        <v>40637.06</v>
      </c>
      <c r="K1029" s="6" t="s">
        <v>641</v>
      </c>
      <c r="L1029" s="20">
        <f>IF(ISNA(MATCH(Transactions[[#This Row],[TransType]],TransTypes[TransType],0)),1,MATCH(Transactions[[#This Row],[TransType]],TransTypes[TransType],0))</f>
        <v>2</v>
      </c>
      <c r="M1029" s="160">
        <f>IF( AND( INDEX(TransTypes[],Transactions[[#This Row],[TTR]],TT_COL_GLFlag)=1, INDEX(TransTypes[],Transactions[[#This Row],[TTR]],TT_COL_LONGORSHORT)="S" ),
      Transactions[[#This Row],[PL]],
      IF(INDEX(TransTypes[],Transactions[[#This Row],[TTR]],TT_COL_LONGORSHORT)="S",0,Transactions[[#This Row],[CalCashImpact]])
)</f>
        <v>-40637.06</v>
      </c>
      <c r="N1029" s="161">
        <f>IF(VLOOKUP(Transactions[[#This Row],[Symbol]],Symbols[],COLUMN(Symbols[Currency])-COLUMN(Symbols[])+1,FALSE)=
       VLOOKUP(Transactions[[#This Row],[Account]],Accounts[],COLUMN(Accounts[Currency])-COLUMN(Accounts[])+1,FALSE),
     Transactions[[#This Row],[OrigCashImpact]],
     0
)</f>
        <v>-40637.06</v>
      </c>
      <c r="O10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1388883.3299999991</v>
      </c>
      <c r="P10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0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29" s="41">
        <f>ROW()</f>
        <v>1029</v>
      </c>
      <c r="S10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40637.06</v>
      </c>
      <c r="T10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40637.06</v>
      </c>
      <c r="U10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29" s="166">
        <f>IF(INDEX(TransTypes[],Transactions[[#This Row],[TTR]],TT_COL_GLFlag)=1,Transactions[[#This Row],[CalCashImpact]]+Transactions[[#This Row],[CostImpact]],0)</f>
        <v>0</v>
      </c>
      <c r="W1029" s="167">
        <f>Transactions[[#This Row],[Amount]]*INDEX(TransTypes[],Transactions[[#This Row],[TTR]],TT_COL_AmntSign)</f>
        <v>-40637.06</v>
      </c>
      <c r="X1029" s="167">
        <f>IF(INDEX(TransTypes[],Transactions[[#This Row],[TTR]],TT_COL_LONGORSHORT)="S",
      IF( OR(INDEX(TransTypes[],Transactions[[#This Row],[TTR]],TT_COL_GLFlag)=1, INDEX(TransTypes[], Transactions[[#This Row],[TTR]], TT_COL_ShareTransferFlag)=1),
            Transactions[[#This Row],[CostImpact]]*-1,
            Transactions[[#This Row],[CalCashImpact]]
      ),
     0
)</f>
        <v>0</v>
      </c>
      <c r="Y1029" s="168" t="str">
        <f>VLOOKUP(Transactions[[#This Row],[Symbol]],Symbols[], COLUMN(Symbols[Currency])-COLUMN(Symbols[])+1,FALSE)</f>
        <v>CNY</v>
      </c>
    </row>
    <row r="1030" spans="1:25">
      <c r="A1030" s="155" t="s">
        <v>82</v>
      </c>
      <c r="B1030" s="156">
        <v>42416</v>
      </c>
      <c r="C1030" s="155" t="s">
        <v>113</v>
      </c>
      <c r="D1030" s="155"/>
      <c r="E1030" s="155" t="s">
        <v>682</v>
      </c>
      <c r="F1030" s="157">
        <v>4000</v>
      </c>
      <c r="G1030" s="158">
        <v>12.157999999999999</v>
      </c>
      <c r="H1030" s="157">
        <v>20.420000000000002</v>
      </c>
      <c r="I1030" s="157"/>
      <c r="J1030" s="159">
        <v>48652.42</v>
      </c>
      <c r="K1030" s="6" t="s">
        <v>641</v>
      </c>
      <c r="L1030" s="20">
        <f>IF(ISNA(MATCH(Transactions[[#This Row],[TransType]],TransTypes[TransType],0)),1,MATCH(Transactions[[#This Row],[TransType]],TransTypes[TransType],0))</f>
        <v>2</v>
      </c>
      <c r="M1030" s="160">
        <f>IF( AND( INDEX(TransTypes[],Transactions[[#This Row],[TTR]],TT_COL_GLFlag)=1, INDEX(TransTypes[],Transactions[[#This Row],[TTR]],TT_COL_LONGORSHORT)="S" ),
      Transactions[[#This Row],[PL]],
      IF(INDEX(TransTypes[],Transactions[[#This Row],[TTR]],TT_COL_LONGORSHORT)="S",0,Transactions[[#This Row],[CalCashImpact]])
)</f>
        <v>-48652.42</v>
      </c>
      <c r="N1030" s="161">
        <f>IF(VLOOKUP(Transactions[[#This Row],[Symbol]],Symbols[],COLUMN(Symbols[Currency])-COLUMN(Symbols[])+1,FALSE)=
       VLOOKUP(Transactions[[#This Row],[Account]],Accounts[],COLUMN(Accounts[Currency])-COLUMN(Accounts[])+1,FALSE),
     Transactions[[#This Row],[OrigCashImpact]],
     0
)</f>
        <v>-48652.42</v>
      </c>
      <c r="O10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1340230.9099999992</v>
      </c>
      <c r="P10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0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030" s="41">
        <f>ROW()</f>
        <v>1030</v>
      </c>
      <c r="S10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48652.42</v>
      </c>
      <c r="T10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48652.42</v>
      </c>
      <c r="U10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30" s="166">
        <f>IF(INDEX(TransTypes[],Transactions[[#This Row],[TTR]],TT_COL_GLFlag)=1,Transactions[[#This Row],[CalCashImpact]]+Transactions[[#This Row],[CostImpact]],0)</f>
        <v>0</v>
      </c>
      <c r="W1030" s="167">
        <f>Transactions[[#This Row],[Amount]]*INDEX(TransTypes[],Transactions[[#This Row],[TTR]],TT_COL_AmntSign)</f>
        <v>-48652.42</v>
      </c>
      <c r="X1030" s="167">
        <f>IF(INDEX(TransTypes[],Transactions[[#This Row],[TTR]],TT_COL_LONGORSHORT)="S",
      IF( OR(INDEX(TransTypes[],Transactions[[#This Row],[TTR]],TT_COL_GLFlag)=1, INDEX(TransTypes[], Transactions[[#This Row],[TTR]], TT_COL_ShareTransferFlag)=1),
            Transactions[[#This Row],[CostImpact]]*-1,
            Transactions[[#This Row],[CalCashImpact]]
      ),
     0
)</f>
        <v>0</v>
      </c>
      <c r="Y1030" s="168" t="str">
        <f>VLOOKUP(Transactions[[#This Row],[Symbol]],Symbols[], COLUMN(Symbols[Currency])-COLUMN(Symbols[])+1,FALSE)</f>
        <v>CNY</v>
      </c>
    </row>
    <row r="1031" spans="1:25">
      <c r="A1031" s="155" t="s">
        <v>82</v>
      </c>
      <c r="B1031" s="156">
        <v>42416</v>
      </c>
      <c r="C1031" s="155" t="s">
        <v>113</v>
      </c>
      <c r="D1031" s="155"/>
      <c r="E1031" s="155" t="s">
        <v>665</v>
      </c>
      <c r="F1031" s="157">
        <v>60000</v>
      </c>
      <c r="G1031" s="158">
        <v>0.82599999999999996</v>
      </c>
      <c r="H1031" s="157">
        <v>19.82</v>
      </c>
      <c r="I1031" s="157"/>
      <c r="J1031" s="159">
        <v>49579.82</v>
      </c>
      <c r="K1031" s="6" t="s">
        <v>641</v>
      </c>
      <c r="L1031" s="20">
        <f>IF(ISNA(MATCH(Transactions[[#This Row],[TransType]],TransTypes[TransType],0)),1,MATCH(Transactions[[#This Row],[TransType]],TransTypes[TransType],0))</f>
        <v>2</v>
      </c>
      <c r="M1031" s="160">
        <f>IF( AND( INDEX(TransTypes[],Transactions[[#This Row],[TTR]],TT_COL_GLFlag)=1, INDEX(TransTypes[],Transactions[[#This Row],[TTR]],TT_COL_LONGORSHORT)="S" ),
      Transactions[[#This Row],[PL]],
      IF(INDEX(TransTypes[],Transactions[[#This Row],[TTR]],TT_COL_LONGORSHORT)="S",0,Transactions[[#This Row],[CalCashImpact]])
)</f>
        <v>-49579.82</v>
      </c>
      <c r="N1031" s="161">
        <f>IF(VLOOKUP(Transactions[[#This Row],[Symbol]],Symbols[],COLUMN(Symbols[Currency])-COLUMN(Symbols[])+1,FALSE)=
       VLOOKUP(Transactions[[#This Row],[Account]],Accounts[],COLUMN(Accounts[Currency])-COLUMN(Accounts[])+1,FALSE),
     Transactions[[#This Row],[OrigCashImpact]],
     0
)</f>
        <v>-49579.82</v>
      </c>
      <c r="O10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1290651.0899999992</v>
      </c>
      <c r="P10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10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404000</v>
      </c>
      <c r="R1031" s="41">
        <f>ROW()</f>
        <v>1031</v>
      </c>
      <c r="S10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49579.82</v>
      </c>
      <c r="T10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339387.49032085569</v>
      </c>
      <c r="U10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404000</v>
      </c>
      <c r="V1031" s="166">
        <f>IF(INDEX(TransTypes[],Transactions[[#This Row],[TTR]],TT_COL_GLFlag)=1,Transactions[[#This Row],[CalCashImpact]]+Transactions[[#This Row],[CostImpact]],0)</f>
        <v>0</v>
      </c>
      <c r="W1031" s="167">
        <f>Transactions[[#This Row],[Amount]]*INDEX(TransTypes[],Transactions[[#This Row],[TTR]],TT_COL_AmntSign)</f>
        <v>-49579.82</v>
      </c>
      <c r="X1031" s="167">
        <f>IF(INDEX(TransTypes[],Transactions[[#This Row],[TTR]],TT_COL_LONGORSHORT)="S",
      IF( OR(INDEX(TransTypes[],Transactions[[#This Row],[TTR]],TT_COL_GLFlag)=1, INDEX(TransTypes[], Transactions[[#This Row],[TTR]], TT_COL_ShareTransferFlag)=1),
            Transactions[[#This Row],[CostImpact]]*-1,
            Transactions[[#This Row],[CalCashImpact]]
      ),
     0
)</f>
        <v>0</v>
      </c>
      <c r="Y1031" s="168" t="str">
        <f>VLOOKUP(Transactions[[#This Row],[Symbol]],Symbols[], COLUMN(Symbols[Currency])-COLUMN(Symbols[])+1,FALSE)</f>
        <v>CNY</v>
      </c>
    </row>
    <row r="1032" spans="1:25">
      <c r="A1032" s="155" t="s">
        <v>82</v>
      </c>
      <c r="B1032" s="156">
        <v>42419</v>
      </c>
      <c r="C1032" s="155" t="s">
        <v>115</v>
      </c>
      <c r="D1032" s="155"/>
      <c r="E1032" s="155" t="s">
        <v>647</v>
      </c>
      <c r="F1032" s="157">
        <v>500</v>
      </c>
      <c r="G1032" s="158">
        <v>30.87</v>
      </c>
      <c r="H1032" s="157">
        <v>21.61</v>
      </c>
      <c r="I1032" s="157"/>
      <c r="J1032" s="159">
        <v>15413.39</v>
      </c>
      <c r="K1032" s="6" t="s">
        <v>641</v>
      </c>
      <c r="L1032" s="20">
        <f>IF(ISNA(MATCH(Transactions[[#This Row],[TransType]],TransTypes[TransType],0)),1,MATCH(Transactions[[#This Row],[TransType]],TransTypes[TransType],0))</f>
        <v>3</v>
      </c>
      <c r="M1032" s="160">
        <f>IF( AND( INDEX(TransTypes[],Transactions[[#This Row],[TTR]],TT_COL_GLFlag)=1, INDEX(TransTypes[],Transactions[[#This Row],[TTR]],TT_COL_LONGORSHORT)="S" ),
      Transactions[[#This Row],[PL]],
      IF(INDEX(TransTypes[],Transactions[[#This Row],[TTR]],TT_COL_LONGORSHORT)="S",0,Transactions[[#This Row],[CalCashImpact]])
)</f>
        <v>15413.39</v>
      </c>
      <c r="N1032" s="161">
        <f>IF(VLOOKUP(Transactions[[#This Row],[Symbol]],Symbols[],COLUMN(Symbols[Currency])-COLUMN(Symbols[])+1,FALSE)=
       VLOOKUP(Transactions[[#This Row],[Account]],Accounts[],COLUMN(Accounts[Currency])-COLUMN(Accounts[])+1,FALSE),
     Transactions[[#This Row],[OrigCashImpact]],
     0
)</f>
        <v>15413.39</v>
      </c>
      <c r="O10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1306064.4799999991</v>
      </c>
      <c r="P10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1032" s="41">
        <f>ROW()</f>
        <v>1032</v>
      </c>
      <c r="S10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-14765.903749999999</v>
      </c>
      <c r="T10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73829.518750000003</v>
      </c>
      <c r="U10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32" s="166">
        <f>IF(INDEX(TransTypes[],Transactions[[#This Row],[TTR]],TT_COL_GLFlag)=1,Transactions[[#This Row],[CalCashImpact]]+Transactions[[#This Row],[CostImpact]],0)</f>
        <v>647.48624999999993</v>
      </c>
      <c r="W1032" s="167">
        <f>Transactions[[#This Row],[Amount]]*INDEX(TransTypes[],Transactions[[#This Row],[TTR]],TT_COL_AmntSign)</f>
        <v>15413.39</v>
      </c>
      <c r="X1032" s="167">
        <f>IF(INDEX(TransTypes[],Transactions[[#This Row],[TTR]],TT_COL_LONGORSHORT)="S",
      IF( OR(INDEX(TransTypes[],Transactions[[#This Row],[TTR]],TT_COL_GLFlag)=1, INDEX(TransTypes[], Transactions[[#This Row],[TTR]], TT_COL_ShareTransferFlag)=1),
            Transactions[[#This Row],[CostImpact]]*-1,
            Transactions[[#This Row],[CalCashImpact]]
      ),
     0
)</f>
        <v>0</v>
      </c>
      <c r="Y1032" s="168" t="str">
        <f>VLOOKUP(Transactions[[#This Row],[Symbol]],Symbols[], COLUMN(Symbols[Currency])-COLUMN(Symbols[])+1,FALSE)</f>
        <v>CNY</v>
      </c>
    </row>
    <row r="1033" spans="1:25">
      <c r="A1033" s="155" t="s">
        <v>82</v>
      </c>
      <c r="B1033" s="156">
        <v>42419</v>
      </c>
      <c r="C1033" s="155" t="s">
        <v>115</v>
      </c>
      <c r="D1033" s="155"/>
      <c r="E1033" s="155" t="s">
        <v>467</v>
      </c>
      <c r="F1033" s="157">
        <v>500</v>
      </c>
      <c r="G1033" s="158">
        <v>42.21</v>
      </c>
      <c r="H1033" s="157">
        <v>29.54</v>
      </c>
      <c r="I1033" s="157"/>
      <c r="J1033" s="159">
        <v>21075.46</v>
      </c>
      <c r="K1033" s="6" t="s">
        <v>641</v>
      </c>
      <c r="L1033" s="20">
        <f>IF(ISNA(MATCH(Transactions[[#This Row],[TransType]],TransTypes[TransType],0)),1,MATCH(Transactions[[#This Row],[TransType]],TransTypes[TransType],0))</f>
        <v>3</v>
      </c>
      <c r="M1033" s="160">
        <f>IF( AND( INDEX(TransTypes[],Transactions[[#This Row],[TTR]],TT_COL_GLFlag)=1, INDEX(TransTypes[],Transactions[[#This Row],[TTR]],TT_COL_LONGORSHORT)="S" ),
      Transactions[[#This Row],[PL]],
      IF(INDEX(TransTypes[],Transactions[[#This Row],[TTR]],TT_COL_LONGORSHORT)="S",0,Transactions[[#This Row],[CalCashImpact]])
)</f>
        <v>21075.46</v>
      </c>
      <c r="N1033" s="161">
        <f>IF(VLOOKUP(Transactions[[#This Row],[Symbol]],Symbols[],COLUMN(Symbols[Currency])-COLUMN(Symbols[])+1,FALSE)=
       VLOOKUP(Transactions[[#This Row],[Account]],Accounts[],COLUMN(Accounts[Currency])-COLUMN(Accounts[])+1,FALSE),
     Transactions[[#This Row],[OrigCashImpact]],
     0
)</f>
        <v>21075.46</v>
      </c>
      <c r="O10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1327139.9399999992</v>
      </c>
      <c r="P10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1033" s="41">
        <f>ROW()</f>
        <v>1033</v>
      </c>
      <c r="S10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-20851.671666666665</v>
      </c>
      <c r="T10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62555.014999999999</v>
      </c>
      <c r="U10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33" s="166">
        <f>IF(INDEX(TransTypes[],Transactions[[#This Row],[TTR]],TT_COL_GLFlag)=1,Transactions[[#This Row],[CalCashImpact]]+Transactions[[#This Row],[CostImpact]],0)</f>
        <v>223.78833333333387</v>
      </c>
      <c r="W1033" s="167">
        <f>Transactions[[#This Row],[Amount]]*INDEX(TransTypes[],Transactions[[#This Row],[TTR]],TT_COL_AmntSign)</f>
        <v>21075.46</v>
      </c>
      <c r="X1033" s="167">
        <f>IF(INDEX(TransTypes[],Transactions[[#This Row],[TTR]],TT_COL_LONGORSHORT)="S",
      IF( OR(INDEX(TransTypes[],Transactions[[#This Row],[TTR]],TT_COL_GLFlag)=1, INDEX(TransTypes[], Transactions[[#This Row],[TTR]], TT_COL_ShareTransferFlag)=1),
            Transactions[[#This Row],[CostImpact]]*-1,
            Transactions[[#This Row],[CalCashImpact]]
      ),
     0
)</f>
        <v>0</v>
      </c>
      <c r="Y1033" s="168" t="str">
        <f>VLOOKUP(Transactions[[#This Row],[Symbol]],Symbols[], COLUMN(Symbols[Currency])-COLUMN(Symbols[])+1,FALSE)</f>
        <v>CNY</v>
      </c>
    </row>
    <row r="1034" spans="1:25">
      <c r="A1034" s="155" t="s">
        <v>82</v>
      </c>
      <c r="B1034" s="156">
        <v>42419</v>
      </c>
      <c r="C1034" s="155" t="s">
        <v>115</v>
      </c>
      <c r="D1034" s="155"/>
      <c r="E1034" s="155" t="s">
        <v>644</v>
      </c>
      <c r="F1034" s="157">
        <v>500</v>
      </c>
      <c r="G1034" s="158">
        <v>58</v>
      </c>
      <c r="H1034" s="157">
        <v>40.6</v>
      </c>
      <c r="I1034" s="157"/>
      <c r="J1034" s="159">
        <v>28959.4</v>
      </c>
      <c r="K1034" s="6" t="s">
        <v>641</v>
      </c>
      <c r="L1034" s="20">
        <f>IF(ISNA(MATCH(Transactions[[#This Row],[TransType]],TransTypes[TransType],0)),1,MATCH(Transactions[[#This Row],[TransType]],TransTypes[TransType],0))</f>
        <v>3</v>
      </c>
      <c r="M1034" s="160">
        <f>IF( AND( INDEX(TransTypes[],Transactions[[#This Row],[TTR]],TT_COL_GLFlag)=1, INDEX(TransTypes[],Transactions[[#This Row],[TTR]],TT_COL_LONGORSHORT)="S" ),
      Transactions[[#This Row],[PL]],
      IF(INDEX(TransTypes[],Transactions[[#This Row],[TTR]],TT_COL_LONGORSHORT)="S",0,Transactions[[#This Row],[CalCashImpact]])
)</f>
        <v>28959.4</v>
      </c>
      <c r="N1034" s="161">
        <f>IF(VLOOKUP(Transactions[[#This Row],[Symbol]],Symbols[],COLUMN(Symbols[Currency])-COLUMN(Symbols[])+1,FALSE)=
       VLOOKUP(Transactions[[#This Row],[Account]],Accounts[],COLUMN(Accounts[Currency])-COLUMN(Accounts[])+1,FALSE),
     Transactions[[#This Row],[OrigCashImpact]],
     0
)</f>
        <v>28959.4</v>
      </c>
      <c r="O10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1356099.3399999992</v>
      </c>
      <c r="P10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1034" s="41">
        <f>ROW()</f>
        <v>1034</v>
      </c>
      <c r="S10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-26711.513333333336</v>
      </c>
      <c r="T10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80134.540000000008</v>
      </c>
      <c r="U10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34" s="166">
        <f>IF(INDEX(TransTypes[],Transactions[[#This Row],[TTR]],TT_COL_GLFlag)=1,Transactions[[#This Row],[CalCashImpact]]+Transactions[[#This Row],[CostImpact]],0)</f>
        <v>2247.8866666666654</v>
      </c>
      <c r="W1034" s="167">
        <f>Transactions[[#This Row],[Amount]]*INDEX(TransTypes[],Transactions[[#This Row],[TTR]],TT_COL_AmntSign)</f>
        <v>28959.4</v>
      </c>
      <c r="X1034" s="167">
        <f>IF(INDEX(TransTypes[],Transactions[[#This Row],[TTR]],TT_COL_LONGORSHORT)="S",
      IF( OR(INDEX(TransTypes[],Transactions[[#This Row],[TTR]],TT_COL_GLFlag)=1, INDEX(TransTypes[], Transactions[[#This Row],[TTR]], TT_COL_ShareTransferFlag)=1),
            Transactions[[#This Row],[CostImpact]]*-1,
            Transactions[[#This Row],[CalCashImpact]]
      ),
     0
)</f>
        <v>0</v>
      </c>
      <c r="Y1034" s="168" t="str">
        <f>VLOOKUP(Transactions[[#This Row],[Symbol]],Symbols[], COLUMN(Symbols[Currency])-COLUMN(Symbols[])+1,FALSE)</f>
        <v>CNY</v>
      </c>
    </row>
    <row r="1035" spans="1:25">
      <c r="A1035" s="155" t="s">
        <v>82</v>
      </c>
      <c r="B1035" s="156">
        <v>42419</v>
      </c>
      <c r="C1035" s="155" t="s">
        <v>115</v>
      </c>
      <c r="D1035" s="155"/>
      <c r="E1035" s="155" t="s">
        <v>482</v>
      </c>
      <c r="F1035" s="157">
        <v>1000</v>
      </c>
      <c r="G1035" s="158">
        <v>19.2</v>
      </c>
      <c r="H1035" s="157">
        <v>26.88</v>
      </c>
      <c r="I1035" s="157"/>
      <c r="J1035" s="159">
        <v>19173.12</v>
      </c>
      <c r="K1035" s="6" t="s">
        <v>641</v>
      </c>
      <c r="L1035" s="20">
        <f>IF(ISNA(MATCH(Transactions[[#This Row],[TransType]],TransTypes[TransType],0)),1,MATCH(Transactions[[#This Row],[TransType]],TransTypes[TransType],0))</f>
        <v>3</v>
      </c>
      <c r="M1035" s="160">
        <f>IF( AND( INDEX(TransTypes[],Transactions[[#This Row],[TTR]],TT_COL_GLFlag)=1, INDEX(TransTypes[],Transactions[[#This Row],[TTR]],TT_COL_LONGORSHORT)="S" ),
      Transactions[[#This Row],[PL]],
      IF(INDEX(TransTypes[],Transactions[[#This Row],[TTR]],TT_COL_LONGORSHORT)="S",0,Transactions[[#This Row],[CalCashImpact]])
)</f>
        <v>19173.12</v>
      </c>
      <c r="N1035" s="161">
        <f>IF(VLOOKUP(Transactions[[#This Row],[Symbol]],Symbols[],COLUMN(Symbols[Currency])-COLUMN(Symbols[])+1,FALSE)=
       VLOOKUP(Transactions[[#This Row],[Account]],Accounts[],COLUMN(Accounts[Currency])-COLUMN(Accounts[])+1,FALSE),
     Transactions[[#This Row],[OrigCashImpact]],
     0
)</f>
        <v>19173.12</v>
      </c>
      <c r="O10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1375272.459999999</v>
      </c>
      <c r="P10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35" s="41">
        <f>ROW()</f>
        <v>1035</v>
      </c>
      <c r="S10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-19107.64</v>
      </c>
      <c r="T10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38215.279999999999</v>
      </c>
      <c r="U10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35" s="166">
        <f>IF(INDEX(TransTypes[],Transactions[[#This Row],[TTR]],TT_COL_GLFlag)=1,Transactions[[#This Row],[CalCashImpact]]+Transactions[[#This Row],[CostImpact]],0)</f>
        <v>65.479999999999563</v>
      </c>
      <c r="W1035" s="167">
        <f>Transactions[[#This Row],[Amount]]*INDEX(TransTypes[],Transactions[[#This Row],[TTR]],TT_COL_AmntSign)</f>
        <v>19173.12</v>
      </c>
      <c r="X1035" s="167">
        <f>IF(INDEX(TransTypes[],Transactions[[#This Row],[TTR]],TT_COL_LONGORSHORT)="S",
      IF( OR(INDEX(TransTypes[],Transactions[[#This Row],[TTR]],TT_COL_GLFlag)=1, INDEX(TransTypes[], Transactions[[#This Row],[TTR]], TT_COL_ShareTransferFlag)=1),
            Transactions[[#This Row],[CostImpact]]*-1,
            Transactions[[#This Row],[CalCashImpact]]
      ),
     0
)</f>
        <v>0</v>
      </c>
      <c r="Y1035" s="168" t="str">
        <f>VLOOKUP(Transactions[[#This Row],[Symbol]],Symbols[], COLUMN(Symbols[Currency])-COLUMN(Symbols[])+1,FALSE)</f>
        <v>CNY</v>
      </c>
    </row>
    <row r="1036" spans="1:25">
      <c r="A1036" s="155" t="s">
        <v>82</v>
      </c>
      <c r="B1036" s="156">
        <v>42424</v>
      </c>
      <c r="C1036" s="155" t="s">
        <v>115</v>
      </c>
      <c r="D1036" s="155"/>
      <c r="E1036" s="155" t="s">
        <v>467</v>
      </c>
      <c r="F1036" s="157">
        <v>500</v>
      </c>
      <c r="G1036" s="158">
        <v>40.94</v>
      </c>
      <c r="H1036" s="157">
        <v>28.66</v>
      </c>
      <c r="I1036" s="157"/>
      <c r="J1036" s="159">
        <v>20441.34</v>
      </c>
      <c r="K1036" s="6" t="s">
        <v>641</v>
      </c>
      <c r="L1036" s="20">
        <f>IF(ISNA(MATCH(Transactions[[#This Row],[TransType]],TransTypes[TransType],0)),1,MATCH(Transactions[[#This Row],[TransType]],TransTypes[TransType],0))</f>
        <v>3</v>
      </c>
      <c r="M1036" s="160">
        <f>IF( AND( INDEX(TransTypes[],Transactions[[#This Row],[TTR]],TT_COL_GLFlag)=1, INDEX(TransTypes[],Transactions[[#This Row],[TTR]],TT_COL_LONGORSHORT)="S" ),
      Transactions[[#This Row],[PL]],
      IF(INDEX(TransTypes[],Transactions[[#This Row],[TTR]],TT_COL_LONGORSHORT)="S",0,Transactions[[#This Row],[CalCashImpact]])
)</f>
        <v>20441.34</v>
      </c>
      <c r="N1036" s="161">
        <f>IF(VLOOKUP(Transactions[[#This Row],[Symbol]],Symbols[],COLUMN(Symbols[Currency])-COLUMN(Symbols[])+1,FALSE)=
       VLOOKUP(Transactions[[#This Row],[Account]],Accounts[],COLUMN(Accounts[Currency])-COLUMN(Accounts[])+1,FALSE),
     Transactions[[#This Row],[OrigCashImpact]],
     0
)</f>
        <v>20441.34</v>
      </c>
      <c r="O10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1395713.7999999991</v>
      </c>
      <c r="P10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036" s="41">
        <f>ROW()</f>
        <v>1036</v>
      </c>
      <c r="S10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-20851.671666666669</v>
      </c>
      <c r="T10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41703.343333333331</v>
      </c>
      <c r="U10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1036" s="166">
        <f>IF(INDEX(TransTypes[],Transactions[[#This Row],[TTR]],TT_COL_GLFlag)=1,Transactions[[#This Row],[CalCashImpact]]+Transactions[[#This Row],[CostImpact]],0)</f>
        <v>-410.33166666666875</v>
      </c>
      <c r="W1036" s="167">
        <f>Transactions[[#This Row],[Amount]]*INDEX(TransTypes[],Transactions[[#This Row],[TTR]],TT_COL_AmntSign)</f>
        <v>20441.34</v>
      </c>
      <c r="X1036" s="167">
        <f>IF(INDEX(TransTypes[],Transactions[[#This Row],[TTR]],TT_COL_LONGORSHORT)="S",
      IF( OR(INDEX(TransTypes[],Transactions[[#This Row],[TTR]],TT_COL_GLFlag)=1, INDEX(TransTypes[], Transactions[[#This Row],[TTR]], TT_COL_ShareTransferFlag)=1),
            Transactions[[#This Row],[CostImpact]]*-1,
            Transactions[[#This Row],[CalCashImpact]]
      ),
     0
)</f>
        <v>0</v>
      </c>
      <c r="Y1036" s="168" t="str">
        <f>VLOOKUP(Transactions[[#This Row],[Symbol]],Symbols[], COLUMN(Symbols[Currency])-COLUMN(Symbols[])+1,FALSE)</f>
        <v>CNY</v>
      </c>
    </row>
    <row r="1037" spans="1:25">
      <c r="A1037" s="155" t="s">
        <v>82</v>
      </c>
      <c r="B1037" s="156">
        <v>42424</v>
      </c>
      <c r="C1037" s="155" t="s">
        <v>115</v>
      </c>
      <c r="D1037" s="155"/>
      <c r="E1037" s="155" t="s">
        <v>644</v>
      </c>
      <c r="F1037" s="157">
        <v>500</v>
      </c>
      <c r="G1037" s="158">
        <v>55.59</v>
      </c>
      <c r="H1037" s="157">
        <v>38.92</v>
      </c>
      <c r="I1037" s="157"/>
      <c r="J1037" s="159">
        <v>27756.080000000002</v>
      </c>
      <c r="K1037" s="6" t="s">
        <v>641</v>
      </c>
      <c r="L1037" s="20">
        <f>IF(ISNA(MATCH(Transactions[[#This Row],[TransType]],TransTypes[TransType],0)),1,MATCH(Transactions[[#This Row],[TransType]],TransTypes[TransType],0))</f>
        <v>3</v>
      </c>
      <c r="M1037" s="160">
        <f>IF( AND( INDEX(TransTypes[],Transactions[[#This Row],[TTR]],TT_COL_GLFlag)=1, INDEX(TransTypes[],Transactions[[#This Row],[TTR]],TT_COL_LONGORSHORT)="S" ),
      Transactions[[#This Row],[PL]],
      IF(INDEX(TransTypes[],Transactions[[#This Row],[TTR]],TT_COL_LONGORSHORT)="S",0,Transactions[[#This Row],[CalCashImpact]])
)</f>
        <v>27756.080000000002</v>
      </c>
      <c r="N1037" s="161">
        <f>IF(VLOOKUP(Transactions[[#This Row],[Symbol]],Symbols[],COLUMN(Symbols[Currency])-COLUMN(Symbols[])+1,FALSE)=
       VLOOKUP(Transactions[[#This Row],[Account]],Accounts[],COLUMN(Accounts[Currency])-COLUMN(Accounts[])+1,FALSE),
     Transactions[[#This Row],[OrigCashImpact]],
     0
)</f>
        <v>27756.080000000002</v>
      </c>
      <c r="O10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1423469.879999999</v>
      </c>
      <c r="P10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037" s="41">
        <f>ROW()</f>
        <v>1037</v>
      </c>
      <c r="S10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-26711.513333333336</v>
      </c>
      <c r="T10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53423.026666666672</v>
      </c>
      <c r="U10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1037" s="166">
        <f>IF(INDEX(TransTypes[],Transactions[[#This Row],[TTR]],TT_COL_GLFlag)=1,Transactions[[#This Row],[CalCashImpact]]+Transactions[[#This Row],[CostImpact]],0)</f>
        <v>1044.5666666666657</v>
      </c>
      <c r="W1037" s="167">
        <f>Transactions[[#This Row],[Amount]]*INDEX(TransTypes[],Transactions[[#This Row],[TTR]],TT_COL_AmntSign)</f>
        <v>27756.080000000002</v>
      </c>
      <c r="X1037" s="167">
        <f>IF(INDEX(TransTypes[],Transactions[[#This Row],[TTR]],TT_COL_LONGORSHORT)="S",
      IF( OR(INDEX(TransTypes[],Transactions[[#This Row],[TTR]],TT_COL_GLFlag)=1, INDEX(TransTypes[], Transactions[[#This Row],[TTR]], TT_COL_ShareTransferFlag)=1),
            Transactions[[#This Row],[CostImpact]]*-1,
            Transactions[[#This Row],[CalCashImpact]]
      ),
     0
)</f>
        <v>0</v>
      </c>
      <c r="Y1037" s="168" t="str">
        <f>VLOOKUP(Transactions[[#This Row],[Symbol]],Symbols[], COLUMN(Symbols[Currency])-COLUMN(Symbols[])+1,FALSE)</f>
        <v>CNY</v>
      </c>
    </row>
    <row r="1038" spans="1:25">
      <c r="A1038" s="155" t="s">
        <v>82</v>
      </c>
      <c r="B1038" s="156">
        <v>42424</v>
      </c>
      <c r="C1038" s="155" t="s">
        <v>115</v>
      </c>
      <c r="D1038" s="155"/>
      <c r="E1038" s="155" t="s">
        <v>468</v>
      </c>
      <c r="F1038" s="157">
        <v>1000</v>
      </c>
      <c r="G1038" s="158">
        <v>30.29</v>
      </c>
      <c r="H1038" s="157">
        <v>43.02</v>
      </c>
      <c r="I1038" s="157"/>
      <c r="J1038" s="159">
        <v>30246.98</v>
      </c>
      <c r="K1038" s="6" t="s">
        <v>641</v>
      </c>
      <c r="L1038" s="20">
        <f>IF(ISNA(MATCH(Transactions[[#This Row],[TransType]],TransTypes[TransType],0)),1,MATCH(Transactions[[#This Row],[TransType]],TransTypes[TransType],0))</f>
        <v>3</v>
      </c>
      <c r="M1038" s="160">
        <f>IF( AND( INDEX(TransTypes[],Transactions[[#This Row],[TTR]],TT_COL_GLFlag)=1, INDEX(TransTypes[],Transactions[[#This Row],[TTR]],TT_COL_LONGORSHORT)="S" ),
      Transactions[[#This Row],[PL]],
      IF(INDEX(TransTypes[],Transactions[[#This Row],[TTR]],TT_COL_LONGORSHORT)="S",0,Transactions[[#This Row],[CalCashImpact]])
)</f>
        <v>30246.98</v>
      </c>
      <c r="N1038" s="161">
        <f>IF(VLOOKUP(Transactions[[#This Row],[Symbol]],Symbols[],COLUMN(Symbols[Currency])-COLUMN(Symbols[])+1,FALSE)=
       VLOOKUP(Transactions[[#This Row],[Account]],Accounts[],COLUMN(Accounts[Currency])-COLUMN(Accounts[])+1,FALSE),
     Transactions[[#This Row],[OrigCashImpact]],
     0
)</f>
        <v>30246.98</v>
      </c>
      <c r="O10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1453716.8599999989</v>
      </c>
      <c r="P10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38" s="41">
        <f>ROW()</f>
        <v>1038</v>
      </c>
      <c r="S10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-31113.06</v>
      </c>
      <c r="T10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038" s="166">
        <f>IF(INDEX(TransTypes[],Transactions[[#This Row],[TTR]],TT_COL_GLFlag)=1,Transactions[[#This Row],[CalCashImpact]]+Transactions[[#This Row],[CostImpact]],0)</f>
        <v>-866.08000000000175</v>
      </c>
      <c r="W1038" s="167">
        <f>Transactions[[#This Row],[Amount]]*INDEX(TransTypes[],Transactions[[#This Row],[TTR]],TT_COL_AmntSign)</f>
        <v>30246.98</v>
      </c>
      <c r="X1038" s="167">
        <f>IF(INDEX(TransTypes[],Transactions[[#This Row],[TTR]],TT_COL_LONGORSHORT)="S",
      IF( OR(INDEX(TransTypes[],Transactions[[#This Row],[TTR]],TT_COL_GLFlag)=1, INDEX(TransTypes[], Transactions[[#This Row],[TTR]], TT_COL_ShareTransferFlag)=1),
            Transactions[[#This Row],[CostImpact]]*-1,
            Transactions[[#This Row],[CalCashImpact]]
      ),
     0
)</f>
        <v>0</v>
      </c>
      <c r="Y1038" s="168" t="str">
        <f>VLOOKUP(Transactions[[#This Row],[Symbol]],Symbols[], COLUMN(Symbols[Currency])-COLUMN(Symbols[])+1,FALSE)</f>
        <v>CNY</v>
      </c>
    </row>
    <row r="1039" spans="1:25">
      <c r="A1039" s="155" t="s">
        <v>82</v>
      </c>
      <c r="B1039" s="156">
        <v>42424</v>
      </c>
      <c r="C1039" s="155" t="s">
        <v>113</v>
      </c>
      <c r="D1039" s="155"/>
      <c r="E1039" s="155" t="s">
        <v>683</v>
      </c>
      <c r="F1039" s="157">
        <v>5000</v>
      </c>
      <c r="G1039" s="158">
        <v>15.318</v>
      </c>
      <c r="H1039" s="157">
        <v>30.64</v>
      </c>
      <c r="I1039" s="157"/>
      <c r="J1039" s="159">
        <v>76620.639999999999</v>
      </c>
      <c r="K1039" s="6" t="s">
        <v>641</v>
      </c>
      <c r="L1039" s="20">
        <f>IF(ISNA(MATCH(Transactions[[#This Row],[TransType]],TransTypes[TransType],0)),1,MATCH(Transactions[[#This Row],[TransType]],TransTypes[TransType],0))</f>
        <v>2</v>
      </c>
      <c r="M1039" s="160">
        <f>IF( AND( INDEX(TransTypes[],Transactions[[#This Row],[TTR]],TT_COL_GLFlag)=1, INDEX(TransTypes[],Transactions[[#This Row],[TTR]],TT_COL_LONGORSHORT)="S" ),
      Transactions[[#This Row],[PL]],
      IF(INDEX(TransTypes[],Transactions[[#This Row],[TTR]],TT_COL_LONGORSHORT)="S",0,Transactions[[#This Row],[CalCashImpact]])
)</f>
        <v>-76620.639999999999</v>
      </c>
      <c r="N1039" s="161">
        <f>IF(VLOOKUP(Transactions[[#This Row],[Symbol]],Symbols[],COLUMN(Symbols[Currency])-COLUMN(Symbols[])+1,FALSE)=
       VLOOKUP(Transactions[[#This Row],[Account]],Accounts[],COLUMN(Accounts[Currency])-COLUMN(Accounts[])+1,FALSE),
     Transactions[[#This Row],[OrigCashImpact]],
     0
)</f>
        <v>-76620.639999999999</v>
      </c>
      <c r="O10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1377096.219999999</v>
      </c>
      <c r="P10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0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039" s="41">
        <f>ROW()</f>
        <v>1039</v>
      </c>
      <c r="S10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76620.639999999999</v>
      </c>
      <c r="T10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76620.639999999999</v>
      </c>
      <c r="U10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39" s="166">
        <f>IF(INDEX(TransTypes[],Transactions[[#This Row],[TTR]],TT_COL_GLFlag)=1,Transactions[[#This Row],[CalCashImpact]]+Transactions[[#This Row],[CostImpact]],0)</f>
        <v>0</v>
      </c>
      <c r="W1039" s="167">
        <f>Transactions[[#This Row],[Amount]]*INDEX(TransTypes[],Transactions[[#This Row],[TTR]],TT_COL_AmntSign)</f>
        <v>-76620.639999999999</v>
      </c>
      <c r="X1039" s="167">
        <f>IF(INDEX(TransTypes[],Transactions[[#This Row],[TTR]],TT_COL_LONGORSHORT)="S",
      IF( OR(INDEX(TransTypes[],Transactions[[#This Row],[TTR]],TT_COL_GLFlag)=1, INDEX(TransTypes[], Transactions[[#This Row],[TTR]], TT_COL_ShareTransferFlag)=1),
            Transactions[[#This Row],[CostImpact]]*-1,
            Transactions[[#This Row],[CalCashImpact]]
      ),
     0
)</f>
        <v>0</v>
      </c>
      <c r="Y1039" s="168" t="str">
        <f>VLOOKUP(Transactions[[#This Row],[Symbol]],Symbols[], COLUMN(Symbols[Currency])-COLUMN(Symbols[])+1,FALSE)</f>
        <v>CNY</v>
      </c>
    </row>
    <row r="1040" spans="1:25">
      <c r="A1040" s="155" t="s">
        <v>82</v>
      </c>
      <c r="B1040" s="156">
        <v>42424</v>
      </c>
      <c r="C1040" s="155" t="s">
        <v>113</v>
      </c>
      <c r="D1040" s="155"/>
      <c r="E1040" s="155" t="s">
        <v>485</v>
      </c>
      <c r="F1040" s="157">
        <v>4000</v>
      </c>
      <c r="G1040" s="158">
        <v>13.16</v>
      </c>
      <c r="H1040" s="157">
        <v>22.11</v>
      </c>
      <c r="I1040" s="157"/>
      <c r="J1040" s="159">
        <v>52662.11</v>
      </c>
      <c r="K1040" s="6" t="s">
        <v>641</v>
      </c>
      <c r="L1040" s="20">
        <f>IF(ISNA(MATCH(Transactions[[#This Row],[TransType]],TransTypes[TransType],0)),1,MATCH(Transactions[[#This Row],[TransType]],TransTypes[TransType],0))</f>
        <v>2</v>
      </c>
      <c r="M1040" s="160">
        <f>IF( AND( INDEX(TransTypes[],Transactions[[#This Row],[TTR]],TT_COL_GLFlag)=1, INDEX(TransTypes[],Transactions[[#This Row],[TTR]],TT_COL_LONGORSHORT)="S" ),
      Transactions[[#This Row],[PL]],
      IF(INDEX(TransTypes[],Transactions[[#This Row],[TTR]],TT_COL_LONGORSHORT)="S",0,Transactions[[#This Row],[CalCashImpact]])
)</f>
        <v>-52662.11</v>
      </c>
      <c r="N1040" s="161">
        <f>IF(VLOOKUP(Transactions[[#This Row],[Symbol]],Symbols[],COLUMN(Symbols[Currency])-COLUMN(Symbols[])+1,FALSE)=
       VLOOKUP(Transactions[[#This Row],[Account]],Accounts[],COLUMN(Accounts[Currency])-COLUMN(Accounts[])+1,FALSE),
     Transactions[[#This Row],[OrigCashImpact]],
     0
)</f>
        <v>-52662.11</v>
      </c>
      <c r="O10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1324434.1099999989</v>
      </c>
      <c r="P10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0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040" s="41">
        <f>ROW()</f>
        <v>1040</v>
      </c>
      <c r="S10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52662.11</v>
      </c>
      <c r="T10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52662.11</v>
      </c>
      <c r="U10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40" s="166">
        <f>IF(INDEX(TransTypes[],Transactions[[#This Row],[TTR]],TT_COL_GLFlag)=1,Transactions[[#This Row],[CalCashImpact]]+Transactions[[#This Row],[CostImpact]],0)</f>
        <v>0</v>
      </c>
      <c r="W1040" s="167">
        <f>Transactions[[#This Row],[Amount]]*INDEX(TransTypes[],Transactions[[#This Row],[TTR]],TT_COL_AmntSign)</f>
        <v>-52662.11</v>
      </c>
      <c r="X1040" s="167">
        <f>IF(INDEX(TransTypes[],Transactions[[#This Row],[TTR]],TT_COL_LONGORSHORT)="S",
      IF( OR(INDEX(TransTypes[],Transactions[[#This Row],[TTR]],TT_COL_GLFlag)=1, INDEX(TransTypes[], Transactions[[#This Row],[TTR]], TT_COL_ShareTransferFlag)=1),
            Transactions[[#This Row],[CostImpact]]*-1,
            Transactions[[#This Row],[CalCashImpact]]
      ),
     0
)</f>
        <v>0</v>
      </c>
      <c r="Y1040" s="168" t="str">
        <f>VLOOKUP(Transactions[[#This Row],[Symbol]],Symbols[], COLUMN(Symbols[Currency])-COLUMN(Symbols[])+1,FALSE)</f>
        <v>CNY</v>
      </c>
    </row>
    <row r="1041" spans="1:25">
      <c r="A1041" s="155" t="s">
        <v>82</v>
      </c>
      <c r="B1041" s="156">
        <v>42425</v>
      </c>
      <c r="C1041" s="155" t="s">
        <v>115</v>
      </c>
      <c r="D1041" s="155"/>
      <c r="E1041" s="155" t="s">
        <v>683</v>
      </c>
      <c r="F1041" s="157">
        <v>2000</v>
      </c>
      <c r="G1041" s="158">
        <v>14.79</v>
      </c>
      <c r="H1041" s="157">
        <v>41.41</v>
      </c>
      <c r="I1041" s="157"/>
      <c r="J1041" s="159">
        <v>29538.59</v>
      </c>
      <c r="K1041" s="6" t="s">
        <v>641</v>
      </c>
      <c r="L1041" s="20">
        <f>IF(ISNA(MATCH(Transactions[[#This Row],[TransType]],TransTypes[TransType],0)),1,MATCH(Transactions[[#This Row],[TransType]],TransTypes[TransType],0))</f>
        <v>3</v>
      </c>
      <c r="M1041" s="160">
        <f>IF( AND( INDEX(TransTypes[],Transactions[[#This Row],[TTR]],TT_COL_GLFlag)=1, INDEX(TransTypes[],Transactions[[#This Row],[TTR]],TT_COL_LONGORSHORT)="S" ),
      Transactions[[#This Row],[PL]],
      IF(INDEX(TransTypes[],Transactions[[#This Row],[TTR]],TT_COL_LONGORSHORT)="S",0,Transactions[[#This Row],[CalCashImpact]])
)</f>
        <v>29538.59</v>
      </c>
      <c r="N1041" s="161">
        <f>IF(VLOOKUP(Transactions[[#This Row],[Symbol]],Symbols[],COLUMN(Symbols[Currency])-COLUMN(Symbols[])+1,FALSE)=
       VLOOKUP(Transactions[[#This Row],[Account]],Accounts[],COLUMN(Accounts[Currency])-COLUMN(Accounts[])+1,FALSE),
     Transactions[[#This Row],[OrigCashImpact]],
     0
)</f>
        <v>29538.59</v>
      </c>
      <c r="O10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1353972.6999999993</v>
      </c>
      <c r="P10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41" s="41">
        <f>ROW()</f>
        <v>1041</v>
      </c>
      <c r="S10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-30648.256000000001</v>
      </c>
      <c r="T10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45972.383999999998</v>
      </c>
      <c r="U10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41" s="166">
        <f>IF(INDEX(TransTypes[],Transactions[[#This Row],[TTR]],TT_COL_GLFlag)=1,Transactions[[#This Row],[CalCashImpact]]+Transactions[[#This Row],[CostImpact]],0)</f>
        <v>-1109.6660000000011</v>
      </c>
      <c r="W1041" s="167">
        <f>Transactions[[#This Row],[Amount]]*INDEX(TransTypes[],Transactions[[#This Row],[TTR]],TT_COL_AmntSign)</f>
        <v>29538.59</v>
      </c>
      <c r="X1041" s="167">
        <f>IF(INDEX(TransTypes[],Transactions[[#This Row],[TTR]],TT_COL_LONGORSHORT)="S",
      IF( OR(INDEX(TransTypes[],Transactions[[#This Row],[TTR]],TT_COL_GLFlag)=1, INDEX(TransTypes[], Transactions[[#This Row],[TTR]], TT_COL_ShareTransferFlag)=1),
            Transactions[[#This Row],[CostImpact]]*-1,
            Transactions[[#This Row],[CalCashImpact]]
      ),
     0
)</f>
        <v>0</v>
      </c>
      <c r="Y1041" s="168" t="str">
        <f>VLOOKUP(Transactions[[#This Row],[Symbol]],Symbols[], COLUMN(Symbols[Currency])-COLUMN(Symbols[])+1,FALSE)</f>
        <v>CNY</v>
      </c>
    </row>
    <row r="1042" spans="1:25">
      <c r="A1042" s="155" t="s">
        <v>82</v>
      </c>
      <c r="B1042" s="156">
        <v>42425</v>
      </c>
      <c r="C1042" s="155" t="s">
        <v>115</v>
      </c>
      <c r="D1042" s="155"/>
      <c r="E1042" s="155" t="s">
        <v>644</v>
      </c>
      <c r="F1042" s="157">
        <v>500</v>
      </c>
      <c r="G1042" s="158">
        <v>54.22</v>
      </c>
      <c r="H1042" s="157">
        <v>37.950000000000003</v>
      </c>
      <c r="I1042" s="157"/>
      <c r="J1042" s="159">
        <v>27072.05</v>
      </c>
      <c r="K1042" s="6" t="s">
        <v>641</v>
      </c>
      <c r="L1042" s="20">
        <f>IF(ISNA(MATCH(Transactions[[#This Row],[TransType]],TransTypes[TransType],0)),1,MATCH(Transactions[[#This Row],[TransType]],TransTypes[TransType],0))</f>
        <v>3</v>
      </c>
      <c r="M1042" s="160">
        <f>IF( AND( INDEX(TransTypes[],Transactions[[#This Row],[TTR]],TT_COL_GLFlag)=1, INDEX(TransTypes[],Transactions[[#This Row],[TTR]],TT_COL_LONGORSHORT)="S" ),
      Transactions[[#This Row],[PL]],
      IF(INDEX(TransTypes[],Transactions[[#This Row],[TTR]],TT_COL_LONGORSHORT)="S",0,Transactions[[#This Row],[CalCashImpact]])
)</f>
        <v>27072.05</v>
      </c>
      <c r="N1042" s="161">
        <f>IF(VLOOKUP(Transactions[[#This Row],[Symbol]],Symbols[],COLUMN(Symbols[Currency])-COLUMN(Symbols[])+1,FALSE)=
       VLOOKUP(Transactions[[#This Row],[Account]],Accounts[],COLUMN(Accounts[Currency])-COLUMN(Accounts[])+1,FALSE),
     Transactions[[#This Row],[OrigCashImpact]],
     0
)</f>
        <v>27072.05</v>
      </c>
      <c r="O10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1381044.7499999991</v>
      </c>
      <c r="P10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042" s="41">
        <f>ROW()</f>
        <v>1042</v>
      </c>
      <c r="S10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-26711.513333333336</v>
      </c>
      <c r="T10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26711.513333333336</v>
      </c>
      <c r="U10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042" s="166">
        <f>IF(INDEX(TransTypes[],Transactions[[#This Row],[TTR]],TT_COL_GLFlag)=1,Transactions[[#This Row],[CalCashImpact]]+Transactions[[#This Row],[CostImpact]],0)</f>
        <v>360.53666666666322</v>
      </c>
      <c r="W1042" s="167">
        <f>Transactions[[#This Row],[Amount]]*INDEX(TransTypes[],Transactions[[#This Row],[TTR]],TT_COL_AmntSign)</f>
        <v>27072.05</v>
      </c>
      <c r="X1042" s="167">
        <f>IF(INDEX(TransTypes[],Transactions[[#This Row],[TTR]],TT_COL_LONGORSHORT)="S",
      IF( OR(INDEX(TransTypes[],Transactions[[#This Row],[TTR]],TT_COL_GLFlag)=1, INDEX(TransTypes[], Transactions[[#This Row],[TTR]], TT_COL_ShareTransferFlag)=1),
            Transactions[[#This Row],[CostImpact]]*-1,
            Transactions[[#This Row],[CalCashImpact]]
      ),
     0
)</f>
        <v>0</v>
      </c>
      <c r="Y1042" s="168" t="str">
        <f>VLOOKUP(Transactions[[#This Row],[Symbol]],Symbols[], COLUMN(Symbols[Currency])-COLUMN(Symbols[])+1,FALSE)</f>
        <v>CNY</v>
      </c>
    </row>
    <row r="1043" spans="1:25">
      <c r="A1043" s="155" t="s">
        <v>82</v>
      </c>
      <c r="B1043" s="156">
        <v>42425</v>
      </c>
      <c r="C1043" s="155" t="s">
        <v>115</v>
      </c>
      <c r="D1043" s="155"/>
      <c r="E1043" s="155" t="s">
        <v>647</v>
      </c>
      <c r="F1043" s="157">
        <v>500</v>
      </c>
      <c r="G1043" s="158">
        <v>30.28</v>
      </c>
      <c r="H1043" s="157">
        <v>21.2</v>
      </c>
      <c r="I1043" s="157"/>
      <c r="J1043" s="159">
        <v>15118.8</v>
      </c>
      <c r="K1043" s="6" t="s">
        <v>641</v>
      </c>
      <c r="L1043" s="20">
        <f>IF(ISNA(MATCH(Transactions[[#This Row],[TransType]],TransTypes[TransType],0)),1,MATCH(Transactions[[#This Row],[TransType]],TransTypes[TransType],0))</f>
        <v>3</v>
      </c>
      <c r="M1043" s="160">
        <f>IF( AND( INDEX(TransTypes[],Transactions[[#This Row],[TTR]],TT_COL_GLFlag)=1, INDEX(TransTypes[],Transactions[[#This Row],[TTR]],TT_COL_LONGORSHORT)="S" ),
      Transactions[[#This Row],[PL]],
      IF(INDEX(TransTypes[],Transactions[[#This Row],[TTR]],TT_COL_LONGORSHORT)="S",0,Transactions[[#This Row],[CalCashImpact]])
)</f>
        <v>15118.8</v>
      </c>
      <c r="N1043" s="161">
        <f>IF(VLOOKUP(Transactions[[#This Row],[Symbol]],Symbols[],COLUMN(Symbols[Currency])-COLUMN(Symbols[])+1,FALSE)=
       VLOOKUP(Transactions[[#This Row],[Account]],Accounts[],COLUMN(Accounts[Currency])-COLUMN(Accounts[])+1,FALSE),
     Transactions[[#This Row],[OrigCashImpact]],
     0
)</f>
        <v>15118.8</v>
      </c>
      <c r="O10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1396163.5499999991</v>
      </c>
      <c r="P10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43" s="41">
        <f>ROW()</f>
        <v>1043</v>
      </c>
      <c r="S10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-14765.903750000001</v>
      </c>
      <c r="T10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59063.615000000005</v>
      </c>
      <c r="U10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v>
      </c>
      <c r="V1043" s="166">
        <f>IF(INDEX(TransTypes[],Transactions[[#This Row],[TTR]],TT_COL_GLFlag)=1,Transactions[[#This Row],[CalCashImpact]]+Transactions[[#This Row],[CostImpact]],0)</f>
        <v>352.89624999999796</v>
      </c>
      <c r="W1043" s="167">
        <f>Transactions[[#This Row],[Amount]]*INDEX(TransTypes[],Transactions[[#This Row],[TTR]],TT_COL_AmntSign)</f>
        <v>15118.8</v>
      </c>
      <c r="X1043" s="167">
        <f>IF(INDEX(TransTypes[],Transactions[[#This Row],[TTR]],TT_COL_LONGORSHORT)="S",
      IF( OR(INDEX(TransTypes[],Transactions[[#This Row],[TTR]],TT_COL_GLFlag)=1, INDEX(TransTypes[], Transactions[[#This Row],[TTR]], TT_COL_ShareTransferFlag)=1),
            Transactions[[#This Row],[CostImpact]]*-1,
            Transactions[[#This Row],[CalCashImpact]]
      ),
     0
)</f>
        <v>0</v>
      </c>
      <c r="Y1043" s="168" t="str">
        <f>VLOOKUP(Transactions[[#This Row],[Symbol]],Symbols[], COLUMN(Symbols[Currency])-COLUMN(Symbols[])+1,FALSE)</f>
        <v>CNY</v>
      </c>
    </row>
    <row r="1044" spans="1:25">
      <c r="A1044" s="155" t="s">
        <v>82</v>
      </c>
      <c r="B1044" s="156">
        <v>42425</v>
      </c>
      <c r="C1044" s="155" t="s">
        <v>115</v>
      </c>
      <c r="D1044" s="155"/>
      <c r="E1044" s="155" t="s">
        <v>642</v>
      </c>
      <c r="F1044" s="157">
        <v>500</v>
      </c>
      <c r="G1044" s="158">
        <v>26.13</v>
      </c>
      <c r="H1044" s="157">
        <v>18.29</v>
      </c>
      <c r="I1044" s="157"/>
      <c r="J1044" s="159">
        <v>13046.71</v>
      </c>
      <c r="K1044" s="6" t="s">
        <v>641</v>
      </c>
      <c r="L1044" s="20">
        <f>IF(ISNA(MATCH(Transactions[[#This Row],[TransType]],TransTypes[TransType],0)),1,MATCH(Transactions[[#This Row],[TransType]],TransTypes[TransType],0))</f>
        <v>3</v>
      </c>
      <c r="M1044" s="160">
        <f>IF( AND( INDEX(TransTypes[],Transactions[[#This Row],[TTR]],TT_COL_GLFlag)=1, INDEX(TransTypes[],Transactions[[#This Row],[TTR]],TT_COL_LONGORSHORT)="S" ),
      Transactions[[#This Row],[PL]],
      IF(INDEX(TransTypes[],Transactions[[#This Row],[TTR]],TT_COL_LONGORSHORT)="S",0,Transactions[[#This Row],[CalCashImpact]])
)</f>
        <v>13046.71</v>
      </c>
      <c r="N1044" s="161">
        <f>IF(VLOOKUP(Transactions[[#This Row],[Symbol]],Symbols[],COLUMN(Symbols[Currency])-COLUMN(Symbols[])+1,FALSE)=
       VLOOKUP(Transactions[[#This Row],[Account]],Accounts[],COLUMN(Accounts[Currency])-COLUMN(Accounts[])+1,FALSE),
     Transactions[[#This Row],[OrigCashImpact]],
     0
)</f>
        <v>13046.71</v>
      </c>
      <c r="O10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1409210.2599999991</v>
      </c>
      <c r="P10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1044" s="41">
        <f>ROW()</f>
        <v>1044</v>
      </c>
      <c r="S10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-12648.39</v>
      </c>
      <c r="T10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63241.95</v>
      </c>
      <c r="U10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44" s="166">
        <f>IF(INDEX(TransTypes[],Transactions[[#This Row],[TTR]],TT_COL_GLFlag)=1,Transactions[[#This Row],[CalCashImpact]]+Transactions[[#This Row],[CostImpact]],0)</f>
        <v>398.31999999999971</v>
      </c>
      <c r="W1044" s="167">
        <f>Transactions[[#This Row],[Amount]]*INDEX(TransTypes[],Transactions[[#This Row],[TTR]],TT_COL_AmntSign)</f>
        <v>13046.71</v>
      </c>
      <c r="X1044" s="167">
        <f>IF(INDEX(TransTypes[],Transactions[[#This Row],[TTR]],TT_COL_LONGORSHORT)="S",
      IF( OR(INDEX(TransTypes[],Transactions[[#This Row],[TTR]],TT_COL_GLFlag)=1, INDEX(TransTypes[], Transactions[[#This Row],[TTR]], TT_COL_ShareTransferFlag)=1),
            Transactions[[#This Row],[CostImpact]]*-1,
            Transactions[[#This Row],[CalCashImpact]]
      ),
     0
)</f>
        <v>0</v>
      </c>
      <c r="Y1044" s="168" t="str">
        <f>VLOOKUP(Transactions[[#This Row],[Symbol]],Symbols[], COLUMN(Symbols[Currency])-COLUMN(Symbols[])+1,FALSE)</f>
        <v>CNY</v>
      </c>
    </row>
    <row r="1045" spans="1:25">
      <c r="A1045" s="155" t="s">
        <v>82</v>
      </c>
      <c r="B1045" s="156">
        <v>42425</v>
      </c>
      <c r="C1045" s="155" t="s">
        <v>115</v>
      </c>
      <c r="D1045" s="155"/>
      <c r="E1045" s="155" t="s">
        <v>485</v>
      </c>
      <c r="F1045" s="157">
        <v>2000</v>
      </c>
      <c r="G1045" s="158">
        <v>13.09</v>
      </c>
      <c r="H1045" s="157">
        <v>37.17</v>
      </c>
      <c r="I1045" s="157"/>
      <c r="J1045" s="159">
        <v>26142.83</v>
      </c>
      <c r="K1045" s="6" t="s">
        <v>641</v>
      </c>
      <c r="L1045" s="20">
        <f>IF(ISNA(MATCH(Transactions[[#This Row],[TransType]],TransTypes[TransType],0)),1,MATCH(Transactions[[#This Row],[TransType]],TransTypes[TransType],0))</f>
        <v>3</v>
      </c>
      <c r="M1045" s="160">
        <f>IF( AND( INDEX(TransTypes[],Transactions[[#This Row],[TTR]],TT_COL_GLFlag)=1, INDEX(TransTypes[],Transactions[[#This Row],[TTR]],TT_COL_LONGORSHORT)="S" ),
      Transactions[[#This Row],[PL]],
      IF(INDEX(TransTypes[],Transactions[[#This Row],[TTR]],TT_COL_LONGORSHORT)="S",0,Transactions[[#This Row],[CalCashImpact]])
)</f>
        <v>26142.83</v>
      </c>
      <c r="N1045" s="161">
        <f>IF(VLOOKUP(Transactions[[#This Row],[Symbol]],Symbols[],COLUMN(Symbols[Currency])-COLUMN(Symbols[])+1,FALSE)=
       VLOOKUP(Transactions[[#This Row],[Account]],Accounts[],COLUMN(Accounts[Currency])-COLUMN(Accounts[])+1,FALSE),
     Transactions[[#This Row],[OrigCashImpact]],
     0
)</f>
        <v>26142.83</v>
      </c>
      <c r="O10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1435353.0899999992</v>
      </c>
      <c r="P10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45" s="41">
        <f>ROW()</f>
        <v>1045</v>
      </c>
      <c r="S10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-26331.055</v>
      </c>
      <c r="T10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26331.055</v>
      </c>
      <c r="U10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45" s="166">
        <f>IF(INDEX(TransTypes[],Transactions[[#This Row],[TTR]],TT_COL_GLFlag)=1,Transactions[[#This Row],[CalCashImpact]]+Transactions[[#This Row],[CostImpact]],0)</f>
        <v>-188.22499999999854</v>
      </c>
      <c r="W1045" s="167">
        <f>Transactions[[#This Row],[Amount]]*INDEX(TransTypes[],Transactions[[#This Row],[TTR]],TT_COL_AmntSign)</f>
        <v>26142.83</v>
      </c>
      <c r="X1045" s="167">
        <f>IF(INDEX(TransTypes[],Transactions[[#This Row],[TTR]],TT_COL_LONGORSHORT)="S",
      IF( OR(INDEX(TransTypes[],Transactions[[#This Row],[TTR]],TT_COL_GLFlag)=1, INDEX(TransTypes[], Transactions[[#This Row],[TTR]], TT_COL_ShareTransferFlag)=1),
            Transactions[[#This Row],[CostImpact]]*-1,
            Transactions[[#This Row],[CalCashImpact]]
      ),
     0
)</f>
        <v>0</v>
      </c>
      <c r="Y1045" s="168" t="str">
        <f>VLOOKUP(Transactions[[#This Row],[Symbol]],Symbols[], COLUMN(Symbols[Currency])-COLUMN(Symbols[])+1,FALSE)</f>
        <v>CNY</v>
      </c>
    </row>
    <row r="1046" spans="1:25">
      <c r="A1046" s="155" t="s">
        <v>82</v>
      </c>
      <c r="B1046" s="156">
        <v>42425</v>
      </c>
      <c r="C1046" s="155" t="s">
        <v>115</v>
      </c>
      <c r="D1046" s="155"/>
      <c r="E1046" s="155" t="s">
        <v>464</v>
      </c>
      <c r="F1046" s="157">
        <v>100</v>
      </c>
      <c r="G1046" s="158">
        <v>216.63</v>
      </c>
      <c r="H1046" s="157">
        <v>30.76</v>
      </c>
      <c r="I1046" s="157"/>
      <c r="J1046" s="159">
        <v>21632.240000000002</v>
      </c>
      <c r="K1046" s="6" t="s">
        <v>641</v>
      </c>
      <c r="L1046" s="20">
        <f>IF(ISNA(MATCH(Transactions[[#This Row],[TransType]],TransTypes[TransType],0)),1,MATCH(Transactions[[#This Row],[TransType]],TransTypes[TransType],0))</f>
        <v>3</v>
      </c>
      <c r="M1046" s="160">
        <f>IF( AND( INDEX(TransTypes[],Transactions[[#This Row],[TTR]],TT_COL_GLFlag)=1, INDEX(TransTypes[],Transactions[[#This Row],[TTR]],TT_COL_LONGORSHORT)="S" ),
      Transactions[[#This Row],[PL]],
      IF(INDEX(TransTypes[],Transactions[[#This Row],[TTR]],TT_COL_LONGORSHORT)="S",0,Transactions[[#This Row],[CalCashImpact]])
)</f>
        <v>21632.240000000002</v>
      </c>
      <c r="N1046" s="161">
        <f>IF(VLOOKUP(Transactions[[#This Row],[Symbol]],Symbols[],COLUMN(Symbols[Currency])-COLUMN(Symbols[])+1,FALSE)=
       VLOOKUP(Transactions[[#This Row],[Account]],Accounts[],COLUMN(Accounts[Currency])-COLUMN(Accounts[])+1,FALSE),
     Transactions[[#This Row],[OrigCashImpact]],
     0
)</f>
        <v>21632.240000000002</v>
      </c>
      <c r="O10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1456985.3299999991</v>
      </c>
      <c r="P10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0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046" s="41">
        <f>ROW()</f>
        <v>1046</v>
      </c>
      <c r="S10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-20366.05</v>
      </c>
      <c r="T10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40732.099999999991</v>
      </c>
      <c r="U10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1046" s="166">
        <f>IF(INDEX(TransTypes[],Transactions[[#This Row],[TTR]],TT_COL_GLFlag)=1,Transactions[[#This Row],[CalCashImpact]]+Transactions[[#This Row],[CostImpact]],0)</f>
        <v>1266.1900000000023</v>
      </c>
      <c r="W1046" s="167">
        <f>Transactions[[#This Row],[Amount]]*INDEX(TransTypes[],Transactions[[#This Row],[TTR]],TT_COL_AmntSign)</f>
        <v>21632.240000000002</v>
      </c>
      <c r="X1046" s="167">
        <f>IF(INDEX(TransTypes[],Transactions[[#This Row],[TTR]],TT_COL_LONGORSHORT)="S",
      IF( OR(INDEX(TransTypes[],Transactions[[#This Row],[TTR]],TT_COL_GLFlag)=1, INDEX(TransTypes[], Transactions[[#This Row],[TTR]], TT_COL_ShareTransferFlag)=1),
            Transactions[[#This Row],[CostImpact]]*-1,
            Transactions[[#This Row],[CalCashImpact]]
      ),
     0
)</f>
        <v>0</v>
      </c>
      <c r="Y1046" s="168" t="str">
        <f>VLOOKUP(Transactions[[#This Row],[Symbol]],Symbols[], COLUMN(Symbols[Currency])-COLUMN(Symbols[])+1,FALSE)</f>
        <v>CNY</v>
      </c>
    </row>
    <row r="1047" spans="1:25">
      <c r="A1047" s="155" t="s">
        <v>82</v>
      </c>
      <c r="B1047" s="156">
        <v>42426</v>
      </c>
      <c r="C1047" s="155" t="s">
        <v>113</v>
      </c>
      <c r="D1047" s="155"/>
      <c r="E1047" s="155" t="s">
        <v>683</v>
      </c>
      <c r="F1047" s="157">
        <v>2000</v>
      </c>
      <c r="G1047" s="158">
        <v>14.55</v>
      </c>
      <c r="H1047" s="157">
        <v>11.64</v>
      </c>
      <c r="I1047" s="157"/>
      <c r="J1047" s="159">
        <v>29111.64</v>
      </c>
      <c r="K1047" s="6" t="s">
        <v>641</v>
      </c>
      <c r="L1047" s="20">
        <f>IF(ISNA(MATCH(Transactions[[#This Row],[TransType]],TransTypes[TransType],0)),1,MATCH(Transactions[[#This Row],[TransType]],TransTypes[TransType],0))</f>
        <v>2</v>
      </c>
      <c r="M1047" s="160">
        <f>IF( AND( INDEX(TransTypes[],Transactions[[#This Row],[TTR]],TT_COL_GLFlag)=1, INDEX(TransTypes[],Transactions[[#This Row],[TTR]],TT_COL_LONGORSHORT)="S" ),
      Transactions[[#This Row],[PL]],
      IF(INDEX(TransTypes[],Transactions[[#This Row],[TTR]],TT_COL_LONGORSHORT)="S",0,Transactions[[#This Row],[CalCashImpact]])
)</f>
        <v>-29111.64</v>
      </c>
      <c r="N1047" s="161">
        <f>IF(VLOOKUP(Transactions[[#This Row],[Symbol]],Symbols[],COLUMN(Symbols[Currency])-COLUMN(Symbols[])+1,FALSE)=
       VLOOKUP(Transactions[[#This Row],[Account]],Accounts[],COLUMN(Accounts[Currency])-COLUMN(Accounts[])+1,FALSE),
     Transactions[[#This Row],[OrigCashImpact]],
     0
)</f>
        <v>-29111.64</v>
      </c>
      <c r="O10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1427873.6899999995</v>
      </c>
      <c r="P10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047" s="41">
        <f>ROW()</f>
        <v>1047</v>
      </c>
      <c r="S10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29111.64</v>
      </c>
      <c r="T10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75084.024000000005</v>
      </c>
      <c r="U10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47" s="166">
        <f>IF(INDEX(TransTypes[],Transactions[[#This Row],[TTR]],TT_COL_GLFlag)=1,Transactions[[#This Row],[CalCashImpact]]+Transactions[[#This Row],[CostImpact]],0)</f>
        <v>0</v>
      </c>
      <c r="W1047" s="167">
        <f>Transactions[[#This Row],[Amount]]*INDEX(TransTypes[],Transactions[[#This Row],[TTR]],TT_COL_AmntSign)</f>
        <v>-29111.64</v>
      </c>
      <c r="X1047" s="167">
        <f>IF(INDEX(TransTypes[],Transactions[[#This Row],[TTR]],TT_COL_LONGORSHORT)="S",
      IF( OR(INDEX(TransTypes[],Transactions[[#This Row],[TTR]],TT_COL_GLFlag)=1, INDEX(TransTypes[], Transactions[[#This Row],[TTR]], TT_COL_ShareTransferFlag)=1),
            Transactions[[#This Row],[CostImpact]]*-1,
            Transactions[[#This Row],[CalCashImpact]]
      ),
     0
)</f>
        <v>0</v>
      </c>
      <c r="Y1047" s="168" t="str">
        <f>VLOOKUP(Transactions[[#This Row],[Symbol]],Symbols[], COLUMN(Symbols[Currency])-COLUMN(Symbols[])+1,FALSE)</f>
        <v>CNY</v>
      </c>
    </row>
    <row r="1048" spans="1:25">
      <c r="A1048" s="155" t="s">
        <v>82</v>
      </c>
      <c r="B1048" s="156">
        <v>42426</v>
      </c>
      <c r="C1048" s="155" t="s">
        <v>113</v>
      </c>
      <c r="D1048" s="155"/>
      <c r="E1048" s="155" t="s">
        <v>684</v>
      </c>
      <c r="F1048" s="157">
        <v>4000</v>
      </c>
      <c r="G1048" s="158">
        <v>18.05</v>
      </c>
      <c r="H1048" s="157">
        <v>30.32</v>
      </c>
      <c r="I1048" s="157"/>
      <c r="J1048" s="159">
        <v>72230.320000000007</v>
      </c>
      <c r="K1048" s="6" t="s">
        <v>641</v>
      </c>
      <c r="L1048" s="20">
        <f>IF(ISNA(MATCH(Transactions[[#This Row],[TransType]],TransTypes[TransType],0)),1,MATCH(Transactions[[#This Row],[TransType]],TransTypes[TransType],0))</f>
        <v>2</v>
      </c>
      <c r="M1048" s="160">
        <f>IF( AND( INDEX(TransTypes[],Transactions[[#This Row],[TTR]],TT_COL_GLFlag)=1, INDEX(TransTypes[],Transactions[[#This Row],[TTR]],TT_COL_LONGORSHORT)="S" ),
      Transactions[[#This Row],[PL]],
      IF(INDEX(TransTypes[],Transactions[[#This Row],[TTR]],TT_COL_LONGORSHORT)="S",0,Transactions[[#This Row],[CalCashImpact]])
)</f>
        <v>-72230.320000000007</v>
      </c>
      <c r="N1048" s="161">
        <f>IF(VLOOKUP(Transactions[[#This Row],[Symbol]],Symbols[],COLUMN(Symbols[Currency])-COLUMN(Symbols[])+1,FALSE)=
       VLOOKUP(Transactions[[#This Row],[Account]],Accounts[],COLUMN(Accounts[Currency])-COLUMN(Accounts[])+1,FALSE),
     Transactions[[#This Row],[OrigCashImpact]],
     0
)</f>
        <v>-72230.320000000007</v>
      </c>
      <c r="O10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1355643.3699999994</v>
      </c>
      <c r="P10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0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048" s="41">
        <f>ROW()</f>
        <v>1048</v>
      </c>
      <c r="S10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72230.320000000007</v>
      </c>
      <c r="T10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72230.320000000007</v>
      </c>
      <c r="U10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48" s="166">
        <f>IF(INDEX(TransTypes[],Transactions[[#This Row],[TTR]],TT_COL_GLFlag)=1,Transactions[[#This Row],[CalCashImpact]]+Transactions[[#This Row],[CostImpact]],0)</f>
        <v>0</v>
      </c>
      <c r="W1048" s="167">
        <f>Transactions[[#This Row],[Amount]]*INDEX(TransTypes[],Transactions[[#This Row],[TTR]],TT_COL_AmntSign)</f>
        <v>-72230.320000000007</v>
      </c>
      <c r="X1048" s="167">
        <f>IF(INDEX(TransTypes[],Transactions[[#This Row],[TTR]],TT_COL_LONGORSHORT)="S",
      IF( OR(INDEX(TransTypes[],Transactions[[#This Row],[TTR]],TT_COL_GLFlag)=1, INDEX(TransTypes[], Transactions[[#This Row],[TTR]], TT_COL_ShareTransferFlag)=1),
            Transactions[[#This Row],[CostImpact]]*-1,
            Transactions[[#This Row],[CalCashImpact]]
      ),
     0
)</f>
        <v>0</v>
      </c>
      <c r="Y1048" s="168" t="str">
        <f>VLOOKUP(Transactions[[#This Row],[Symbol]],Symbols[], COLUMN(Symbols[Currency])-COLUMN(Symbols[])+1,FALSE)</f>
        <v>CNY</v>
      </c>
    </row>
    <row r="1049" spans="1:25">
      <c r="A1049" s="155" t="s">
        <v>82</v>
      </c>
      <c r="B1049" s="156">
        <v>42426</v>
      </c>
      <c r="C1049" s="155" t="s">
        <v>113</v>
      </c>
      <c r="D1049" s="155"/>
      <c r="E1049" s="155" t="s">
        <v>485</v>
      </c>
      <c r="F1049" s="157">
        <v>2000</v>
      </c>
      <c r="G1049" s="158">
        <v>11.91</v>
      </c>
      <c r="H1049" s="157">
        <v>10.01</v>
      </c>
      <c r="I1049" s="157"/>
      <c r="J1049" s="159">
        <v>23830.01</v>
      </c>
      <c r="K1049" s="6" t="s">
        <v>641</v>
      </c>
      <c r="L1049" s="20">
        <f>IF(ISNA(MATCH(Transactions[[#This Row],[TransType]],TransTypes[TransType],0)),1,MATCH(Transactions[[#This Row],[TransType]],TransTypes[TransType],0))</f>
        <v>2</v>
      </c>
      <c r="M1049" s="160">
        <f>IF( AND( INDEX(TransTypes[],Transactions[[#This Row],[TTR]],TT_COL_GLFlag)=1, INDEX(TransTypes[],Transactions[[#This Row],[TTR]],TT_COL_LONGORSHORT)="S" ),
      Transactions[[#This Row],[PL]],
      IF(INDEX(TransTypes[],Transactions[[#This Row],[TTR]],TT_COL_LONGORSHORT)="S",0,Transactions[[#This Row],[CalCashImpact]])
)</f>
        <v>-23830.01</v>
      </c>
      <c r="N1049" s="161">
        <f>IF(VLOOKUP(Transactions[[#This Row],[Symbol]],Symbols[],COLUMN(Symbols[Currency])-COLUMN(Symbols[])+1,FALSE)=
       VLOOKUP(Transactions[[#This Row],[Account]],Accounts[],COLUMN(Accounts[Currency])-COLUMN(Accounts[])+1,FALSE),
     Transactions[[#This Row],[OrigCashImpact]],
     0
)</f>
        <v>-23830.01</v>
      </c>
      <c r="O10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1331813.3599999994</v>
      </c>
      <c r="P10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049" s="41">
        <f>ROW()</f>
        <v>1049</v>
      </c>
      <c r="S10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23830.01</v>
      </c>
      <c r="T10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50161.065000000002</v>
      </c>
      <c r="U10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49" s="166">
        <f>IF(INDEX(TransTypes[],Transactions[[#This Row],[TTR]],TT_COL_GLFlag)=1,Transactions[[#This Row],[CalCashImpact]]+Transactions[[#This Row],[CostImpact]],0)</f>
        <v>0</v>
      </c>
      <c r="W1049" s="167">
        <f>Transactions[[#This Row],[Amount]]*INDEX(TransTypes[],Transactions[[#This Row],[TTR]],TT_COL_AmntSign)</f>
        <v>-23830.01</v>
      </c>
      <c r="X1049" s="167">
        <f>IF(INDEX(TransTypes[],Transactions[[#This Row],[TTR]],TT_COL_LONGORSHORT)="S",
      IF( OR(INDEX(TransTypes[],Transactions[[#This Row],[TTR]],TT_COL_GLFlag)=1, INDEX(TransTypes[], Transactions[[#This Row],[TTR]], TT_COL_ShareTransferFlag)=1),
            Transactions[[#This Row],[CostImpact]]*-1,
            Transactions[[#This Row],[CalCashImpact]]
      ),
     0
)</f>
        <v>0</v>
      </c>
      <c r="Y1049" s="168" t="str">
        <f>VLOOKUP(Transactions[[#This Row],[Symbol]],Symbols[], COLUMN(Symbols[Currency])-COLUMN(Symbols[])+1,FALSE)</f>
        <v>CNY</v>
      </c>
    </row>
    <row r="1050" spans="1:25">
      <c r="A1050" s="155" t="s">
        <v>82</v>
      </c>
      <c r="B1050" s="156">
        <v>42429</v>
      </c>
      <c r="C1050" s="155" t="s">
        <v>113</v>
      </c>
      <c r="D1050" s="155"/>
      <c r="E1050" s="155" t="s">
        <v>683</v>
      </c>
      <c r="F1050" s="157">
        <v>2000</v>
      </c>
      <c r="G1050" s="158">
        <v>14.07</v>
      </c>
      <c r="H1050" s="157">
        <v>11.26</v>
      </c>
      <c r="I1050" s="157"/>
      <c r="J1050" s="159">
        <v>28151.26</v>
      </c>
      <c r="K1050" s="6" t="s">
        <v>641</v>
      </c>
      <c r="L1050" s="20">
        <f>IF(ISNA(MATCH(Transactions[[#This Row],[TransType]],TransTypes[TransType],0)),1,MATCH(Transactions[[#This Row],[TransType]],TransTypes[TransType],0))</f>
        <v>2</v>
      </c>
      <c r="M1050" s="160">
        <f>IF( AND( INDEX(TransTypes[],Transactions[[#This Row],[TTR]],TT_COL_GLFlag)=1, INDEX(TransTypes[],Transactions[[#This Row],[TTR]],TT_COL_LONGORSHORT)="S" ),
      Transactions[[#This Row],[PL]],
      IF(INDEX(TransTypes[],Transactions[[#This Row],[TTR]],TT_COL_LONGORSHORT)="S",0,Transactions[[#This Row],[CalCashImpact]])
)</f>
        <v>-28151.26</v>
      </c>
      <c r="N1050" s="161">
        <f>IF(VLOOKUP(Transactions[[#This Row],[Symbol]],Symbols[],COLUMN(Symbols[Currency])-COLUMN(Symbols[])+1,FALSE)=
       VLOOKUP(Transactions[[#This Row],[Account]],Accounts[],COLUMN(Accounts[Currency])-COLUMN(Accounts[])+1,FALSE),
     Transactions[[#This Row],[OrigCashImpact]],
     0
)</f>
        <v>-28151.26</v>
      </c>
      <c r="O10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1303662.0999999994</v>
      </c>
      <c r="P10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050" s="41">
        <f>ROW()</f>
        <v>1050</v>
      </c>
      <c r="S10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28151.26</v>
      </c>
      <c r="T10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103235.284</v>
      </c>
      <c r="U10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050" s="166">
        <f>IF(INDEX(TransTypes[],Transactions[[#This Row],[TTR]],TT_COL_GLFlag)=1,Transactions[[#This Row],[CalCashImpact]]+Transactions[[#This Row],[CostImpact]],0)</f>
        <v>0</v>
      </c>
      <c r="W1050" s="167">
        <f>Transactions[[#This Row],[Amount]]*INDEX(TransTypes[],Transactions[[#This Row],[TTR]],TT_COL_AmntSign)</f>
        <v>-28151.26</v>
      </c>
      <c r="X1050" s="167">
        <f>IF(INDEX(TransTypes[],Transactions[[#This Row],[TTR]],TT_COL_LONGORSHORT)="S",
      IF( OR(INDEX(TransTypes[],Transactions[[#This Row],[TTR]],TT_COL_GLFlag)=1, INDEX(TransTypes[], Transactions[[#This Row],[TTR]], TT_COL_ShareTransferFlag)=1),
            Transactions[[#This Row],[CostImpact]]*-1,
            Transactions[[#This Row],[CalCashImpact]]
      ),
     0
)</f>
        <v>0</v>
      </c>
      <c r="Y1050" s="168" t="str">
        <f>VLOOKUP(Transactions[[#This Row],[Symbol]],Symbols[], COLUMN(Symbols[Currency])-COLUMN(Symbols[])+1,FALSE)</f>
        <v>CNY</v>
      </c>
    </row>
    <row r="1051" spans="1:25">
      <c r="A1051" s="155" t="s">
        <v>82</v>
      </c>
      <c r="B1051" s="156">
        <v>42429</v>
      </c>
      <c r="C1051" s="155" t="s">
        <v>113</v>
      </c>
      <c r="D1051" s="155"/>
      <c r="E1051" s="155" t="s">
        <v>642</v>
      </c>
      <c r="F1051" s="157">
        <v>1000</v>
      </c>
      <c r="G1051" s="158">
        <v>26.15</v>
      </c>
      <c r="H1051" s="157">
        <v>10.46</v>
      </c>
      <c r="I1051" s="157"/>
      <c r="J1051" s="159">
        <v>26160.46</v>
      </c>
      <c r="K1051" s="6" t="s">
        <v>641</v>
      </c>
      <c r="L1051" s="20">
        <f>IF(ISNA(MATCH(Transactions[[#This Row],[TransType]],TransTypes[TransType],0)),1,MATCH(Transactions[[#This Row],[TransType]],TransTypes[TransType],0))</f>
        <v>2</v>
      </c>
      <c r="M1051" s="160">
        <f>IF( AND( INDEX(TransTypes[],Transactions[[#This Row],[TTR]],TT_COL_GLFlag)=1, INDEX(TransTypes[],Transactions[[#This Row],[TTR]],TT_COL_LONGORSHORT)="S" ),
      Transactions[[#This Row],[PL]],
      IF(INDEX(TransTypes[],Transactions[[#This Row],[TTR]],TT_COL_LONGORSHORT)="S",0,Transactions[[#This Row],[CalCashImpact]])
)</f>
        <v>-26160.46</v>
      </c>
      <c r="N1051" s="161">
        <f>IF(VLOOKUP(Transactions[[#This Row],[Symbol]],Symbols[],COLUMN(Symbols[Currency])-COLUMN(Symbols[])+1,FALSE)=
       VLOOKUP(Transactions[[#This Row],[Account]],Accounts[],COLUMN(Accounts[Currency])-COLUMN(Accounts[])+1,FALSE),
     Transactions[[#This Row],[OrigCashImpact]],
     0
)</f>
        <v>-26160.46</v>
      </c>
      <c r="O10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1277501.6399999994</v>
      </c>
      <c r="P10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1051" s="41">
        <f>ROW()</f>
        <v>1051</v>
      </c>
      <c r="S10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26160.46</v>
      </c>
      <c r="T10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89402.41</v>
      </c>
      <c r="U10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051" s="166">
        <f>IF(INDEX(TransTypes[],Transactions[[#This Row],[TTR]],TT_COL_GLFlag)=1,Transactions[[#This Row],[CalCashImpact]]+Transactions[[#This Row],[CostImpact]],0)</f>
        <v>0</v>
      </c>
      <c r="W1051" s="167">
        <f>Transactions[[#This Row],[Amount]]*INDEX(TransTypes[],Transactions[[#This Row],[TTR]],TT_COL_AmntSign)</f>
        <v>-26160.46</v>
      </c>
      <c r="X1051" s="167">
        <f>IF(INDEX(TransTypes[],Transactions[[#This Row],[TTR]],TT_COL_LONGORSHORT)="S",
      IF( OR(INDEX(TransTypes[],Transactions[[#This Row],[TTR]],TT_COL_GLFlag)=1, INDEX(TransTypes[], Transactions[[#This Row],[TTR]], TT_COL_ShareTransferFlag)=1),
            Transactions[[#This Row],[CostImpact]]*-1,
            Transactions[[#This Row],[CalCashImpact]]
      ),
     0
)</f>
        <v>0</v>
      </c>
      <c r="Y1051" s="168" t="str">
        <f>VLOOKUP(Transactions[[#This Row],[Symbol]],Symbols[], COLUMN(Symbols[Currency])-COLUMN(Symbols[])+1,FALSE)</f>
        <v>CNY</v>
      </c>
    </row>
    <row r="1052" spans="1:25">
      <c r="A1052" s="155" t="s">
        <v>82</v>
      </c>
      <c r="B1052" s="156">
        <v>42429</v>
      </c>
      <c r="C1052" s="155" t="s">
        <v>113</v>
      </c>
      <c r="D1052" s="155"/>
      <c r="E1052" s="155" t="s">
        <v>467</v>
      </c>
      <c r="F1052" s="157">
        <v>1000</v>
      </c>
      <c r="G1052" s="158">
        <v>33.85</v>
      </c>
      <c r="H1052" s="157">
        <v>13.54</v>
      </c>
      <c r="I1052" s="157"/>
      <c r="J1052" s="159">
        <v>33863.54</v>
      </c>
      <c r="K1052" s="6" t="s">
        <v>641</v>
      </c>
      <c r="L1052" s="20">
        <f>IF(ISNA(MATCH(Transactions[[#This Row],[TransType]],TransTypes[TransType],0)),1,MATCH(Transactions[[#This Row],[TransType]],TransTypes[TransType],0))</f>
        <v>2</v>
      </c>
      <c r="M1052" s="160">
        <f>IF( AND( INDEX(TransTypes[],Transactions[[#This Row],[TTR]],TT_COL_GLFlag)=1, INDEX(TransTypes[],Transactions[[#This Row],[TTR]],TT_COL_LONGORSHORT)="S" ),
      Transactions[[#This Row],[PL]],
      IF(INDEX(TransTypes[],Transactions[[#This Row],[TTR]],TT_COL_LONGORSHORT)="S",0,Transactions[[#This Row],[CalCashImpact]])
)</f>
        <v>-33863.54</v>
      </c>
      <c r="N1052" s="161">
        <f>IF(VLOOKUP(Transactions[[#This Row],[Symbol]],Symbols[],COLUMN(Symbols[Currency])-COLUMN(Symbols[])+1,FALSE)=
       VLOOKUP(Transactions[[#This Row],[Account]],Accounts[],COLUMN(Accounts[Currency])-COLUMN(Accounts[])+1,FALSE),
     Transactions[[#This Row],[OrigCashImpact]],
     0
)</f>
        <v>-33863.54</v>
      </c>
      <c r="O10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1243638.0999999994</v>
      </c>
      <c r="P10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52" s="41">
        <f>ROW()</f>
        <v>1052</v>
      </c>
      <c r="S10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33863.54</v>
      </c>
      <c r="T10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75566.883333333331</v>
      </c>
      <c r="U10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52" s="166">
        <f>IF(INDEX(TransTypes[],Transactions[[#This Row],[TTR]],TT_COL_GLFlag)=1,Transactions[[#This Row],[CalCashImpact]]+Transactions[[#This Row],[CostImpact]],0)</f>
        <v>0</v>
      </c>
      <c r="W1052" s="167">
        <f>Transactions[[#This Row],[Amount]]*INDEX(TransTypes[],Transactions[[#This Row],[TTR]],TT_COL_AmntSign)</f>
        <v>-33863.54</v>
      </c>
      <c r="X1052" s="167">
        <f>IF(INDEX(TransTypes[],Transactions[[#This Row],[TTR]],TT_COL_LONGORSHORT)="S",
      IF( OR(INDEX(TransTypes[],Transactions[[#This Row],[TTR]],TT_COL_GLFlag)=1, INDEX(TransTypes[], Transactions[[#This Row],[TTR]], TT_COL_ShareTransferFlag)=1),
            Transactions[[#This Row],[CostImpact]]*-1,
            Transactions[[#This Row],[CalCashImpact]]
      ),
     0
)</f>
        <v>0</v>
      </c>
      <c r="Y1052" s="168" t="str">
        <f>VLOOKUP(Transactions[[#This Row],[Symbol]],Symbols[], COLUMN(Symbols[Currency])-COLUMN(Symbols[])+1,FALSE)</f>
        <v>CNY</v>
      </c>
    </row>
    <row r="1053" spans="1:25">
      <c r="A1053" s="155" t="s">
        <v>82</v>
      </c>
      <c r="B1053" s="156">
        <v>42429</v>
      </c>
      <c r="C1053" s="155" t="s">
        <v>113</v>
      </c>
      <c r="D1053" s="155"/>
      <c r="E1053" s="155" t="s">
        <v>644</v>
      </c>
      <c r="F1053" s="157">
        <v>1000</v>
      </c>
      <c r="G1053" s="158">
        <v>53.116</v>
      </c>
      <c r="H1053" s="157">
        <v>21.25</v>
      </c>
      <c r="I1053" s="157"/>
      <c r="J1053" s="159">
        <v>53137.25</v>
      </c>
      <c r="K1053" s="6" t="s">
        <v>641</v>
      </c>
      <c r="L1053" s="20">
        <f>IF(ISNA(MATCH(Transactions[[#This Row],[TransType]],TransTypes[TransType],0)),1,MATCH(Transactions[[#This Row],[TransType]],TransTypes[TransType],0))</f>
        <v>2</v>
      </c>
      <c r="M1053" s="160">
        <f>IF( AND( INDEX(TransTypes[],Transactions[[#This Row],[TTR]],TT_COL_GLFlag)=1, INDEX(TransTypes[],Transactions[[#This Row],[TTR]],TT_COL_LONGORSHORT)="S" ),
      Transactions[[#This Row],[PL]],
      IF(INDEX(TransTypes[],Transactions[[#This Row],[TTR]],TT_COL_LONGORSHORT)="S",0,Transactions[[#This Row],[CalCashImpact]])
)</f>
        <v>-53137.25</v>
      </c>
      <c r="N1053" s="161">
        <f>IF(VLOOKUP(Transactions[[#This Row],[Symbol]],Symbols[],COLUMN(Symbols[Currency])-COLUMN(Symbols[])+1,FALSE)=
       VLOOKUP(Transactions[[#This Row],[Account]],Accounts[],COLUMN(Accounts[Currency])-COLUMN(Accounts[])+1,FALSE),
     Transactions[[#This Row],[OrigCashImpact]],
     0
)</f>
        <v>-53137.25</v>
      </c>
      <c r="O10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1190500.8499999994</v>
      </c>
      <c r="P10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1053" s="41">
        <f>ROW()</f>
        <v>1053</v>
      </c>
      <c r="S10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53137.25</v>
      </c>
      <c r="T10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79848.763333333336</v>
      </c>
      <c r="U10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1053" s="166">
        <f>IF(INDEX(TransTypes[],Transactions[[#This Row],[TTR]],TT_COL_GLFlag)=1,Transactions[[#This Row],[CalCashImpact]]+Transactions[[#This Row],[CostImpact]],0)</f>
        <v>0</v>
      </c>
      <c r="W1053" s="167">
        <f>Transactions[[#This Row],[Amount]]*INDEX(TransTypes[],Transactions[[#This Row],[TTR]],TT_COL_AmntSign)</f>
        <v>-53137.25</v>
      </c>
      <c r="X1053" s="167">
        <f>IF(INDEX(TransTypes[],Transactions[[#This Row],[TTR]],TT_COL_LONGORSHORT)="S",
      IF( OR(INDEX(TransTypes[],Transactions[[#This Row],[TTR]],TT_COL_GLFlag)=1, INDEX(TransTypes[], Transactions[[#This Row],[TTR]], TT_COL_ShareTransferFlag)=1),
            Transactions[[#This Row],[CostImpact]]*-1,
            Transactions[[#This Row],[CalCashImpact]]
      ),
     0
)</f>
        <v>0</v>
      </c>
      <c r="Y1053" s="168" t="str">
        <f>VLOOKUP(Transactions[[#This Row],[Symbol]],Symbols[], COLUMN(Symbols[Currency])-COLUMN(Symbols[])+1,FALSE)</f>
        <v>CNY</v>
      </c>
    </row>
    <row r="1054" spans="1:25">
      <c r="A1054" s="155" t="s">
        <v>82</v>
      </c>
      <c r="B1054" s="156">
        <v>42429</v>
      </c>
      <c r="C1054" s="155" t="s">
        <v>115</v>
      </c>
      <c r="D1054" s="155"/>
      <c r="E1054" s="155" t="s">
        <v>674</v>
      </c>
      <c r="F1054" s="157">
        <v>1000</v>
      </c>
      <c r="G1054" s="158">
        <v>55.064999999999998</v>
      </c>
      <c r="H1054" s="157">
        <v>77.09</v>
      </c>
      <c r="I1054" s="157"/>
      <c r="J1054" s="159">
        <v>54987.91</v>
      </c>
      <c r="K1054" s="6" t="s">
        <v>641</v>
      </c>
      <c r="L1054" s="20">
        <f>IF(ISNA(MATCH(Transactions[[#This Row],[TransType]],TransTypes[TransType],0)),1,MATCH(Transactions[[#This Row],[TransType]],TransTypes[TransType],0))</f>
        <v>3</v>
      </c>
      <c r="M1054" s="160">
        <f>IF( AND( INDEX(TransTypes[],Transactions[[#This Row],[TTR]],TT_COL_GLFlag)=1, INDEX(TransTypes[],Transactions[[#This Row],[TTR]],TT_COL_LONGORSHORT)="S" ),
      Transactions[[#This Row],[PL]],
      IF(INDEX(TransTypes[],Transactions[[#This Row],[TTR]],TT_COL_LONGORSHORT)="S",0,Transactions[[#This Row],[CalCashImpact]])
)</f>
        <v>54987.91</v>
      </c>
      <c r="N1054" s="161">
        <f>IF(VLOOKUP(Transactions[[#This Row],[Symbol]],Symbols[],COLUMN(Symbols[Currency])-COLUMN(Symbols[])+1,FALSE)=
       VLOOKUP(Transactions[[#This Row],[Account]],Accounts[],COLUMN(Accounts[Currency])-COLUMN(Accounts[])+1,FALSE),
     Transactions[[#This Row],[OrigCashImpact]],
     0
)</f>
        <v>54987.91</v>
      </c>
      <c r="O10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1245488.7599999993</v>
      </c>
      <c r="P10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54" s="41">
        <f>ROW()</f>
        <v>1054</v>
      </c>
      <c r="S10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-61824.72</v>
      </c>
      <c r="T10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054" s="166">
        <f>IF(INDEX(TransTypes[],Transactions[[#This Row],[TTR]],TT_COL_GLFlag)=1,Transactions[[#This Row],[CalCashImpact]]+Transactions[[#This Row],[CostImpact]],0)</f>
        <v>-6836.8099999999977</v>
      </c>
      <c r="W1054" s="167">
        <f>Transactions[[#This Row],[Amount]]*INDEX(TransTypes[],Transactions[[#This Row],[TTR]],TT_COL_AmntSign)</f>
        <v>54987.91</v>
      </c>
      <c r="X1054" s="167">
        <f>IF(INDEX(TransTypes[],Transactions[[#This Row],[TTR]],TT_COL_LONGORSHORT)="S",
      IF( OR(INDEX(TransTypes[],Transactions[[#This Row],[TTR]],TT_COL_GLFlag)=1, INDEX(TransTypes[], Transactions[[#This Row],[TTR]], TT_COL_ShareTransferFlag)=1),
            Transactions[[#This Row],[CostImpact]]*-1,
            Transactions[[#This Row],[CalCashImpact]]
      ),
     0
)</f>
        <v>0</v>
      </c>
      <c r="Y1054" s="168" t="str">
        <f>VLOOKUP(Transactions[[#This Row],[Symbol]],Symbols[], COLUMN(Symbols[Currency])-COLUMN(Symbols[])+1,FALSE)</f>
        <v>CNY</v>
      </c>
    </row>
    <row r="1055" spans="1:25">
      <c r="A1055" s="155" t="s">
        <v>82</v>
      </c>
      <c r="B1055" s="156">
        <v>42429</v>
      </c>
      <c r="C1055" s="155" t="s">
        <v>113</v>
      </c>
      <c r="D1055" s="155"/>
      <c r="E1055" s="155" t="s">
        <v>684</v>
      </c>
      <c r="F1055" s="157">
        <v>2000</v>
      </c>
      <c r="G1055" s="158">
        <v>17.93</v>
      </c>
      <c r="H1055" s="157">
        <v>15.06</v>
      </c>
      <c r="I1055" s="157"/>
      <c r="J1055" s="159">
        <v>35875.06</v>
      </c>
      <c r="K1055" s="6" t="s">
        <v>641</v>
      </c>
      <c r="L1055" s="20">
        <f>IF(ISNA(MATCH(Transactions[[#This Row],[TransType]],TransTypes[TransType],0)),1,MATCH(Transactions[[#This Row],[TransType]],TransTypes[TransType],0))</f>
        <v>2</v>
      </c>
      <c r="M1055" s="160">
        <f>IF( AND( INDEX(TransTypes[],Transactions[[#This Row],[TTR]],TT_COL_GLFlag)=1, INDEX(TransTypes[],Transactions[[#This Row],[TTR]],TT_COL_LONGORSHORT)="S" ),
      Transactions[[#This Row],[PL]],
      IF(INDEX(TransTypes[],Transactions[[#This Row],[TTR]],TT_COL_LONGORSHORT)="S",0,Transactions[[#This Row],[CalCashImpact]])
)</f>
        <v>-35875.06</v>
      </c>
      <c r="N1055" s="161">
        <f>IF(VLOOKUP(Transactions[[#This Row],[Symbol]],Symbols[],COLUMN(Symbols[Currency])-COLUMN(Symbols[])+1,FALSE)=
       VLOOKUP(Transactions[[#This Row],[Account]],Accounts[],COLUMN(Accounts[Currency])-COLUMN(Accounts[])+1,FALSE),
     Transactions[[#This Row],[OrigCashImpact]],
     0
)</f>
        <v>-35875.06</v>
      </c>
      <c r="O10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1209613.6999999995</v>
      </c>
      <c r="P10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055" s="41">
        <f>ROW()</f>
        <v>1055</v>
      </c>
      <c r="S10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35875.06</v>
      </c>
      <c r="T10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108105.38</v>
      </c>
      <c r="U10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055" s="166">
        <f>IF(INDEX(TransTypes[],Transactions[[#This Row],[TTR]],TT_COL_GLFlag)=1,Transactions[[#This Row],[CalCashImpact]]+Transactions[[#This Row],[CostImpact]],0)</f>
        <v>0</v>
      </c>
      <c r="W1055" s="167">
        <f>Transactions[[#This Row],[Amount]]*INDEX(TransTypes[],Transactions[[#This Row],[TTR]],TT_COL_AmntSign)</f>
        <v>-35875.06</v>
      </c>
      <c r="X1055" s="167">
        <f>IF(INDEX(TransTypes[],Transactions[[#This Row],[TTR]],TT_COL_LONGORSHORT)="S",
      IF( OR(INDEX(TransTypes[],Transactions[[#This Row],[TTR]],TT_COL_GLFlag)=1, INDEX(TransTypes[], Transactions[[#This Row],[TTR]], TT_COL_ShareTransferFlag)=1),
            Transactions[[#This Row],[CostImpact]]*-1,
            Transactions[[#This Row],[CalCashImpact]]
      ),
     0
)</f>
        <v>0</v>
      </c>
      <c r="Y1055" s="168" t="str">
        <f>VLOOKUP(Transactions[[#This Row],[Symbol]],Symbols[], COLUMN(Symbols[Currency])-COLUMN(Symbols[])+1,FALSE)</f>
        <v>CNY</v>
      </c>
    </row>
    <row r="1056" spans="1:25">
      <c r="A1056" s="155" t="s">
        <v>82</v>
      </c>
      <c r="B1056" s="156">
        <v>42429</v>
      </c>
      <c r="C1056" s="155" t="s">
        <v>113</v>
      </c>
      <c r="D1056" s="155"/>
      <c r="E1056" s="155" t="s">
        <v>464</v>
      </c>
      <c r="F1056" s="157">
        <v>300</v>
      </c>
      <c r="G1056" s="158">
        <v>214.98</v>
      </c>
      <c r="H1056" s="157">
        <v>27.09</v>
      </c>
      <c r="I1056" s="157"/>
      <c r="J1056" s="159">
        <v>64521.09</v>
      </c>
      <c r="K1056" s="6" t="s">
        <v>641</v>
      </c>
      <c r="L1056" s="20">
        <f>IF(ISNA(MATCH(Transactions[[#This Row],[TransType]],TransTypes[TransType],0)),1,MATCH(Transactions[[#This Row],[TransType]],TransTypes[TransType],0))</f>
        <v>2</v>
      </c>
      <c r="M1056" s="160">
        <f>IF( AND( INDEX(TransTypes[],Transactions[[#This Row],[TTR]],TT_COL_GLFlag)=1, INDEX(TransTypes[],Transactions[[#This Row],[TTR]],TT_COL_LONGORSHORT)="S" ),
      Transactions[[#This Row],[PL]],
      IF(INDEX(TransTypes[],Transactions[[#This Row],[TTR]],TT_COL_LONGORSHORT)="S",0,Transactions[[#This Row],[CalCashImpact]])
)</f>
        <v>-64521.09</v>
      </c>
      <c r="N1056" s="161">
        <f>IF(VLOOKUP(Transactions[[#This Row],[Symbol]],Symbols[],COLUMN(Symbols[Currency])-COLUMN(Symbols[])+1,FALSE)=
       VLOOKUP(Transactions[[#This Row],[Account]],Accounts[],COLUMN(Accounts[Currency])-COLUMN(Accounts[])+1,FALSE),
     Transactions[[#This Row],[OrigCashImpact]],
     0
)</f>
        <v>-64521.09</v>
      </c>
      <c r="O10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1145092.6099999994</v>
      </c>
      <c r="P10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10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056" s="41">
        <f>ROW()</f>
        <v>1056</v>
      </c>
      <c r="S10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64521.09</v>
      </c>
      <c r="T10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105253.18999999999</v>
      </c>
      <c r="U10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056" s="166">
        <f>IF(INDEX(TransTypes[],Transactions[[#This Row],[TTR]],TT_COL_GLFlag)=1,Transactions[[#This Row],[CalCashImpact]]+Transactions[[#This Row],[CostImpact]],0)</f>
        <v>0</v>
      </c>
      <c r="W1056" s="167">
        <f>Transactions[[#This Row],[Amount]]*INDEX(TransTypes[],Transactions[[#This Row],[TTR]],TT_COL_AmntSign)</f>
        <v>-64521.09</v>
      </c>
      <c r="X1056" s="167">
        <f>IF(INDEX(TransTypes[],Transactions[[#This Row],[TTR]],TT_COL_LONGORSHORT)="S",
      IF( OR(INDEX(TransTypes[],Transactions[[#This Row],[TTR]],TT_COL_GLFlag)=1, INDEX(TransTypes[], Transactions[[#This Row],[TTR]], TT_COL_ShareTransferFlag)=1),
            Transactions[[#This Row],[CostImpact]]*-1,
            Transactions[[#This Row],[CalCashImpact]]
      ),
     0
)</f>
        <v>0</v>
      </c>
      <c r="Y1056" s="168" t="str">
        <f>VLOOKUP(Transactions[[#This Row],[Symbol]],Symbols[], COLUMN(Symbols[Currency])-COLUMN(Symbols[])+1,FALSE)</f>
        <v>CNY</v>
      </c>
    </row>
    <row r="1057" spans="1:25">
      <c r="A1057" s="155" t="s">
        <v>82</v>
      </c>
      <c r="B1057" s="156">
        <v>42430</v>
      </c>
      <c r="C1057" s="155" t="s">
        <v>115</v>
      </c>
      <c r="D1057" s="155"/>
      <c r="E1057" s="155" t="s">
        <v>467</v>
      </c>
      <c r="F1057" s="157">
        <v>1000</v>
      </c>
      <c r="G1057" s="158">
        <v>34.81</v>
      </c>
      <c r="H1057" s="157">
        <v>48.73</v>
      </c>
      <c r="I1057" s="157"/>
      <c r="J1057" s="159">
        <v>34761.269999999997</v>
      </c>
      <c r="K1057" s="6" t="s">
        <v>641</v>
      </c>
      <c r="L1057" s="20">
        <f>IF(ISNA(MATCH(Transactions[[#This Row],[TransType]],TransTypes[TransType],0)),1,MATCH(Transactions[[#This Row],[TransType]],TransTypes[TransType],0))</f>
        <v>3</v>
      </c>
      <c r="M1057" s="160">
        <f>IF( AND( INDEX(TransTypes[],Transactions[[#This Row],[TTR]],TT_COL_GLFlag)=1, INDEX(TransTypes[],Transactions[[#This Row],[TTR]],TT_COL_LONGORSHORT)="S" ),
      Transactions[[#This Row],[PL]],
      IF(INDEX(TransTypes[],Transactions[[#This Row],[TTR]],TT_COL_LONGORSHORT)="S",0,Transactions[[#This Row],[CalCashImpact]])
)</f>
        <v>34761.269999999997</v>
      </c>
      <c r="N1057" s="161">
        <f>IF(VLOOKUP(Transactions[[#This Row],[Symbol]],Symbols[],COLUMN(Symbols[Currency])-COLUMN(Symbols[])+1,FALSE)=
       VLOOKUP(Transactions[[#This Row],[Account]],Accounts[],COLUMN(Accounts[Currency])-COLUMN(Accounts[])+1,FALSE),
     Transactions[[#This Row],[OrigCashImpact]],
     0
)</f>
        <v>34761.269999999997</v>
      </c>
      <c r="O10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1179853.8799999992</v>
      </c>
      <c r="P10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057" s="41">
        <f>ROW()</f>
        <v>1057</v>
      </c>
      <c r="S10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-37783.441666666666</v>
      </c>
      <c r="T10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37783.441666666666</v>
      </c>
      <c r="U10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57" s="166">
        <f>IF(INDEX(TransTypes[],Transactions[[#This Row],[TTR]],TT_COL_GLFlag)=1,Transactions[[#This Row],[CalCashImpact]]+Transactions[[#This Row],[CostImpact]],0)</f>
        <v>-3022.1716666666689</v>
      </c>
      <c r="W1057" s="167">
        <f>Transactions[[#This Row],[Amount]]*INDEX(TransTypes[],Transactions[[#This Row],[TTR]],TT_COL_AmntSign)</f>
        <v>34761.269999999997</v>
      </c>
      <c r="X1057" s="167">
        <f>IF(INDEX(TransTypes[],Transactions[[#This Row],[TTR]],TT_COL_LONGORSHORT)="S",
      IF( OR(INDEX(TransTypes[],Transactions[[#This Row],[TTR]],TT_COL_GLFlag)=1, INDEX(TransTypes[], Transactions[[#This Row],[TTR]], TT_COL_ShareTransferFlag)=1),
            Transactions[[#This Row],[CostImpact]]*-1,
            Transactions[[#This Row],[CalCashImpact]]
      ),
     0
)</f>
        <v>0</v>
      </c>
      <c r="Y1057" s="168" t="str">
        <f>VLOOKUP(Transactions[[#This Row],[Symbol]],Symbols[], COLUMN(Symbols[Currency])-COLUMN(Symbols[])+1,FALSE)</f>
        <v>CNY</v>
      </c>
    </row>
    <row r="1058" spans="1:25">
      <c r="A1058" s="155" t="s">
        <v>82</v>
      </c>
      <c r="B1058" s="156">
        <v>42430</v>
      </c>
      <c r="C1058" s="155" t="s">
        <v>113</v>
      </c>
      <c r="D1058" s="155"/>
      <c r="E1058" s="155" t="s">
        <v>467</v>
      </c>
      <c r="F1058" s="157">
        <v>1000</v>
      </c>
      <c r="G1058" s="158">
        <v>35.22</v>
      </c>
      <c r="H1058" s="157">
        <v>14.09</v>
      </c>
      <c r="I1058" s="157"/>
      <c r="J1058" s="159">
        <v>35234.089999999997</v>
      </c>
      <c r="K1058" s="6" t="s">
        <v>641</v>
      </c>
      <c r="L1058" s="20">
        <f>IF(ISNA(MATCH(Transactions[[#This Row],[TransType]],TransTypes[TransType],0)),1,MATCH(Transactions[[#This Row],[TransType]],TransTypes[TransType],0))</f>
        <v>2</v>
      </c>
      <c r="M1058" s="160">
        <f>IF( AND( INDEX(TransTypes[],Transactions[[#This Row],[TTR]],TT_COL_GLFlag)=1, INDEX(TransTypes[],Transactions[[#This Row],[TTR]],TT_COL_LONGORSHORT)="S" ),
      Transactions[[#This Row],[PL]],
      IF(INDEX(TransTypes[],Transactions[[#This Row],[TTR]],TT_COL_LONGORSHORT)="S",0,Transactions[[#This Row],[CalCashImpact]])
)</f>
        <v>-35234.089999999997</v>
      </c>
      <c r="N1058" s="161">
        <f>IF(VLOOKUP(Transactions[[#This Row],[Symbol]],Symbols[],COLUMN(Symbols[Currency])-COLUMN(Symbols[])+1,FALSE)=
       VLOOKUP(Transactions[[#This Row],[Account]],Accounts[],COLUMN(Accounts[Currency])-COLUMN(Accounts[])+1,FALSE),
     Transactions[[#This Row],[OrigCashImpact]],
     0
)</f>
        <v>-35234.089999999997</v>
      </c>
      <c r="O10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1144619.7899999991</v>
      </c>
      <c r="P10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58" s="41">
        <f>ROW()</f>
        <v>1058</v>
      </c>
      <c r="S10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35234.089999999997</v>
      </c>
      <c r="T10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73017.531666666662</v>
      </c>
      <c r="U10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58" s="166">
        <f>IF(INDEX(TransTypes[],Transactions[[#This Row],[TTR]],TT_COL_GLFlag)=1,Transactions[[#This Row],[CalCashImpact]]+Transactions[[#This Row],[CostImpact]],0)</f>
        <v>0</v>
      </c>
      <c r="W1058" s="167">
        <f>Transactions[[#This Row],[Amount]]*INDEX(TransTypes[],Transactions[[#This Row],[TTR]],TT_COL_AmntSign)</f>
        <v>-35234.089999999997</v>
      </c>
      <c r="X1058" s="167">
        <f>IF(INDEX(TransTypes[],Transactions[[#This Row],[TTR]],TT_COL_LONGORSHORT)="S",
      IF( OR(INDEX(TransTypes[],Transactions[[#This Row],[TTR]],TT_COL_GLFlag)=1, INDEX(TransTypes[], Transactions[[#This Row],[TTR]], TT_COL_ShareTransferFlag)=1),
            Transactions[[#This Row],[CostImpact]]*-1,
            Transactions[[#This Row],[CalCashImpact]]
      ),
     0
)</f>
        <v>0</v>
      </c>
      <c r="Y1058" s="168" t="str">
        <f>VLOOKUP(Transactions[[#This Row],[Symbol]],Symbols[], COLUMN(Symbols[Currency])-COLUMN(Symbols[])+1,FALSE)</f>
        <v>CNY</v>
      </c>
    </row>
    <row r="1059" spans="1:25">
      <c r="A1059" s="155" t="s">
        <v>82</v>
      </c>
      <c r="B1059" s="156">
        <v>42431</v>
      </c>
      <c r="C1059" s="155" t="s">
        <v>115</v>
      </c>
      <c r="D1059" s="155"/>
      <c r="E1059" s="155" t="s">
        <v>682</v>
      </c>
      <c r="F1059" s="157">
        <v>4000</v>
      </c>
      <c r="G1059" s="158">
        <v>11.44</v>
      </c>
      <c r="H1059" s="157">
        <v>64.98</v>
      </c>
      <c r="I1059" s="157"/>
      <c r="J1059" s="159">
        <v>45695.02</v>
      </c>
      <c r="K1059" s="6" t="s">
        <v>641</v>
      </c>
      <c r="L1059" s="20">
        <f>IF(ISNA(MATCH(Transactions[[#This Row],[TransType]],TransTypes[TransType],0)),1,MATCH(Transactions[[#This Row],[TransType]],TransTypes[TransType],0))</f>
        <v>3</v>
      </c>
      <c r="M1059" s="160">
        <f>IF( AND( INDEX(TransTypes[],Transactions[[#This Row],[TTR]],TT_COL_GLFlag)=1, INDEX(TransTypes[],Transactions[[#This Row],[TTR]],TT_COL_LONGORSHORT)="S" ),
      Transactions[[#This Row],[PL]],
      IF(INDEX(TransTypes[],Transactions[[#This Row],[TTR]],TT_COL_LONGORSHORT)="S",0,Transactions[[#This Row],[CalCashImpact]])
)</f>
        <v>45695.02</v>
      </c>
      <c r="N1059" s="161">
        <f>IF(VLOOKUP(Transactions[[#This Row],[Symbol]],Symbols[],COLUMN(Symbols[Currency])-COLUMN(Symbols[])+1,FALSE)=
       VLOOKUP(Transactions[[#This Row],[Account]],Accounts[],COLUMN(Accounts[Currency])-COLUMN(Accounts[])+1,FALSE),
     Transactions[[#This Row],[OrigCashImpact]],
     0
)</f>
        <v>45695.02</v>
      </c>
      <c r="O10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1190314.8099999991</v>
      </c>
      <c r="P10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0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59" s="41">
        <f>ROW()</f>
        <v>1059</v>
      </c>
      <c r="S10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-48652.42</v>
      </c>
      <c r="T10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59" s="166">
        <f>IF(INDEX(TransTypes[],Transactions[[#This Row],[TTR]],TT_COL_GLFlag)=1,Transactions[[#This Row],[CalCashImpact]]+Transactions[[#This Row],[CostImpact]],0)</f>
        <v>-2957.4000000000015</v>
      </c>
      <c r="W1059" s="167">
        <f>Transactions[[#This Row],[Amount]]*INDEX(TransTypes[],Transactions[[#This Row],[TTR]],TT_COL_AmntSign)</f>
        <v>45695.02</v>
      </c>
      <c r="X1059" s="167">
        <f>IF(INDEX(TransTypes[],Transactions[[#This Row],[TTR]],TT_COL_LONGORSHORT)="S",
      IF( OR(INDEX(TransTypes[],Transactions[[#This Row],[TTR]],TT_COL_GLFlag)=1, INDEX(TransTypes[], Transactions[[#This Row],[TTR]], TT_COL_ShareTransferFlag)=1),
            Transactions[[#This Row],[CostImpact]]*-1,
            Transactions[[#This Row],[CalCashImpact]]
      ),
     0
)</f>
        <v>0</v>
      </c>
      <c r="Y1059" s="168" t="str">
        <f>VLOOKUP(Transactions[[#This Row],[Symbol]],Symbols[], COLUMN(Symbols[Currency])-COLUMN(Symbols[])+1,FALSE)</f>
        <v>CNY</v>
      </c>
    </row>
    <row r="1060" spans="1:25">
      <c r="A1060" s="155" t="s">
        <v>82</v>
      </c>
      <c r="B1060" s="156">
        <v>42431</v>
      </c>
      <c r="C1060" s="155" t="s">
        <v>113</v>
      </c>
      <c r="D1060" s="155"/>
      <c r="E1060" s="155" t="s">
        <v>649</v>
      </c>
      <c r="F1060" s="157">
        <v>1000</v>
      </c>
      <c r="G1060" s="158">
        <v>46.07</v>
      </c>
      <c r="H1060" s="157">
        <v>18.43</v>
      </c>
      <c r="I1060" s="157"/>
      <c r="J1060" s="159">
        <v>46088.43</v>
      </c>
      <c r="K1060" s="6" t="s">
        <v>641</v>
      </c>
      <c r="L1060" s="20">
        <f>IF(ISNA(MATCH(Transactions[[#This Row],[TransType]],TransTypes[TransType],0)),1,MATCH(Transactions[[#This Row],[TransType]],TransTypes[TransType],0))</f>
        <v>2</v>
      </c>
      <c r="M1060" s="160">
        <f>IF( AND( INDEX(TransTypes[],Transactions[[#This Row],[TTR]],TT_COL_GLFlag)=1, INDEX(TransTypes[],Transactions[[#This Row],[TTR]],TT_COL_LONGORSHORT)="S" ),
      Transactions[[#This Row],[PL]],
      IF(INDEX(TransTypes[],Transactions[[#This Row],[TTR]],TT_COL_LONGORSHORT)="S",0,Transactions[[#This Row],[CalCashImpact]])
)</f>
        <v>-46088.43</v>
      </c>
      <c r="N1060" s="161">
        <f>IF(VLOOKUP(Transactions[[#This Row],[Symbol]],Symbols[],COLUMN(Symbols[Currency])-COLUMN(Symbols[])+1,FALSE)=
       VLOOKUP(Transactions[[#This Row],[Account]],Accounts[],COLUMN(Accounts[Currency])-COLUMN(Accounts[])+1,FALSE),
     Transactions[[#This Row],[OrigCashImpact]],
     0
)</f>
        <v>-46088.43</v>
      </c>
      <c r="O10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1144226.3799999992</v>
      </c>
      <c r="P10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60" s="41">
        <f>ROW()</f>
        <v>1060</v>
      </c>
      <c r="S10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46088.43</v>
      </c>
      <c r="T10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91656.65</v>
      </c>
      <c r="U10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60" s="166">
        <f>IF(INDEX(TransTypes[],Transactions[[#This Row],[TTR]],TT_COL_GLFlag)=1,Transactions[[#This Row],[CalCashImpact]]+Transactions[[#This Row],[CostImpact]],0)</f>
        <v>0</v>
      </c>
      <c r="W1060" s="167">
        <f>Transactions[[#This Row],[Amount]]*INDEX(TransTypes[],Transactions[[#This Row],[TTR]],TT_COL_AmntSign)</f>
        <v>-46088.43</v>
      </c>
      <c r="X1060" s="167">
        <f>IF(INDEX(TransTypes[],Transactions[[#This Row],[TTR]],TT_COL_LONGORSHORT)="S",
      IF( OR(INDEX(TransTypes[],Transactions[[#This Row],[TTR]],TT_COL_GLFlag)=1, INDEX(TransTypes[], Transactions[[#This Row],[TTR]], TT_COL_ShareTransferFlag)=1),
            Transactions[[#This Row],[CostImpact]]*-1,
            Transactions[[#This Row],[CalCashImpact]]
      ),
     0
)</f>
        <v>0</v>
      </c>
      <c r="Y1060" s="168" t="str">
        <f>VLOOKUP(Transactions[[#This Row],[Symbol]],Symbols[], COLUMN(Symbols[Currency])-COLUMN(Symbols[])+1,FALSE)</f>
        <v>CNY</v>
      </c>
    </row>
    <row r="1061" spans="1:25">
      <c r="A1061" s="155" t="s">
        <v>82</v>
      </c>
      <c r="B1061" s="156">
        <v>42431</v>
      </c>
      <c r="C1061" s="155" t="s">
        <v>113</v>
      </c>
      <c r="D1061" s="155"/>
      <c r="E1061" s="155" t="s">
        <v>685</v>
      </c>
      <c r="F1061" s="157">
        <v>5000</v>
      </c>
      <c r="G1061" s="158">
        <v>26.42</v>
      </c>
      <c r="H1061" s="157">
        <v>55.48</v>
      </c>
      <c r="I1061" s="157"/>
      <c r="J1061" s="159">
        <v>132155.48000000001</v>
      </c>
      <c r="K1061" s="6" t="s">
        <v>641</v>
      </c>
      <c r="L1061" s="20">
        <f>IF(ISNA(MATCH(Transactions[[#This Row],[TransType]],TransTypes[TransType],0)),1,MATCH(Transactions[[#This Row],[TransType]],TransTypes[TransType],0))</f>
        <v>2</v>
      </c>
      <c r="M1061" s="160">
        <f>IF( AND( INDEX(TransTypes[],Transactions[[#This Row],[TTR]],TT_COL_GLFlag)=1, INDEX(TransTypes[],Transactions[[#This Row],[TTR]],TT_COL_LONGORSHORT)="S" ),
      Transactions[[#This Row],[PL]],
      IF(INDEX(TransTypes[],Transactions[[#This Row],[TTR]],TT_COL_LONGORSHORT)="S",0,Transactions[[#This Row],[CalCashImpact]])
)</f>
        <v>-132155.48000000001</v>
      </c>
      <c r="N1061" s="161">
        <f>IF(VLOOKUP(Transactions[[#This Row],[Symbol]],Symbols[],COLUMN(Symbols[Currency])-COLUMN(Symbols[])+1,FALSE)=
       VLOOKUP(Transactions[[#This Row],[Account]],Accounts[],COLUMN(Accounts[Currency])-COLUMN(Accounts[])+1,FALSE),
     Transactions[[#This Row],[OrigCashImpact]],
     0
)</f>
        <v>-132155.48000000001</v>
      </c>
      <c r="O10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1012070.8999999991</v>
      </c>
      <c r="P10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0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061" s="41">
        <f>ROW()</f>
        <v>1061</v>
      </c>
      <c r="S10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132155.48000000001</v>
      </c>
      <c r="T10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132155.48000000001</v>
      </c>
      <c r="U10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61" s="166">
        <f>IF(INDEX(TransTypes[],Transactions[[#This Row],[TTR]],TT_COL_GLFlag)=1,Transactions[[#This Row],[CalCashImpact]]+Transactions[[#This Row],[CostImpact]],0)</f>
        <v>0</v>
      </c>
      <c r="W1061" s="167">
        <f>Transactions[[#This Row],[Amount]]*INDEX(TransTypes[],Transactions[[#This Row],[TTR]],TT_COL_AmntSign)</f>
        <v>-132155.48000000001</v>
      </c>
      <c r="X1061" s="167">
        <f>IF(INDEX(TransTypes[],Transactions[[#This Row],[TTR]],TT_COL_LONGORSHORT)="S",
      IF( OR(INDEX(TransTypes[],Transactions[[#This Row],[TTR]],TT_COL_GLFlag)=1, INDEX(TransTypes[], Transactions[[#This Row],[TTR]], TT_COL_ShareTransferFlag)=1),
            Transactions[[#This Row],[CostImpact]]*-1,
            Transactions[[#This Row],[CalCashImpact]]
      ),
     0
)</f>
        <v>0</v>
      </c>
      <c r="Y1061" s="168" t="str">
        <f>VLOOKUP(Transactions[[#This Row],[Symbol]],Symbols[], COLUMN(Symbols[Currency])-COLUMN(Symbols[])+1,FALSE)</f>
        <v>CNY</v>
      </c>
    </row>
    <row r="1062" spans="1:25">
      <c r="A1062" s="155" t="s">
        <v>82</v>
      </c>
      <c r="B1062" s="156">
        <v>42432</v>
      </c>
      <c r="C1062" s="155" t="s">
        <v>113</v>
      </c>
      <c r="D1062" s="155"/>
      <c r="E1062" s="155" t="s">
        <v>675</v>
      </c>
      <c r="F1062" s="157">
        <v>50000</v>
      </c>
      <c r="G1062" s="158">
        <v>1.006</v>
      </c>
      <c r="H1062" s="157">
        <v>20.12</v>
      </c>
      <c r="I1062" s="157"/>
      <c r="J1062" s="159">
        <v>50320.12</v>
      </c>
      <c r="K1062" s="6" t="s">
        <v>641</v>
      </c>
      <c r="L1062" s="20">
        <f>IF(ISNA(MATCH(Transactions[[#This Row],[TransType]],TransTypes[TransType],0)),1,MATCH(Transactions[[#This Row],[TransType]],TransTypes[TransType],0))</f>
        <v>2</v>
      </c>
      <c r="M1062" s="160">
        <f>IF( AND( INDEX(TransTypes[],Transactions[[#This Row],[TTR]],TT_COL_GLFlag)=1, INDEX(TransTypes[],Transactions[[#This Row],[TTR]],TT_COL_LONGORSHORT)="S" ),
      Transactions[[#This Row],[PL]],
      IF(INDEX(TransTypes[],Transactions[[#This Row],[TTR]],TT_COL_LONGORSHORT)="S",0,Transactions[[#This Row],[CalCashImpact]])
)</f>
        <v>-50320.12</v>
      </c>
      <c r="N1062" s="161">
        <f>IF(VLOOKUP(Transactions[[#This Row],[Symbol]],Symbols[],COLUMN(Symbols[Currency])-COLUMN(Symbols[])+1,FALSE)=
       VLOOKUP(Transactions[[#This Row],[Account]],Accounts[],COLUMN(Accounts[Currency])-COLUMN(Accounts[])+1,FALSE),
     Transactions[[#This Row],[OrigCashImpact]],
     0
)</f>
        <v>-50320.12</v>
      </c>
      <c r="O10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961750.77999999921</v>
      </c>
      <c r="P10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0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370000</v>
      </c>
      <c r="R1062" s="41">
        <f>ROW()</f>
        <v>1062</v>
      </c>
      <c r="S10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50320.12</v>
      </c>
      <c r="T10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362224.82833333331</v>
      </c>
      <c r="U10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370000</v>
      </c>
      <c r="V1062" s="166">
        <f>IF(INDEX(TransTypes[],Transactions[[#This Row],[TTR]],TT_COL_GLFlag)=1,Transactions[[#This Row],[CalCashImpact]]+Transactions[[#This Row],[CostImpact]],0)</f>
        <v>0</v>
      </c>
      <c r="W1062" s="167">
        <f>Transactions[[#This Row],[Amount]]*INDEX(TransTypes[],Transactions[[#This Row],[TTR]],TT_COL_AmntSign)</f>
        <v>-50320.12</v>
      </c>
      <c r="X1062" s="167">
        <f>IF(INDEX(TransTypes[],Transactions[[#This Row],[TTR]],TT_COL_LONGORSHORT)="S",
      IF( OR(INDEX(TransTypes[],Transactions[[#This Row],[TTR]],TT_COL_GLFlag)=1, INDEX(TransTypes[], Transactions[[#This Row],[TTR]], TT_COL_ShareTransferFlag)=1),
            Transactions[[#This Row],[CostImpact]]*-1,
            Transactions[[#This Row],[CalCashImpact]]
      ),
     0
)</f>
        <v>0</v>
      </c>
      <c r="Y1062" s="168" t="str">
        <f>VLOOKUP(Transactions[[#This Row],[Symbol]],Symbols[], COLUMN(Symbols[Currency])-COLUMN(Symbols[])+1,FALSE)</f>
        <v>CNY</v>
      </c>
    </row>
    <row r="1063" spans="1:25">
      <c r="A1063" s="155" t="s">
        <v>82</v>
      </c>
      <c r="B1063" s="156">
        <v>42433</v>
      </c>
      <c r="C1063" s="155" t="s">
        <v>115</v>
      </c>
      <c r="D1063" s="155"/>
      <c r="E1063" s="155" t="s">
        <v>644</v>
      </c>
      <c r="F1063" s="157">
        <v>500</v>
      </c>
      <c r="G1063" s="158">
        <v>50.83</v>
      </c>
      <c r="H1063" s="157">
        <v>35.590000000000003</v>
      </c>
      <c r="I1063" s="157"/>
      <c r="J1063" s="159">
        <v>25379.41</v>
      </c>
      <c r="K1063" s="6" t="s">
        <v>641</v>
      </c>
      <c r="L1063" s="20">
        <f>IF(ISNA(MATCH(Transactions[[#This Row],[TransType]],TransTypes[TransType],0)),1,MATCH(Transactions[[#This Row],[TransType]],TransTypes[TransType],0))</f>
        <v>3</v>
      </c>
      <c r="M1063" s="160">
        <f>IF( AND( INDEX(TransTypes[],Transactions[[#This Row],[TTR]],TT_COL_GLFlag)=1, INDEX(TransTypes[],Transactions[[#This Row],[TTR]],TT_COL_LONGORSHORT)="S" ),
      Transactions[[#This Row],[PL]],
      IF(INDEX(TransTypes[],Transactions[[#This Row],[TTR]],TT_COL_LONGORSHORT)="S",0,Transactions[[#This Row],[CalCashImpact]])
)</f>
        <v>25379.41</v>
      </c>
      <c r="N1063" s="161">
        <f>IF(VLOOKUP(Transactions[[#This Row],[Symbol]],Symbols[],COLUMN(Symbols[Currency])-COLUMN(Symbols[])+1,FALSE)=
       VLOOKUP(Transactions[[#This Row],[Account]],Accounts[],COLUMN(Accounts[Currency])-COLUMN(Accounts[])+1,FALSE),
     Transactions[[#This Row],[OrigCashImpact]],
     0
)</f>
        <v>25379.41</v>
      </c>
      <c r="O10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987130.18999999925</v>
      </c>
      <c r="P10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063" s="41">
        <f>ROW()</f>
        <v>1063</v>
      </c>
      <c r="S10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-26616.254444444447</v>
      </c>
      <c r="T10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53232.508888888886</v>
      </c>
      <c r="U10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1063" s="166">
        <f>IF(INDEX(TransTypes[],Transactions[[#This Row],[TTR]],TT_COL_GLFlag)=1,Transactions[[#This Row],[CalCashImpact]]+Transactions[[#This Row],[CostImpact]],0)</f>
        <v>-1236.8444444444467</v>
      </c>
      <c r="W1063" s="167">
        <f>Transactions[[#This Row],[Amount]]*INDEX(TransTypes[],Transactions[[#This Row],[TTR]],TT_COL_AmntSign)</f>
        <v>25379.41</v>
      </c>
      <c r="X1063" s="167">
        <f>IF(INDEX(TransTypes[],Transactions[[#This Row],[TTR]],TT_COL_LONGORSHORT)="S",
      IF( OR(INDEX(TransTypes[],Transactions[[#This Row],[TTR]],TT_COL_GLFlag)=1, INDEX(TransTypes[], Transactions[[#This Row],[TTR]], TT_COL_ShareTransferFlag)=1),
            Transactions[[#This Row],[CostImpact]]*-1,
            Transactions[[#This Row],[CalCashImpact]]
      ),
     0
)</f>
        <v>0</v>
      </c>
      <c r="Y1063" s="168" t="str">
        <f>VLOOKUP(Transactions[[#This Row],[Symbol]],Symbols[], COLUMN(Symbols[Currency])-COLUMN(Symbols[])+1,FALSE)</f>
        <v>CNY</v>
      </c>
    </row>
    <row r="1064" spans="1:25">
      <c r="A1064" s="155" t="s">
        <v>82</v>
      </c>
      <c r="B1064" s="156">
        <v>42433</v>
      </c>
      <c r="C1064" s="155" t="s">
        <v>115</v>
      </c>
      <c r="D1064" s="155"/>
      <c r="E1064" s="155" t="s">
        <v>467</v>
      </c>
      <c r="F1064" s="157">
        <v>1000</v>
      </c>
      <c r="G1064" s="158">
        <v>34.200000000000003</v>
      </c>
      <c r="H1064" s="157">
        <v>47.88</v>
      </c>
      <c r="I1064" s="157"/>
      <c r="J1064" s="159">
        <v>34152.120000000003</v>
      </c>
      <c r="K1064" s="6" t="s">
        <v>641</v>
      </c>
      <c r="L1064" s="20">
        <f>IF(ISNA(MATCH(Transactions[[#This Row],[TransType]],TransTypes[TransType],0)),1,MATCH(Transactions[[#This Row],[TransType]],TransTypes[TransType],0))</f>
        <v>3</v>
      </c>
      <c r="M1064" s="160">
        <f>IF( AND( INDEX(TransTypes[],Transactions[[#This Row],[TTR]],TT_COL_GLFlag)=1, INDEX(TransTypes[],Transactions[[#This Row],[TTR]],TT_COL_LONGORSHORT)="S" ),
      Transactions[[#This Row],[PL]],
      IF(INDEX(TransTypes[],Transactions[[#This Row],[TTR]],TT_COL_LONGORSHORT)="S",0,Transactions[[#This Row],[CalCashImpact]])
)</f>
        <v>34152.120000000003</v>
      </c>
      <c r="N1064" s="161">
        <f>IF(VLOOKUP(Transactions[[#This Row],[Symbol]],Symbols[],COLUMN(Symbols[Currency])-COLUMN(Symbols[])+1,FALSE)=
       VLOOKUP(Transactions[[#This Row],[Account]],Accounts[],COLUMN(Accounts[Currency])-COLUMN(Accounts[])+1,FALSE),
     Transactions[[#This Row],[OrigCashImpact]],
     0
)</f>
        <v>34152.120000000003</v>
      </c>
      <c r="O10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1021282.3099999992</v>
      </c>
      <c r="P10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064" s="41">
        <f>ROW()</f>
        <v>1064</v>
      </c>
      <c r="S10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-36508.765833333331</v>
      </c>
      <c r="T10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36508.765833333331</v>
      </c>
      <c r="U10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64" s="166">
        <f>IF(INDEX(TransTypes[],Transactions[[#This Row],[TTR]],TT_COL_GLFlag)=1,Transactions[[#This Row],[CalCashImpact]]+Transactions[[#This Row],[CostImpact]],0)</f>
        <v>-2356.6458333333285</v>
      </c>
      <c r="W1064" s="167">
        <f>Transactions[[#This Row],[Amount]]*INDEX(TransTypes[],Transactions[[#This Row],[TTR]],TT_COL_AmntSign)</f>
        <v>34152.120000000003</v>
      </c>
      <c r="X1064" s="167">
        <f>IF(INDEX(TransTypes[],Transactions[[#This Row],[TTR]],TT_COL_LONGORSHORT)="S",
      IF( OR(INDEX(TransTypes[],Transactions[[#This Row],[TTR]],TT_COL_GLFlag)=1, INDEX(TransTypes[], Transactions[[#This Row],[TTR]], TT_COL_ShareTransferFlag)=1),
            Transactions[[#This Row],[CostImpact]]*-1,
            Transactions[[#This Row],[CalCashImpact]]
      ),
     0
)</f>
        <v>0</v>
      </c>
      <c r="Y1064" s="168" t="str">
        <f>VLOOKUP(Transactions[[#This Row],[Symbol]],Symbols[], COLUMN(Symbols[Currency])-COLUMN(Symbols[])+1,FALSE)</f>
        <v>CNY</v>
      </c>
    </row>
    <row r="1065" spans="1:25">
      <c r="A1065" s="155" t="s">
        <v>82</v>
      </c>
      <c r="B1065" s="156">
        <v>42436</v>
      </c>
      <c r="C1065" s="155" t="s">
        <v>115</v>
      </c>
      <c r="D1065" s="155"/>
      <c r="E1065" s="155" t="s">
        <v>464</v>
      </c>
      <c r="F1065" s="157">
        <v>200</v>
      </c>
      <c r="G1065" s="158">
        <v>231.2</v>
      </c>
      <c r="H1065" s="157">
        <v>47.16</v>
      </c>
      <c r="I1065" s="157"/>
      <c r="J1065" s="159">
        <v>46192.84</v>
      </c>
      <c r="K1065" s="6" t="s">
        <v>641</v>
      </c>
      <c r="L1065" s="20">
        <f>IF(ISNA(MATCH(Transactions[[#This Row],[TransType]],TransTypes[TransType],0)),1,MATCH(Transactions[[#This Row],[TransType]],TransTypes[TransType],0))</f>
        <v>3</v>
      </c>
      <c r="M1065" s="160">
        <f>IF( AND( INDEX(TransTypes[],Transactions[[#This Row],[TTR]],TT_COL_GLFlag)=1, INDEX(TransTypes[],Transactions[[#This Row],[TTR]],TT_COL_LONGORSHORT)="S" ),
      Transactions[[#This Row],[PL]],
      IF(INDEX(TransTypes[],Transactions[[#This Row],[TTR]],TT_COL_LONGORSHORT)="S",0,Transactions[[#This Row],[CalCashImpact]])
)</f>
        <v>46192.84</v>
      </c>
      <c r="N1065" s="161">
        <f>IF(VLOOKUP(Transactions[[#This Row],[Symbol]],Symbols[],COLUMN(Symbols[Currency])-COLUMN(Symbols[])+1,FALSE)=
       VLOOKUP(Transactions[[#This Row],[Account]],Accounts[],COLUMN(Accounts[Currency])-COLUMN(Accounts[])+1,FALSE),
     Transactions[[#This Row],[OrigCashImpact]],
     0
)</f>
        <v>46192.84</v>
      </c>
      <c r="O10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1067475.1499999992</v>
      </c>
      <c r="P10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0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1065" s="41">
        <f>ROW()</f>
        <v>1065</v>
      </c>
      <c r="S10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-42101.275999999998</v>
      </c>
      <c r="T10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63151.91399999999</v>
      </c>
      <c r="U10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065" s="166">
        <f>IF(INDEX(TransTypes[],Transactions[[#This Row],[TTR]],TT_COL_GLFlag)=1,Transactions[[#This Row],[CalCashImpact]]+Transactions[[#This Row],[CostImpact]],0)</f>
        <v>4091.5639999999985</v>
      </c>
      <c r="W1065" s="167">
        <f>Transactions[[#This Row],[Amount]]*INDEX(TransTypes[],Transactions[[#This Row],[TTR]],TT_COL_AmntSign)</f>
        <v>46192.84</v>
      </c>
      <c r="X1065" s="167">
        <f>IF(INDEX(TransTypes[],Transactions[[#This Row],[TTR]],TT_COL_LONGORSHORT)="S",
      IF( OR(INDEX(TransTypes[],Transactions[[#This Row],[TTR]],TT_COL_GLFlag)=1, INDEX(TransTypes[], Transactions[[#This Row],[TTR]], TT_COL_ShareTransferFlag)=1),
            Transactions[[#This Row],[CostImpact]]*-1,
            Transactions[[#This Row],[CalCashImpact]]
      ),
     0
)</f>
        <v>0</v>
      </c>
      <c r="Y1065" s="168" t="str">
        <f>VLOOKUP(Transactions[[#This Row],[Symbol]],Symbols[], COLUMN(Symbols[Currency])-COLUMN(Symbols[])+1,FALSE)</f>
        <v>CNY</v>
      </c>
    </row>
    <row r="1066" spans="1:25">
      <c r="A1066" s="155" t="s">
        <v>82</v>
      </c>
      <c r="B1066" s="156">
        <v>42437</v>
      </c>
      <c r="C1066" s="155" t="s">
        <v>115</v>
      </c>
      <c r="D1066" s="155"/>
      <c r="E1066" s="155" t="s">
        <v>685</v>
      </c>
      <c r="F1066" s="157">
        <v>2000</v>
      </c>
      <c r="G1066" s="158">
        <v>25.972999999999999</v>
      </c>
      <c r="H1066" s="157">
        <v>73.77</v>
      </c>
      <c r="I1066" s="157"/>
      <c r="J1066" s="159">
        <v>51872.23</v>
      </c>
      <c r="K1066" s="6" t="s">
        <v>641</v>
      </c>
      <c r="L1066" s="20">
        <f>IF(ISNA(MATCH(Transactions[[#This Row],[TransType]],TransTypes[TransType],0)),1,MATCH(Transactions[[#This Row],[TransType]],TransTypes[TransType],0))</f>
        <v>3</v>
      </c>
      <c r="M1066" s="160">
        <f>IF( AND( INDEX(TransTypes[],Transactions[[#This Row],[TTR]],TT_COL_GLFlag)=1, INDEX(TransTypes[],Transactions[[#This Row],[TTR]],TT_COL_LONGORSHORT)="S" ),
      Transactions[[#This Row],[PL]],
      IF(INDEX(TransTypes[],Transactions[[#This Row],[TTR]],TT_COL_LONGORSHORT)="S",0,Transactions[[#This Row],[CalCashImpact]])
)</f>
        <v>51872.23</v>
      </c>
      <c r="N1066" s="161">
        <f>IF(VLOOKUP(Transactions[[#This Row],[Symbol]],Symbols[],COLUMN(Symbols[Currency])-COLUMN(Symbols[])+1,FALSE)=
       VLOOKUP(Transactions[[#This Row],[Account]],Accounts[],COLUMN(Accounts[Currency])-COLUMN(Accounts[])+1,FALSE),
     Transactions[[#This Row],[OrigCashImpact]],
     0
)</f>
        <v>51872.23</v>
      </c>
      <c r="O10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1119347.3799999992</v>
      </c>
      <c r="P10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66" s="41">
        <f>ROW()</f>
        <v>1066</v>
      </c>
      <c r="S10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-52862.19200000001</v>
      </c>
      <c r="T10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79293.288</v>
      </c>
      <c r="U10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66" s="166">
        <f>IF(INDEX(TransTypes[],Transactions[[#This Row],[TTR]],TT_COL_GLFlag)=1,Transactions[[#This Row],[CalCashImpact]]+Transactions[[#This Row],[CostImpact]],0)</f>
        <v>-989.96200000000681</v>
      </c>
      <c r="W1066" s="167">
        <f>Transactions[[#This Row],[Amount]]*INDEX(TransTypes[],Transactions[[#This Row],[TTR]],TT_COL_AmntSign)</f>
        <v>51872.23</v>
      </c>
      <c r="X1066" s="167">
        <f>IF(INDEX(TransTypes[],Transactions[[#This Row],[TTR]],TT_COL_LONGORSHORT)="S",
      IF( OR(INDEX(TransTypes[],Transactions[[#This Row],[TTR]],TT_COL_GLFlag)=1, INDEX(TransTypes[], Transactions[[#This Row],[TTR]], TT_COL_ShareTransferFlag)=1),
            Transactions[[#This Row],[CostImpact]]*-1,
            Transactions[[#This Row],[CalCashImpact]]
      ),
     0
)</f>
        <v>0</v>
      </c>
      <c r="Y1066" s="168" t="str">
        <f>VLOOKUP(Transactions[[#This Row],[Symbol]],Symbols[], COLUMN(Symbols[Currency])-COLUMN(Symbols[])+1,FALSE)</f>
        <v>CNY</v>
      </c>
    </row>
    <row r="1067" spans="1:25">
      <c r="A1067" s="155" t="s">
        <v>82</v>
      </c>
      <c r="B1067" s="156">
        <v>42437</v>
      </c>
      <c r="C1067" s="155" t="s">
        <v>115</v>
      </c>
      <c r="D1067" s="155"/>
      <c r="E1067" s="155" t="s">
        <v>684</v>
      </c>
      <c r="F1067" s="157">
        <v>2000</v>
      </c>
      <c r="G1067" s="158">
        <v>19.149999999999999</v>
      </c>
      <c r="H1067" s="157">
        <v>54.39</v>
      </c>
      <c r="I1067" s="157"/>
      <c r="J1067" s="159">
        <v>38245.61</v>
      </c>
      <c r="K1067" s="6" t="s">
        <v>641</v>
      </c>
      <c r="L1067" s="20">
        <f>IF(ISNA(MATCH(Transactions[[#This Row],[TransType]],TransTypes[TransType],0)),1,MATCH(Transactions[[#This Row],[TransType]],TransTypes[TransType],0))</f>
        <v>3</v>
      </c>
      <c r="M1067" s="160">
        <f>IF( AND( INDEX(TransTypes[],Transactions[[#This Row],[TTR]],TT_COL_GLFlag)=1, INDEX(TransTypes[],Transactions[[#This Row],[TTR]],TT_COL_LONGORSHORT)="S" ),
      Transactions[[#This Row],[PL]],
      IF(INDEX(TransTypes[],Transactions[[#This Row],[TTR]],TT_COL_LONGORSHORT)="S",0,Transactions[[#This Row],[CalCashImpact]])
)</f>
        <v>38245.61</v>
      </c>
      <c r="N1067" s="161">
        <f>IF(VLOOKUP(Transactions[[#This Row],[Symbol]],Symbols[],COLUMN(Symbols[Currency])-COLUMN(Symbols[])+1,FALSE)=
       VLOOKUP(Transactions[[#This Row],[Account]],Accounts[],COLUMN(Accounts[Currency])-COLUMN(Accounts[])+1,FALSE),
     Transactions[[#This Row],[OrigCashImpact]],
     0
)</f>
        <v>38245.61</v>
      </c>
      <c r="O10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1157592.9899999993</v>
      </c>
      <c r="P10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067" s="41">
        <f>ROW()</f>
        <v>1067</v>
      </c>
      <c r="S10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-36035.126666666671</v>
      </c>
      <c r="T10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72070.253333333327</v>
      </c>
      <c r="U10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067" s="166">
        <f>IF(INDEX(TransTypes[],Transactions[[#This Row],[TTR]],TT_COL_GLFlag)=1,Transactions[[#This Row],[CalCashImpact]]+Transactions[[#This Row],[CostImpact]],0)</f>
        <v>2210.4833333333299</v>
      </c>
      <c r="W1067" s="167">
        <f>Transactions[[#This Row],[Amount]]*INDEX(TransTypes[],Transactions[[#This Row],[TTR]],TT_COL_AmntSign)</f>
        <v>38245.61</v>
      </c>
      <c r="X1067" s="167">
        <f>IF(INDEX(TransTypes[],Transactions[[#This Row],[TTR]],TT_COL_LONGORSHORT)="S",
      IF( OR(INDEX(TransTypes[],Transactions[[#This Row],[TTR]],TT_COL_GLFlag)=1, INDEX(TransTypes[], Transactions[[#This Row],[TTR]], TT_COL_ShareTransferFlag)=1),
            Transactions[[#This Row],[CostImpact]]*-1,
            Transactions[[#This Row],[CalCashImpact]]
      ),
     0
)</f>
        <v>0</v>
      </c>
      <c r="Y1067" s="168" t="str">
        <f>VLOOKUP(Transactions[[#This Row],[Symbol]],Symbols[], COLUMN(Symbols[Currency])-COLUMN(Symbols[])+1,FALSE)</f>
        <v>CNY</v>
      </c>
    </row>
    <row r="1068" spans="1:25">
      <c r="A1068" s="155" t="s">
        <v>82</v>
      </c>
      <c r="B1068" s="156">
        <v>42437</v>
      </c>
      <c r="C1068" s="155" t="s">
        <v>115</v>
      </c>
      <c r="D1068" s="155"/>
      <c r="E1068" s="155" t="s">
        <v>665</v>
      </c>
      <c r="F1068" s="157">
        <v>50000</v>
      </c>
      <c r="G1068" s="158">
        <v>0.86299999999999999</v>
      </c>
      <c r="H1068" s="157">
        <v>17.260000000000002</v>
      </c>
      <c r="I1068" s="157"/>
      <c r="J1068" s="159">
        <v>43132.74</v>
      </c>
      <c r="K1068" s="6" t="s">
        <v>641</v>
      </c>
      <c r="L1068" s="20">
        <f>IF(ISNA(MATCH(Transactions[[#This Row],[TransType]],TransTypes[TransType],0)),1,MATCH(Transactions[[#This Row],[TransType]],TransTypes[TransType],0))</f>
        <v>3</v>
      </c>
      <c r="M1068" s="160">
        <f>IF( AND( INDEX(TransTypes[],Transactions[[#This Row],[TTR]],TT_COL_GLFlag)=1, INDEX(TransTypes[],Transactions[[#This Row],[TTR]],TT_COL_LONGORSHORT)="S" ),
      Transactions[[#This Row],[PL]],
      IF(INDEX(TransTypes[],Transactions[[#This Row],[TTR]],TT_COL_LONGORSHORT)="S",0,Transactions[[#This Row],[CalCashImpact]])
)</f>
        <v>43132.74</v>
      </c>
      <c r="N1068" s="161">
        <f>IF(VLOOKUP(Transactions[[#This Row],[Symbol]],Symbols[],COLUMN(Symbols[Currency])-COLUMN(Symbols[])+1,FALSE)=
       VLOOKUP(Transactions[[#This Row],[Account]],Accounts[],COLUMN(Accounts[Currency])-COLUMN(Accounts[])+1,FALSE),
     Transactions[[#This Row],[OrigCashImpact]],
     0
)</f>
        <v>43132.74</v>
      </c>
      <c r="O10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1200725.7299999993</v>
      </c>
      <c r="P10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0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354000</v>
      </c>
      <c r="R1068" s="41">
        <f>ROW()</f>
        <v>1068</v>
      </c>
      <c r="S10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-42003.402267432641</v>
      </c>
      <c r="T10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297384.08805342304</v>
      </c>
      <c r="U10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404000</v>
      </c>
      <c r="V1068" s="166">
        <f>IF(INDEX(TransTypes[],Transactions[[#This Row],[TTR]],TT_COL_GLFlag)=1,Transactions[[#This Row],[CalCashImpact]]+Transactions[[#This Row],[CostImpact]],0)</f>
        <v>1129.3377325673573</v>
      </c>
      <c r="W1068" s="167">
        <f>Transactions[[#This Row],[Amount]]*INDEX(TransTypes[],Transactions[[#This Row],[TTR]],TT_COL_AmntSign)</f>
        <v>43132.74</v>
      </c>
      <c r="X1068" s="167">
        <f>IF(INDEX(TransTypes[],Transactions[[#This Row],[TTR]],TT_COL_LONGORSHORT)="S",
      IF( OR(INDEX(TransTypes[],Transactions[[#This Row],[TTR]],TT_COL_GLFlag)=1, INDEX(TransTypes[], Transactions[[#This Row],[TTR]], TT_COL_ShareTransferFlag)=1),
            Transactions[[#This Row],[CostImpact]]*-1,
            Transactions[[#This Row],[CalCashImpact]]
      ),
     0
)</f>
        <v>0</v>
      </c>
      <c r="Y1068" s="168" t="str">
        <f>VLOOKUP(Transactions[[#This Row],[Symbol]],Symbols[], COLUMN(Symbols[Currency])-COLUMN(Symbols[])+1,FALSE)</f>
        <v>CNY</v>
      </c>
    </row>
    <row r="1069" spans="1:25">
      <c r="A1069" s="155" t="s">
        <v>82</v>
      </c>
      <c r="B1069" s="156">
        <v>42438</v>
      </c>
      <c r="C1069" s="155" t="s">
        <v>156</v>
      </c>
      <c r="D1069" s="155"/>
      <c r="E1069" s="155" t="s">
        <v>211</v>
      </c>
      <c r="F1069" s="157"/>
      <c r="G1069" s="158"/>
      <c r="H1069" s="157"/>
      <c r="I1069" s="157"/>
      <c r="J1069" s="159">
        <v>82524.88</v>
      </c>
      <c r="K1069" s="6" t="s">
        <v>686</v>
      </c>
      <c r="L1069" s="20">
        <f>IF(ISNA(MATCH(Transactions[[#This Row],[TransType]],TransTypes[TransType],0)),1,MATCH(Transactions[[#This Row],[TransType]],TransTypes[TransType],0))</f>
        <v>17</v>
      </c>
      <c r="M1069" s="160">
        <f>IF( AND( INDEX(TransTypes[],Transactions[[#This Row],[TTR]],TT_COL_GLFlag)=1, INDEX(TransTypes[],Transactions[[#This Row],[TTR]],TT_COL_LONGORSHORT)="S" ),
      Transactions[[#This Row],[PL]],
      IF(INDEX(TransTypes[],Transactions[[#This Row],[TTR]],TT_COL_LONGORSHORT)="S",0,Transactions[[#This Row],[CalCashImpact]])
)</f>
        <v>-82524.88</v>
      </c>
      <c r="N1069" s="161">
        <f>IF(VLOOKUP(Transactions[[#This Row],[Symbol]],Symbols[],COLUMN(Symbols[Currency])-COLUMN(Symbols[])+1,FALSE)=
       VLOOKUP(Transactions[[#This Row],[Account]],Accounts[],COLUMN(Accounts[Currency])-COLUMN(Accounts[])+1,FALSE),
     Transactions[[#This Row],[OrigCashImpact]],
     0
)</f>
        <v>-82524.88</v>
      </c>
      <c r="O10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1118200.8499999992</v>
      </c>
      <c r="P10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0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69" s="41">
        <f>ROW()</f>
        <v>1069</v>
      </c>
      <c r="S10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0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069" s="166">
        <f>IF(INDEX(TransTypes[],Transactions[[#This Row],[TTR]],TT_COL_GLFlag)=1,Transactions[[#This Row],[CalCashImpact]]+Transactions[[#This Row],[CostImpact]],0)</f>
        <v>0</v>
      </c>
      <c r="W1069" s="167">
        <f>Transactions[[#This Row],[Amount]]*INDEX(TransTypes[],Transactions[[#This Row],[TTR]],TT_COL_AmntSign)</f>
        <v>-82524.88</v>
      </c>
      <c r="X1069" s="167">
        <f>IF(INDEX(TransTypes[],Transactions[[#This Row],[TTR]],TT_COL_LONGORSHORT)="S",
      IF( OR(INDEX(TransTypes[],Transactions[[#This Row],[TTR]],TT_COL_GLFlag)=1, INDEX(TransTypes[], Transactions[[#This Row],[TTR]], TT_COL_ShareTransferFlag)=1),
            Transactions[[#This Row],[CostImpact]]*-1,
            Transactions[[#This Row],[CalCashImpact]]
      ),
     0
)</f>
        <v>0</v>
      </c>
      <c r="Y1069" s="168" t="str">
        <f>VLOOKUP(Transactions[[#This Row],[Symbol]],Symbols[], COLUMN(Symbols[Currency])-COLUMN(Symbols[])+1,FALSE)</f>
        <v>CNY</v>
      </c>
    </row>
    <row r="1070" spans="1:25">
      <c r="A1070" s="155" t="s">
        <v>82</v>
      </c>
      <c r="B1070" s="156">
        <v>42438</v>
      </c>
      <c r="C1070" s="155" t="s">
        <v>239</v>
      </c>
      <c r="D1070" s="155"/>
      <c r="E1070" s="155" t="s">
        <v>210</v>
      </c>
      <c r="F1070" s="157"/>
      <c r="G1070" s="158"/>
      <c r="H1070" s="157"/>
      <c r="I1070" s="157"/>
      <c r="J1070" s="159">
        <v>98394.47</v>
      </c>
      <c r="K1070" s="6" t="s">
        <v>641</v>
      </c>
      <c r="L1070" s="20">
        <f>IF(ISNA(MATCH(Transactions[[#This Row],[TransType]],TransTypes[TransType],0)),1,MATCH(Transactions[[#This Row],[TransType]],TransTypes[TransType],0))</f>
        <v>18</v>
      </c>
      <c r="M1070" s="160">
        <f>IF( AND( INDEX(TransTypes[],Transactions[[#This Row],[TTR]],TT_COL_GLFlag)=1, INDEX(TransTypes[],Transactions[[#This Row],[TTR]],TT_COL_LONGORSHORT)="S" ),
      Transactions[[#This Row],[PL]],
      IF(INDEX(TransTypes[],Transactions[[#This Row],[TTR]],TT_COL_LONGORSHORT)="S",0,Transactions[[#This Row],[CalCashImpact]])
)</f>
        <v>98394.47</v>
      </c>
      <c r="N1070" s="161">
        <f>IF(VLOOKUP(Transactions[[#This Row],[Symbol]],Symbols[],COLUMN(Symbols[Currency])-COLUMN(Symbols[])+1,FALSE)=
       VLOOKUP(Transactions[[#This Row],[Account]],Accounts[],COLUMN(Accounts[Currency])-COLUMN(Accounts[])+1,FALSE),
     Transactions[[#This Row],[OrigCashImpact]],
     0
)</f>
        <v>0</v>
      </c>
      <c r="O10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1118200.8499999992</v>
      </c>
      <c r="P10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0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70" s="41">
        <f>ROW()</f>
        <v>1070</v>
      </c>
      <c r="S10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0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070" s="166">
        <f>IF(INDEX(TransTypes[],Transactions[[#This Row],[TTR]],TT_COL_GLFlag)=1,Transactions[[#This Row],[CalCashImpact]]+Transactions[[#This Row],[CostImpact]],0)</f>
        <v>0</v>
      </c>
      <c r="W1070" s="167">
        <f>Transactions[[#This Row],[Amount]]*INDEX(TransTypes[],Transactions[[#This Row],[TTR]],TT_COL_AmntSign)</f>
        <v>98394.47</v>
      </c>
      <c r="X1070" s="167">
        <f>IF(INDEX(TransTypes[],Transactions[[#This Row],[TTR]],TT_COL_LONGORSHORT)="S",
      IF( OR(INDEX(TransTypes[],Transactions[[#This Row],[TTR]],TT_COL_GLFlag)=1, INDEX(TransTypes[], Transactions[[#This Row],[TTR]], TT_COL_ShareTransferFlag)=1),
            Transactions[[#This Row],[CostImpact]]*-1,
            Transactions[[#This Row],[CalCashImpact]]
      ),
     0
)</f>
        <v>0</v>
      </c>
      <c r="Y1070" s="168" t="str">
        <f>VLOOKUP(Transactions[[#This Row],[Symbol]],Symbols[], COLUMN(Symbols[Currency])-COLUMN(Symbols[])+1,FALSE)</f>
        <v>HKD</v>
      </c>
    </row>
    <row r="1071" spans="1:25">
      <c r="A1071" s="155" t="s">
        <v>82</v>
      </c>
      <c r="B1071" s="156">
        <v>42438</v>
      </c>
      <c r="C1071" s="155" t="s">
        <v>113</v>
      </c>
      <c r="D1071" s="155"/>
      <c r="E1071" s="155" t="s">
        <v>687</v>
      </c>
      <c r="F1071" s="157">
        <v>25000</v>
      </c>
      <c r="G1071" s="158">
        <v>3.92</v>
      </c>
      <c r="H1071" s="157">
        <v>394.47</v>
      </c>
      <c r="I1071" s="157"/>
      <c r="J1071" s="159">
        <v>98394.47</v>
      </c>
      <c r="K1071" s="6" t="s">
        <v>641</v>
      </c>
      <c r="L1071" s="20">
        <f>IF(ISNA(MATCH(Transactions[[#This Row],[TransType]],TransTypes[TransType],0)),1,MATCH(Transactions[[#This Row],[TransType]],TransTypes[TransType],0))</f>
        <v>2</v>
      </c>
      <c r="M1071" s="160">
        <f>IF( AND( INDEX(TransTypes[],Transactions[[#This Row],[TTR]],TT_COL_GLFlag)=1, INDEX(TransTypes[],Transactions[[#This Row],[TTR]],TT_COL_LONGORSHORT)="S" ),
      Transactions[[#This Row],[PL]],
      IF(INDEX(TransTypes[],Transactions[[#This Row],[TTR]],TT_COL_LONGORSHORT)="S",0,Transactions[[#This Row],[CalCashImpact]])
)</f>
        <v>-98394.47</v>
      </c>
      <c r="N1071" s="161">
        <f>IF(VLOOKUP(Transactions[[#This Row],[Symbol]],Symbols[],COLUMN(Symbols[Currency])-COLUMN(Symbols[])+1,FALSE)=
       VLOOKUP(Transactions[[#This Row],[Account]],Accounts[],COLUMN(Accounts[Currency])-COLUMN(Accounts[])+1,FALSE),
     Transactions[[#This Row],[OrigCashImpact]],
     0
)</f>
        <v>0</v>
      </c>
      <c r="O10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1118200.8499999992</v>
      </c>
      <c r="P10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25000</v>
      </c>
      <c r="Q10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v>
      </c>
      <c r="R1071" s="41">
        <f>ROW()</f>
        <v>1071</v>
      </c>
      <c r="S10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98394.47</v>
      </c>
      <c r="T10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98394.47</v>
      </c>
      <c r="U10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v>
      </c>
      <c r="V1071" s="166">
        <f>IF(INDEX(TransTypes[],Transactions[[#This Row],[TTR]],TT_COL_GLFlag)=1,Transactions[[#This Row],[CalCashImpact]]+Transactions[[#This Row],[CostImpact]],0)</f>
        <v>0</v>
      </c>
      <c r="W1071" s="167">
        <f>Transactions[[#This Row],[Amount]]*INDEX(TransTypes[],Transactions[[#This Row],[TTR]],TT_COL_AmntSign)</f>
        <v>-98394.47</v>
      </c>
      <c r="X1071" s="167">
        <f>IF(INDEX(TransTypes[],Transactions[[#This Row],[TTR]],TT_COL_LONGORSHORT)="S",
      IF( OR(INDEX(TransTypes[],Transactions[[#This Row],[TTR]],TT_COL_GLFlag)=1, INDEX(TransTypes[], Transactions[[#This Row],[TTR]], TT_COL_ShareTransferFlag)=1),
            Transactions[[#This Row],[CostImpact]]*-1,
            Transactions[[#This Row],[CalCashImpact]]
      ),
     0
)</f>
        <v>0</v>
      </c>
      <c r="Y1071" s="168" t="str">
        <f>VLOOKUP(Transactions[[#This Row],[Symbol]],Symbols[], COLUMN(Symbols[Currency])-COLUMN(Symbols[])+1,FALSE)</f>
        <v>HKD</v>
      </c>
    </row>
    <row r="1072" spans="1:25">
      <c r="A1072" s="155" t="s">
        <v>82</v>
      </c>
      <c r="B1072" s="156">
        <v>42443</v>
      </c>
      <c r="C1072" s="155" t="s">
        <v>115</v>
      </c>
      <c r="D1072" s="155"/>
      <c r="E1072" s="155" t="s">
        <v>649</v>
      </c>
      <c r="F1072" s="157">
        <v>500</v>
      </c>
      <c r="G1072" s="158">
        <v>46.13</v>
      </c>
      <c r="H1072" s="157">
        <v>32.299999999999997</v>
      </c>
      <c r="I1072" s="157"/>
      <c r="J1072" s="159">
        <v>23032.7</v>
      </c>
      <c r="K1072" s="6" t="s">
        <v>641</v>
      </c>
      <c r="L1072" s="20">
        <f>IF(ISNA(MATCH(Transactions[[#This Row],[TransType]],TransTypes[TransType],0)),1,MATCH(Transactions[[#This Row],[TransType]],TransTypes[TransType],0))</f>
        <v>3</v>
      </c>
      <c r="M1072" s="160">
        <f>IF( AND( INDEX(TransTypes[],Transactions[[#This Row],[TTR]],TT_COL_GLFlag)=1, INDEX(TransTypes[],Transactions[[#This Row],[TTR]],TT_COL_LONGORSHORT)="S" ),
      Transactions[[#This Row],[PL]],
      IF(INDEX(TransTypes[],Transactions[[#This Row],[TTR]],TT_COL_LONGORSHORT)="S",0,Transactions[[#This Row],[CalCashImpact]])
)</f>
        <v>23032.7</v>
      </c>
      <c r="N1072" s="161">
        <f>IF(VLOOKUP(Transactions[[#This Row],[Symbol]],Symbols[],COLUMN(Symbols[Currency])-COLUMN(Symbols[])+1,FALSE)=
       VLOOKUP(Transactions[[#This Row],[Account]],Accounts[],COLUMN(Accounts[Currency])-COLUMN(Accounts[])+1,FALSE),
     Transactions[[#This Row],[OrigCashImpact]],
     0
)</f>
        <v>23032.7</v>
      </c>
      <c r="O10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1141233.5499999991</v>
      </c>
      <c r="P10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1072" s="41">
        <f>ROW()</f>
        <v>1072</v>
      </c>
      <c r="S10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-22914.162499999999</v>
      </c>
      <c r="T10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68742.487499999988</v>
      </c>
      <c r="U10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72" s="166">
        <f>IF(INDEX(TransTypes[],Transactions[[#This Row],[TTR]],TT_COL_GLFlag)=1,Transactions[[#This Row],[CalCashImpact]]+Transactions[[#This Row],[CostImpact]],0)</f>
        <v>118.53750000000218</v>
      </c>
      <c r="W1072" s="167">
        <f>Transactions[[#This Row],[Amount]]*INDEX(TransTypes[],Transactions[[#This Row],[TTR]],TT_COL_AmntSign)</f>
        <v>23032.7</v>
      </c>
      <c r="X1072" s="167">
        <f>IF(INDEX(TransTypes[],Transactions[[#This Row],[TTR]],TT_COL_LONGORSHORT)="S",
      IF( OR(INDEX(TransTypes[],Transactions[[#This Row],[TTR]],TT_COL_GLFlag)=1, INDEX(TransTypes[], Transactions[[#This Row],[TTR]], TT_COL_ShareTransferFlag)=1),
            Transactions[[#This Row],[CostImpact]]*-1,
            Transactions[[#This Row],[CalCashImpact]]
      ),
     0
)</f>
        <v>0</v>
      </c>
      <c r="Y1072" s="168" t="str">
        <f>VLOOKUP(Transactions[[#This Row],[Symbol]],Symbols[], COLUMN(Symbols[Currency])-COLUMN(Symbols[])+1,FALSE)</f>
        <v>CNY</v>
      </c>
    </row>
    <row r="1073" spans="1:25">
      <c r="A1073" s="155" t="s">
        <v>82</v>
      </c>
      <c r="B1073" s="156">
        <v>42443</v>
      </c>
      <c r="C1073" s="155" t="s">
        <v>115</v>
      </c>
      <c r="D1073" s="155"/>
      <c r="E1073" s="155" t="s">
        <v>642</v>
      </c>
      <c r="F1073" s="157">
        <v>500</v>
      </c>
      <c r="G1073" s="158">
        <v>27.93</v>
      </c>
      <c r="H1073" s="157">
        <v>19.559999999999999</v>
      </c>
      <c r="I1073" s="157"/>
      <c r="J1073" s="159">
        <v>13945.44</v>
      </c>
      <c r="K1073" s="6" t="s">
        <v>641</v>
      </c>
      <c r="L1073" s="20">
        <f>IF(ISNA(MATCH(Transactions[[#This Row],[TransType]],TransTypes[TransType],0)),1,MATCH(Transactions[[#This Row],[TransType]],TransTypes[TransType],0))</f>
        <v>3</v>
      </c>
      <c r="M1073" s="160">
        <f>IF( AND( INDEX(TransTypes[],Transactions[[#This Row],[TTR]],TT_COL_GLFlag)=1, INDEX(TransTypes[],Transactions[[#This Row],[TTR]],TT_COL_LONGORSHORT)="S" ),
      Transactions[[#This Row],[PL]],
      IF(INDEX(TransTypes[],Transactions[[#This Row],[TTR]],TT_COL_LONGORSHORT)="S",0,Transactions[[#This Row],[CalCashImpact]])
)</f>
        <v>13945.44</v>
      </c>
      <c r="N1073" s="161">
        <f>IF(VLOOKUP(Transactions[[#This Row],[Symbol]],Symbols[],COLUMN(Symbols[Currency])-COLUMN(Symbols[])+1,FALSE)=
       VLOOKUP(Transactions[[#This Row],[Account]],Accounts[],COLUMN(Accounts[Currency])-COLUMN(Accounts[])+1,FALSE),
     Transactions[[#This Row],[OrigCashImpact]],
     0
)</f>
        <v>13945.44</v>
      </c>
      <c r="O10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1155178.9899999991</v>
      </c>
      <c r="P10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73" s="41">
        <f>ROW()</f>
        <v>1073</v>
      </c>
      <c r="S10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-12771.772857142858</v>
      </c>
      <c r="T10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76630.637142857144</v>
      </c>
      <c r="U10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073" s="166">
        <f>IF(INDEX(TransTypes[],Transactions[[#This Row],[TTR]],TT_COL_GLFlag)=1,Transactions[[#This Row],[CalCashImpact]]+Transactions[[#This Row],[CostImpact]],0)</f>
        <v>1173.6671428571426</v>
      </c>
      <c r="W1073" s="167">
        <f>Transactions[[#This Row],[Amount]]*INDEX(TransTypes[],Transactions[[#This Row],[TTR]],TT_COL_AmntSign)</f>
        <v>13945.44</v>
      </c>
      <c r="X1073" s="167">
        <f>IF(INDEX(TransTypes[],Transactions[[#This Row],[TTR]],TT_COL_LONGORSHORT)="S",
      IF( OR(INDEX(TransTypes[],Transactions[[#This Row],[TTR]],TT_COL_GLFlag)=1, INDEX(TransTypes[], Transactions[[#This Row],[TTR]], TT_COL_ShareTransferFlag)=1),
            Transactions[[#This Row],[CostImpact]]*-1,
            Transactions[[#This Row],[CalCashImpact]]
      ),
     0
)</f>
        <v>0</v>
      </c>
      <c r="Y1073" s="168" t="str">
        <f>VLOOKUP(Transactions[[#This Row],[Symbol]],Symbols[], COLUMN(Symbols[Currency])-COLUMN(Symbols[])+1,FALSE)</f>
        <v>CNY</v>
      </c>
    </row>
    <row r="1074" spans="1:25">
      <c r="A1074" s="155" t="s">
        <v>82</v>
      </c>
      <c r="B1074" s="156">
        <v>42443</v>
      </c>
      <c r="C1074" s="155" t="s">
        <v>115</v>
      </c>
      <c r="D1074" s="155"/>
      <c r="E1074" s="155" t="s">
        <v>644</v>
      </c>
      <c r="F1074" s="157">
        <v>500</v>
      </c>
      <c r="G1074" s="158">
        <v>52.93</v>
      </c>
      <c r="H1074" s="157">
        <v>37.06</v>
      </c>
      <c r="I1074" s="157"/>
      <c r="J1074" s="159">
        <v>26427.94</v>
      </c>
      <c r="K1074" s="6" t="s">
        <v>641</v>
      </c>
      <c r="L1074" s="20">
        <f>IF(ISNA(MATCH(Transactions[[#This Row],[TransType]],TransTypes[TransType],0)),1,MATCH(Transactions[[#This Row],[TransType]],TransTypes[TransType],0))</f>
        <v>3</v>
      </c>
      <c r="M1074" s="160">
        <f>IF( AND( INDEX(TransTypes[],Transactions[[#This Row],[TTR]],TT_COL_GLFlag)=1, INDEX(TransTypes[],Transactions[[#This Row],[TTR]],TT_COL_LONGORSHORT)="S" ),
      Transactions[[#This Row],[PL]],
      IF(INDEX(TransTypes[],Transactions[[#This Row],[TTR]],TT_COL_LONGORSHORT)="S",0,Transactions[[#This Row],[CalCashImpact]])
)</f>
        <v>26427.94</v>
      </c>
      <c r="N1074" s="161">
        <f>IF(VLOOKUP(Transactions[[#This Row],[Symbol]],Symbols[],COLUMN(Symbols[Currency])-COLUMN(Symbols[])+1,FALSE)=
       VLOOKUP(Transactions[[#This Row],[Account]],Accounts[],COLUMN(Accounts[Currency])-COLUMN(Accounts[])+1,FALSE),
     Transactions[[#This Row],[OrigCashImpact]],
     0
)</f>
        <v>26427.94</v>
      </c>
      <c r="O10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1181606.9299999992</v>
      </c>
      <c r="P10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074" s="41">
        <f>ROW()</f>
        <v>1074</v>
      </c>
      <c r="S10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-26616.254444444443</v>
      </c>
      <c r="T10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26616.254444444443</v>
      </c>
      <c r="U10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074" s="166">
        <f>IF(INDEX(TransTypes[],Transactions[[#This Row],[TTR]],TT_COL_GLFlag)=1,Transactions[[#This Row],[CalCashImpact]]+Transactions[[#This Row],[CostImpact]],0)</f>
        <v>-188.31444444444423</v>
      </c>
      <c r="W1074" s="167">
        <f>Transactions[[#This Row],[Amount]]*INDEX(TransTypes[],Transactions[[#This Row],[TTR]],TT_COL_AmntSign)</f>
        <v>26427.94</v>
      </c>
      <c r="X1074" s="167">
        <f>IF(INDEX(TransTypes[],Transactions[[#This Row],[TTR]],TT_COL_LONGORSHORT)="S",
      IF( OR(INDEX(TransTypes[],Transactions[[#This Row],[TTR]],TT_COL_GLFlag)=1, INDEX(TransTypes[], Transactions[[#This Row],[TTR]], TT_COL_ShareTransferFlag)=1),
            Transactions[[#This Row],[CostImpact]]*-1,
            Transactions[[#This Row],[CalCashImpact]]
      ),
     0
)</f>
        <v>0</v>
      </c>
      <c r="Y1074" s="168" t="str">
        <f>VLOOKUP(Transactions[[#This Row],[Symbol]],Symbols[], COLUMN(Symbols[Currency])-COLUMN(Symbols[])+1,FALSE)</f>
        <v>CNY</v>
      </c>
    </row>
    <row r="1075" spans="1:25">
      <c r="A1075" s="155" t="s">
        <v>82</v>
      </c>
      <c r="B1075" s="156">
        <v>42443</v>
      </c>
      <c r="C1075" s="155" t="s">
        <v>115</v>
      </c>
      <c r="D1075" s="155"/>
      <c r="E1075" s="155" t="s">
        <v>665</v>
      </c>
      <c r="F1075" s="157">
        <v>24000</v>
      </c>
      <c r="G1075" s="158">
        <v>0.88900000000000001</v>
      </c>
      <c r="H1075" s="157">
        <v>8.5299999999999994</v>
      </c>
      <c r="I1075" s="157"/>
      <c r="J1075" s="159">
        <v>21327.47</v>
      </c>
      <c r="K1075" s="6" t="s">
        <v>641</v>
      </c>
      <c r="L1075" s="20">
        <f>IF(ISNA(MATCH(Transactions[[#This Row],[TransType]],TransTypes[TransType],0)),1,MATCH(Transactions[[#This Row],[TransType]],TransTypes[TransType],0))</f>
        <v>3</v>
      </c>
      <c r="M1075" s="160">
        <f>IF( AND( INDEX(TransTypes[],Transactions[[#This Row],[TTR]],TT_COL_GLFlag)=1, INDEX(TransTypes[],Transactions[[#This Row],[TTR]],TT_COL_LONGORSHORT)="S" ),
      Transactions[[#This Row],[PL]],
      IF(INDEX(TransTypes[],Transactions[[#This Row],[TTR]],TT_COL_LONGORSHORT)="S",0,Transactions[[#This Row],[CalCashImpact]])
)</f>
        <v>21327.47</v>
      </c>
      <c r="N1075" s="161">
        <f>IF(VLOOKUP(Transactions[[#This Row],[Symbol]],Symbols[],COLUMN(Symbols[Currency])-COLUMN(Symbols[])+1,FALSE)=
       VLOOKUP(Transactions[[#This Row],[Account]],Accounts[],COLUMN(Accounts[Currency])-COLUMN(Accounts[])+1,FALSE),
     Transactions[[#This Row],[OrigCashImpact]],
     0
)</f>
        <v>21327.47</v>
      </c>
      <c r="O10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1202934.3999999992</v>
      </c>
      <c r="P10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-24000</v>
      </c>
      <c r="Q10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330000</v>
      </c>
      <c r="R1075" s="41">
        <f>ROW()</f>
        <v>1075</v>
      </c>
      <c r="S10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-20161.633088367664</v>
      </c>
      <c r="T10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277222.4549650554</v>
      </c>
      <c r="U10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354000</v>
      </c>
      <c r="V1075" s="166">
        <f>IF(INDEX(TransTypes[],Transactions[[#This Row],[TTR]],TT_COL_GLFlag)=1,Transactions[[#This Row],[CalCashImpact]]+Transactions[[#This Row],[CostImpact]],0)</f>
        <v>1165.8369116323374</v>
      </c>
      <c r="W1075" s="167">
        <f>Transactions[[#This Row],[Amount]]*INDEX(TransTypes[],Transactions[[#This Row],[TTR]],TT_COL_AmntSign)</f>
        <v>21327.47</v>
      </c>
      <c r="X1075" s="167">
        <f>IF(INDEX(TransTypes[],Transactions[[#This Row],[TTR]],TT_COL_LONGORSHORT)="S",
      IF( OR(INDEX(TransTypes[],Transactions[[#This Row],[TTR]],TT_COL_GLFlag)=1, INDEX(TransTypes[], Transactions[[#This Row],[TTR]], TT_COL_ShareTransferFlag)=1),
            Transactions[[#This Row],[CostImpact]]*-1,
            Transactions[[#This Row],[CalCashImpact]]
      ),
     0
)</f>
        <v>0</v>
      </c>
      <c r="Y1075" s="168" t="str">
        <f>VLOOKUP(Transactions[[#This Row],[Symbol]],Symbols[], COLUMN(Symbols[Currency])-COLUMN(Symbols[])+1,FALSE)</f>
        <v>CNY</v>
      </c>
    </row>
    <row r="1076" spans="1:25">
      <c r="A1076" s="155" t="s">
        <v>82</v>
      </c>
      <c r="B1076" s="156">
        <v>42443</v>
      </c>
      <c r="C1076" s="155" t="s">
        <v>115</v>
      </c>
      <c r="D1076" s="155"/>
      <c r="E1076" s="155" t="s">
        <v>684</v>
      </c>
      <c r="F1076" s="157">
        <v>1000</v>
      </c>
      <c r="G1076" s="158">
        <v>19.47</v>
      </c>
      <c r="H1076" s="157">
        <v>27.65</v>
      </c>
      <c r="I1076" s="157"/>
      <c r="J1076" s="159">
        <v>19442.349999999999</v>
      </c>
      <c r="K1076" s="6" t="s">
        <v>641</v>
      </c>
      <c r="L1076" s="20">
        <f>IF(ISNA(MATCH(Transactions[[#This Row],[TransType]],TransTypes[TransType],0)),1,MATCH(Transactions[[#This Row],[TransType]],TransTypes[TransType],0))</f>
        <v>3</v>
      </c>
      <c r="M1076" s="160">
        <f>IF( AND( INDEX(TransTypes[],Transactions[[#This Row],[TTR]],TT_COL_GLFlag)=1, INDEX(TransTypes[],Transactions[[#This Row],[TTR]],TT_COL_LONGORSHORT)="S" ),
      Transactions[[#This Row],[PL]],
      IF(INDEX(TransTypes[],Transactions[[#This Row],[TTR]],TT_COL_LONGORSHORT)="S",0,Transactions[[#This Row],[CalCashImpact]])
)</f>
        <v>19442.349999999999</v>
      </c>
      <c r="N1076" s="161">
        <f>IF(VLOOKUP(Transactions[[#This Row],[Symbol]],Symbols[],COLUMN(Symbols[Currency])-COLUMN(Symbols[])+1,FALSE)=
       VLOOKUP(Transactions[[#This Row],[Account]],Accounts[],COLUMN(Accounts[Currency])-COLUMN(Accounts[])+1,FALSE),
     Transactions[[#This Row],[OrigCashImpact]],
     0
)</f>
        <v>19442.349999999999</v>
      </c>
      <c r="O10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1222376.7499999991</v>
      </c>
      <c r="P10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76" s="41">
        <f>ROW()</f>
        <v>1076</v>
      </c>
      <c r="S10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-18017.563333333332</v>
      </c>
      <c r="T10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54052.689999999995</v>
      </c>
      <c r="U10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76" s="166">
        <f>IF(INDEX(TransTypes[],Transactions[[#This Row],[TTR]],TT_COL_GLFlag)=1,Transactions[[#This Row],[CalCashImpact]]+Transactions[[#This Row],[CostImpact]],0)</f>
        <v>1424.7866666666669</v>
      </c>
      <c r="W1076" s="167">
        <f>Transactions[[#This Row],[Amount]]*INDEX(TransTypes[],Transactions[[#This Row],[TTR]],TT_COL_AmntSign)</f>
        <v>19442.349999999999</v>
      </c>
      <c r="X1076" s="167">
        <f>IF(INDEX(TransTypes[],Transactions[[#This Row],[TTR]],TT_COL_LONGORSHORT)="S",
      IF( OR(INDEX(TransTypes[],Transactions[[#This Row],[TTR]],TT_COL_GLFlag)=1, INDEX(TransTypes[], Transactions[[#This Row],[TTR]], TT_COL_ShareTransferFlag)=1),
            Transactions[[#This Row],[CostImpact]]*-1,
            Transactions[[#This Row],[CalCashImpact]]
      ),
     0
)</f>
        <v>0</v>
      </c>
      <c r="Y1076" s="168" t="str">
        <f>VLOOKUP(Transactions[[#This Row],[Symbol]],Symbols[], COLUMN(Symbols[Currency])-COLUMN(Symbols[])+1,FALSE)</f>
        <v>CNY</v>
      </c>
    </row>
    <row r="1077" spans="1:25">
      <c r="A1077" s="155" t="s">
        <v>82</v>
      </c>
      <c r="B1077" s="156">
        <v>42443</v>
      </c>
      <c r="C1077" s="155" t="s">
        <v>115</v>
      </c>
      <c r="D1077" s="155"/>
      <c r="E1077" s="155" t="s">
        <v>485</v>
      </c>
      <c r="F1077" s="157">
        <v>1000</v>
      </c>
      <c r="G1077" s="158">
        <v>11.87</v>
      </c>
      <c r="H1077" s="157">
        <v>17.11</v>
      </c>
      <c r="I1077" s="157"/>
      <c r="J1077" s="159">
        <v>11852.89</v>
      </c>
      <c r="K1077" s="6" t="s">
        <v>641</v>
      </c>
      <c r="L1077" s="20">
        <f>IF(ISNA(MATCH(Transactions[[#This Row],[TransType]],TransTypes[TransType],0)),1,MATCH(Transactions[[#This Row],[TransType]],TransTypes[TransType],0))</f>
        <v>3</v>
      </c>
      <c r="M1077" s="160">
        <f>IF( AND( INDEX(TransTypes[],Transactions[[#This Row],[TTR]],TT_COL_GLFlag)=1, INDEX(TransTypes[],Transactions[[#This Row],[TTR]],TT_COL_LONGORSHORT)="S" ),
      Transactions[[#This Row],[PL]],
      IF(INDEX(TransTypes[],Transactions[[#This Row],[TTR]],TT_COL_LONGORSHORT)="S",0,Transactions[[#This Row],[CalCashImpact]])
)</f>
        <v>11852.89</v>
      </c>
      <c r="N1077" s="161">
        <f>IF(VLOOKUP(Transactions[[#This Row],[Symbol]],Symbols[],COLUMN(Symbols[Currency])-COLUMN(Symbols[])+1,FALSE)=
       VLOOKUP(Transactions[[#This Row],[Account]],Accounts[],COLUMN(Accounts[Currency])-COLUMN(Accounts[])+1,FALSE),
     Transactions[[#This Row],[OrigCashImpact]],
     0
)</f>
        <v>11852.89</v>
      </c>
      <c r="O10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1234229.6399999992</v>
      </c>
      <c r="P10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77" s="41">
        <f>ROW()</f>
        <v>1077</v>
      </c>
      <c r="S10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-12540.266250000001</v>
      </c>
      <c r="T10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37620.798750000002</v>
      </c>
      <c r="U10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77" s="166">
        <f>IF(INDEX(TransTypes[],Transactions[[#This Row],[TTR]],TT_COL_GLFlag)=1,Transactions[[#This Row],[CalCashImpact]]+Transactions[[#This Row],[CostImpact]],0)</f>
        <v>-687.37625000000116</v>
      </c>
      <c r="W1077" s="167">
        <f>Transactions[[#This Row],[Amount]]*INDEX(TransTypes[],Transactions[[#This Row],[TTR]],TT_COL_AmntSign)</f>
        <v>11852.89</v>
      </c>
      <c r="X1077" s="167">
        <f>IF(INDEX(TransTypes[],Transactions[[#This Row],[TTR]],TT_COL_LONGORSHORT)="S",
      IF( OR(INDEX(TransTypes[],Transactions[[#This Row],[TTR]],TT_COL_GLFlag)=1, INDEX(TransTypes[], Transactions[[#This Row],[TTR]], TT_COL_ShareTransferFlag)=1),
            Transactions[[#This Row],[CostImpact]]*-1,
            Transactions[[#This Row],[CalCashImpact]]
      ),
     0
)</f>
        <v>0</v>
      </c>
      <c r="Y1077" s="168" t="str">
        <f>VLOOKUP(Transactions[[#This Row],[Symbol]],Symbols[], COLUMN(Symbols[Currency])-COLUMN(Symbols[])+1,FALSE)</f>
        <v>CNY</v>
      </c>
    </row>
    <row r="1078" spans="1:25">
      <c r="A1078" s="155" t="s">
        <v>82</v>
      </c>
      <c r="B1078" s="156">
        <v>42443</v>
      </c>
      <c r="C1078" s="155" t="s">
        <v>115</v>
      </c>
      <c r="D1078" s="155"/>
      <c r="E1078" s="155" t="s">
        <v>681</v>
      </c>
      <c r="F1078" s="157">
        <v>3000</v>
      </c>
      <c r="G1078" s="158">
        <v>13.62</v>
      </c>
      <c r="H1078" s="157">
        <v>58.02</v>
      </c>
      <c r="I1078" s="157"/>
      <c r="J1078" s="159">
        <v>40801.980000000003</v>
      </c>
      <c r="K1078" s="6" t="s">
        <v>641</v>
      </c>
      <c r="L1078" s="20">
        <f>IF(ISNA(MATCH(Transactions[[#This Row],[TransType]],TransTypes[TransType],0)),1,MATCH(Transactions[[#This Row],[TransType]],TransTypes[TransType],0))</f>
        <v>3</v>
      </c>
      <c r="M1078" s="160">
        <f>IF( AND( INDEX(TransTypes[],Transactions[[#This Row],[TTR]],TT_COL_GLFlag)=1, INDEX(TransTypes[],Transactions[[#This Row],[TTR]],TT_COL_LONGORSHORT)="S" ),
      Transactions[[#This Row],[PL]],
      IF(INDEX(TransTypes[],Transactions[[#This Row],[TTR]],TT_COL_LONGORSHORT)="S",0,Transactions[[#This Row],[CalCashImpact]])
)</f>
        <v>40801.980000000003</v>
      </c>
      <c r="N1078" s="161">
        <f>IF(VLOOKUP(Transactions[[#This Row],[Symbol]],Symbols[],COLUMN(Symbols[Currency])-COLUMN(Symbols[])+1,FALSE)=
       VLOOKUP(Transactions[[#This Row],[Account]],Accounts[],COLUMN(Accounts[Currency])-COLUMN(Accounts[])+1,FALSE),
     Transactions[[#This Row],[OrigCashImpact]],
     0
)</f>
        <v>40801.980000000003</v>
      </c>
      <c r="O10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1275031.6199999992</v>
      </c>
      <c r="P10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0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78" s="41">
        <f>ROW()</f>
        <v>1078</v>
      </c>
      <c r="S10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-40637.06</v>
      </c>
      <c r="T10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78" s="166">
        <f>IF(INDEX(TransTypes[],Transactions[[#This Row],[TTR]],TT_COL_GLFlag)=1,Transactions[[#This Row],[CalCashImpact]]+Transactions[[#This Row],[CostImpact]],0)</f>
        <v>164.92000000000553</v>
      </c>
      <c r="W1078" s="167">
        <f>Transactions[[#This Row],[Amount]]*INDEX(TransTypes[],Transactions[[#This Row],[TTR]],TT_COL_AmntSign)</f>
        <v>40801.980000000003</v>
      </c>
      <c r="X1078" s="167">
        <f>IF(INDEX(TransTypes[],Transactions[[#This Row],[TTR]],TT_COL_LONGORSHORT)="S",
      IF( OR(INDEX(TransTypes[],Transactions[[#This Row],[TTR]],TT_COL_GLFlag)=1, INDEX(TransTypes[], Transactions[[#This Row],[TTR]], TT_COL_ShareTransferFlag)=1),
            Transactions[[#This Row],[CostImpact]]*-1,
            Transactions[[#This Row],[CalCashImpact]]
      ),
     0
)</f>
        <v>0</v>
      </c>
      <c r="Y1078" s="168" t="str">
        <f>VLOOKUP(Transactions[[#This Row],[Symbol]],Symbols[], COLUMN(Symbols[Currency])-COLUMN(Symbols[])+1,FALSE)</f>
        <v>CNY</v>
      </c>
    </row>
    <row r="1079" spans="1:25">
      <c r="A1079" s="155" t="s">
        <v>82</v>
      </c>
      <c r="B1079" s="156">
        <v>42445</v>
      </c>
      <c r="C1079" s="155" t="s">
        <v>113</v>
      </c>
      <c r="D1079" s="155"/>
      <c r="E1079" s="155" t="s">
        <v>647</v>
      </c>
      <c r="F1079" s="157">
        <v>3000</v>
      </c>
      <c r="G1079" s="158">
        <v>30.77</v>
      </c>
      <c r="H1079" s="157">
        <v>36.92</v>
      </c>
      <c r="I1079" s="157"/>
      <c r="J1079" s="159">
        <v>92346.92</v>
      </c>
      <c r="K1079" s="6" t="s">
        <v>641</v>
      </c>
      <c r="L1079" s="20">
        <f>IF(ISNA(MATCH(Transactions[[#This Row],[TransType]],TransTypes[TransType],0)),1,MATCH(Transactions[[#This Row],[TransType]],TransTypes[TransType],0))</f>
        <v>2</v>
      </c>
      <c r="M1079" s="160">
        <f>IF( AND( INDEX(TransTypes[],Transactions[[#This Row],[TTR]],TT_COL_GLFlag)=1, INDEX(TransTypes[],Transactions[[#This Row],[TTR]],TT_COL_LONGORSHORT)="S" ),
      Transactions[[#This Row],[PL]],
      IF(INDEX(TransTypes[],Transactions[[#This Row],[TTR]],TT_COL_LONGORSHORT)="S",0,Transactions[[#This Row],[CalCashImpact]])
)</f>
        <v>-92346.92</v>
      </c>
      <c r="N1079" s="161">
        <f>IF(VLOOKUP(Transactions[[#This Row],[Symbol]],Symbols[],COLUMN(Symbols[Currency])-COLUMN(Symbols[])+1,FALSE)=
       VLOOKUP(Transactions[[#This Row],[Account]],Accounts[],COLUMN(Accounts[Currency])-COLUMN(Accounts[])+1,FALSE),
     Transactions[[#This Row],[OrigCashImpact]],
     0
)</f>
        <v>-92346.92</v>
      </c>
      <c r="O10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1182684.699999999</v>
      </c>
      <c r="P10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0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079" s="41">
        <f>ROW()</f>
        <v>1079</v>
      </c>
      <c r="S10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92346.92</v>
      </c>
      <c r="T10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151410.535</v>
      </c>
      <c r="U10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79" s="166">
        <f>IF(INDEX(TransTypes[],Transactions[[#This Row],[TTR]],TT_COL_GLFlag)=1,Transactions[[#This Row],[CalCashImpact]]+Transactions[[#This Row],[CostImpact]],0)</f>
        <v>0</v>
      </c>
      <c r="W1079" s="167">
        <f>Transactions[[#This Row],[Amount]]*INDEX(TransTypes[],Transactions[[#This Row],[TTR]],TT_COL_AmntSign)</f>
        <v>-92346.92</v>
      </c>
      <c r="X1079" s="167">
        <f>IF(INDEX(TransTypes[],Transactions[[#This Row],[TTR]],TT_COL_LONGORSHORT)="S",
      IF( OR(INDEX(TransTypes[],Transactions[[#This Row],[TTR]],TT_COL_GLFlag)=1, INDEX(TransTypes[], Transactions[[#This Row],[TTR]], TT_COL_ShareTransferFlag)=1),
            Transactions[[#This Row],[CostImpact]]*-1,
            Transactions[[#This Row],[CalCashImpact]]
      ),
     0
)</f>
        <v>0</v>
      </c>
      <c r="Y1079" s="168" t="str">
        <f>VLOOKUP(Transactions[[#This Row],[Symbol]],Symbols[], COLUMN(Symbols[Currency])-COLUMN(Symbols[])+1,FALSE)</f>
        <v>CNY</v>
      </c>
    </row>
    <row r="1080" spans="1:25">
      <c r="A1080" s="155" t="s">
        <v>82</v>
      </c>
      <c r="B1080" s="156">
        <v>42445</v>
      </c>
      <c r="C1080" s="155" t="s">
        <v>113</v>
      </c>
      <c r="D1080" s="155"/>
      <c r="E1080" s="155" t="s">
        <v>644</v>
      </c>
      <c r="F1080" s="157">
        <v>1000</v>
      </c>
      <c r="G1080" s="158">
        <v>52.508000000000003</v>
      </c>
      <c r="H1080" s="157">
        <v>21</v>
      </c>
      <c r="I1080" s="157"/>
      <c r="J1080" s="159">
        <v>52529</v>
      </c>
      <c r="K1080" s="6" t="s">
        <v>641</v>
      </c>
      <c r="L1080" s="20">
        <f>IF(ISNA(MATCH(Transactions[[#This Row],[TransType]],TransTypes[TransType],0)),1,MATCH(Transactions[[#This Row],[TransType]],TransTypes[TransType],0))</f>
        <v>2</v>
      </c>
      <c r="M1080" s="160">
        <f>IF( AND( INDEX(TransTypes[],Transactions[[#This Row],[TTR]],TT_COL_GLFlag)=1, INDEX(TransTypes[],Transactions[[#This Row],[TTR]],TT_COL_LONGORSHORT)="S" ),
      Transactions[[#This Row],[PL]],
      IF(INDEX(TransTypes[],Transactions[[#This Row],[TTR]],TT_COL_LONGORSHORT)="S",0,Transactions[[#This Row],[CalCashImpact]])
)</f>
        <v>-52529</v>
      </c>
      <c r="N1080" s="161">
        <f>IF(VLOOKUP(Transactions[[#This Row],[Symbol]],Symbols[],COLUMN(Symbols[Currency])-COLUMN(Symbols[])+1,FALSE)=
       VLOOKUP(Transactions[[#This Row],[Account]],Accounts[],COLUMN(Accounts[Currency])-COLUMN(Accounts[])+1,FALSE),
     Transactions[[#This Row],[OrigCashImpact]],
     0
)</f>
        <v>-52529</v>
      </c>
      <c r="O10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1130155.699999999</v>
      </c>
      <c r="P10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1080" s="41">
        <f>ROW()</f>
        <v>1080</v>
      </c>
      <c r="S10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52529</v>
      </c>
      <c r="T10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79145.254444444436</v>
      </c>
      <c r="U10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1080" s="166">
        <f>IF(INDEX(TransTypes[],Transactions[[#This Row],[TTR]],TT_COL_GLFlag)=1,Transactions[[#This Row],[CalCashImpact]]+Transactions[[#This Row],[CostImpact]],0)</f>
        <v>0</v>
      </c>
      <c r="W1080" s="167">
        <f>Transactions[[#This Row],[Amount]]*INDEX(TransTypes[],Transactions[[#This Row],[TTR]],TT_COL_AmntSign)</f>
        <v>-52529</v>
      </c>
      <c r="X1080" s="167">
        <f>IF(INDEX(TransTypes[],Transactions[[#This Row],[TTR]],TT_COL_LONGORSHORT)="S",
      IF( OR(INDEX(TransTypes[],Transactions[[#This Row],[TTR]],TT_COL_GLFlag)=1, INDEX(TransTypes[], Transactions[[#This Row],[TTR]], TT_COL_ShareTransferFlag)=1),
            Transactions[[#This Row],[CostImpact]]*-1,
            Transactions[[#This Row],[CalCashImpact]]
      ),
     0
)</f>
        <v>0</v>
      </c>
      <c r="Y1080" s="168" t="str">
        <f>VLOOKUP(Transactions[[#This Row],[Symbol]],Symbols[], COLUMN(Symbols[Currency])-COLUMN(Symbols[])+1,FALSE)</f>
        <v>CNY</v>
      </c>
    </row>
    <row r="1081" spans="1:25">
      <c r="A1081" s="155" t="s">
        <v>82</v>
      </c>
      <c r="B1081" s="156">
        <v>42445</v>
      </c>
      <c r="C1081" s="155" t="s">
        <v>113</v>
      </c>
      <c r="D1081" s="155"/>
      <c r="E1081" s="155" t="s">
        <v>467</v>
      </c>
      <c r="F1081" s="157">
        <v>1000</v>
      </c>
      <c r="G1081" s="158">
        <v>35.1</v>
      </c>
      <c r="H1081" s="157">
        <v>14.04</v>
      </c>
      <c r="I1081" s="157"/>
      <c r="J1081" s="159">
        <v>35114.04</v>
      </c>
      <c r="K1081" s="6" t="s">
        <v>641</v>
      </c>
      <c r="L1081" s="20">
        <f>IF(ISNA(MATCH(Transactions[[#This Row],[TransType]],TransTypes[TransType],0)),1,MATCH(Transactions[[#This Row],[TransType]],TransTypes[TransType],0))</f>
        <v>2</v>
      </c>
      <c r="M1081" s="160">
        <f>IF( AND( INDEX(TransTypes[],Transactions[[#This Row],[TTR]],TT_COL_GLFlag)=1, INDEX(TransTypes[],Transactions[[#This Row],[TTR]],TT_COL_LONGORSHORT)="S" ),
      Transactions[[#This Row],[PL]],
      IF(INDEX(TransTypes[],Transactions[[#This Row],[TTR]],TT_COL_LONGORSHORT)="S",0,Transactions[[#This Row],[CalCashImpact]])
)</f>
        <v>-35114.04</v>
      </c>
      <c r="N1081" s="161">
        <f>IF(VLOOKUP(Transactions[[#This Row],[Symbol]],Symbols[],COLUMN(Symbols[Currency])-COLUMN(Symbols[])+1,FALSE)=
       VLOOKUP(Transactions[[#This Row],[Account]],Accounts[],COLUMN(Accounts[Currency])-COLUMN(Accounts[])+1,FALSE),
     Transactions[[#This Row],[OrigCashImpact]],
     0
)</f>
        <v>-35114.04</v>
      </c>
      <c r="O10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1095041.659999999</v>
      </c>
      <c r="P10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81" s="41">
        <f>ROW()</f>
        <v>1081</v>
      </c>
      <c r="S10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35114.04</v>
      </c>
      <c r="T10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71622.805833333332</v>
      </c>
      <c r="U10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81" s="166">
        <f>IF(INDEX(TransTypes[],Transactions[[#This Row],[TTR]],TT_COL_GLFlag)=1,Transactions[[#This Row],[CalCashImpact]]+Transactions[[#This Row],[CostImpact]],0)</f>
        <v>0</v>
      </c>
      <c r="W1081" s="167">
        <f>Transactions[[#This Row],[Amount]]*INDEX(TransTypes[],Transactions[[#This Row],[TTR]],TT_COL_AmntSign)</f>
        <v>-35114.04</v>
      </c>
      <c r="X1081" s="167">
        <f>IF(INDEX(TransTypes[],Transactions[[#This Row],[TTR]],TT_COL_LONGORSHORT)="S",
      IF( OR(INDEX(TransTypes[],Transactions[[#This Row],[TTR]],TT_COL_GLFlag)=1, INDEX(TransTypes[], Transactions[[#This Row],[TTR]], TT_COL_ShareTransferFlag)=1),
            Transactions[[#This Row],[CostImpact]]*-1,
            Transactions[[#This Row],[CalCashImpact]]
      ),
     0
)</f>
        <v>0</v>
      </c>
      <c r="Y1081" s="168" t="str">
        <f>VLOOKUP(Transactions[[#This Row],[Symbol]],Symbols[], COLUMN(Symbols[Currency])-COLUMN(Symbols[])+1,FALSE)</f>
        <v>CNY</v>
      </c>
    </row>
    <row r="1082" spans="1:25">
      <c r="A1082" s="155" t="s">
        <v>82</v>
      </c>
      <c r="B1082" s="156">
        <v>42445</v>
      </c>
      <c r="C1082" s="155" t="s">
        <v>113</v>
      </c>
      <c r="D1082" s="155"/>
      <c r="E1082" s="155" t="s">
        <v>685</v>
      </c>
      <c r="F1082" s="157">
        <v>2000</v>
      </c>
      <c r="G1082" s="158">
        <v>26.991</v>
      </c>
      <c r="H1082" s="157">
        <v>22.67</v>
      </c>
      <c r="I1082" s="157"/>
      <c r="J1082" s="159">
        <v>54004.67</v>
      </c>
      <c r="K1082" s="6" t="s">
        <v>641</v>
      </c>
      <c r="L1082" s="20">
        <f>IF(ISNA(MATCH(Transactions[[#This Row],[TransType]],TransTypes[TransType],0)),1,MATCH(Transactions[[#This Row],[TransType]],TransTypes[TransType],0))</f>
        <v>2</v>
      </c>
      <c r="M1082" s="160">
        <f>IF( AND( INDEX(TransTypes[],Transactions[[#This Row],[TTR]],TT_COL_GLFlag)=1, INDEX(TransTypes[],Transactions[[#This Row],[TTR]],TT_COL_LONGORSHORT)="S" ),
      Transactions[[#This Row],[PL]],
      IF(INDEX(TransTypes[],Transactions[[#This Row],[TTR]],TT_COL_LONGORSHORT)="S",0,Transactions[[#This Row],[CalCashImpact]])
)</f>
        <v>-54004.67</v>
      </c>
      <c r="N1082" s="161">
        <f>IF(VLOOKUP(Transactions[[#This Row],[Symbol]],Symbols[],COLUMN(Symbols[Currency])-COLUMN(Symbols[])+1,FALSE)=
       VLOOKUP(Transactions[[#This Row],[Account]],Accounts[],COLUMN(Accounts[Currency])-COLUMN(Accounts[])+1,FALSE),
     Transactions[[#This Row],[OrigCashImpact]],
     0
)</f>
        <v>-54004.67</v>
      </c>
      <c r="O10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1041036.9899999989</v>
      </c>
      <c r="P10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082" s="41">
        <f>ROW()</f>
        <v>1082</v>
      </c>
      <c r="S10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54004.67</v>
      </c>
      <c r="T10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133297.95799999998</v>
      </c>
      <c r="U10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82" s="166">
        <f>IF(INDEX(TransTypes[],Transactions[[#This Row],[TTR]],TT_COL_GLFlag)=1,Transactions[[#This Row],[CalCashImpact]]+Transactions[[#This Row],[CostImpact]],0)</f>
        <v>0</v>
      </c>
      <c r="W1082" s="167">
        <f>Transactions[[#This Row],[Amount]]*INDEX(TransTypes[],Transactions[[#This Row],[TTR]],TT_COL_AmntSign)</f>
        <v>-54004.67</v>
      </c>
      <c r="X1082" s="167">
        <f>IF(INDEX(TransTypes[],Transactions[[#This Row],[TTR]],TT_COL_LONGORSHORT)="S",
      IF( OR(INDEX(TransTypes[],Transactions[[#This Row],[TTR]],TT_COL_GLFlag)=1, INDEX(TransTypes[], Transactions[[#This Row],[TTR]], TT_COL_ShareTransferFlag)=1),
            Transactions[[#This Row],[CostImpact]]*-1,
            Transactions[[#This Row],[CalCashImpact]]
      ),
     0
)</f>
        <v>0</v>
      </c>
      <c r="Y1082" s="168" t="str">
        <f>VLOOKUP(Transactions[[#This Row],[Symbol]],Symbols[], COLUMN(Symbols[Currency])-COLUMN(Symbols[])+1,FALSE)</f>
        <v>CNY</v>
      </c>
    </row>
    <row r="1083" spans="1:25">
      <c r="A1083" s="155" t="s">
        <v>82</v>
      </c>
      <c r="B1083" s="156">
        <v>42445</v>
      </c>
      <c r="C1083" s="155" t="s">
        <v>113</v>
      </c>
      <c r="D1083" s="155"/>
      <c r="E1083" s="155" t="s">
        <v>684</v>
      </c>
      <c r="F1083" s="157">
        <v>2000</v>
      </c>
      <c r="G1083" s="158">
        <v>19.989999999999998</v>
      </c>
      <c r="H1083" s="157">
        <v>16.79</v>
      </c>
      <c r="I1083" s="157"/>
      <c r="J1083" s="159">
        <v>39996.79</v>
      </c>
      <c r="K1083" s="6" t="s">
        <v>641</v>
      </c>
      <c r="L1083" s="20">
        <f>IF(ISNA(MATCH(Transactions[[#This Row],[TransType]],TransTypes[TransType],0)),1,MATCH(Transactions[[#This Row],[TransType]],TransTypes[TransType],0))</f>
        <v>2</v>
      </c>
      <c r="M1083" s="160">
        <f>IF( AND( INDEX(TransTypes[],Transactions[[#This Row],[TTR]],TT_COL_GLFlag)=1, INDEX(TransTypes[],Transactions[[#This Row],[TTR]],TT_COL_LONGORSHORT)="S" ),
      Transactions[[#This Row],[PL]],
      IF(INDEX(TransTypes[],Transactions[[#This Row],[TTR]],TT_COL_LONGORSHORT)="S",0,Transactions[[#This Row],[CalCashImpact]])
)</f>
        <v>-39996.79</v>
      </c>
      <c r="N1083" s="161">
        <f>IF(VLOOKUP(Transactions[[#This Row],[Symbol]],Symbols[],COLUMN(Symbols[Currency])-COLUMN(Symbols[])+1,FALSE)=
       VLOOKUP(Transactions[[#This Row],[Account]],Accounts[],COLUMN(Accounts[Currency])-COLUMN(Accounts[])+1,FALSE),
     Transactions[[#This Row],[OrigCashImpact]],
     0
)</f>
        <v>-39996.79</v>
      </c>
      <c r="O10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1001040.199999999</v>
      </c>
      <c r="P10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083" s="41">
        <f>ROW()</f>
        <v>1083</v>
      </c>
      <c r="S10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39996.79</v>
      </c>
      <c r="T10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94049.48</v>
      </c>
      <c r="U10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83" s="166">
        <f>IF(INDEX(TransTypes[],Transactions[[#This Row],[TTR]],TT_COL_GLFlag)=1,Transactions[[#This Row],[CalCashImpact]]+Transactions[[#This Row],[CostImpact]],0)</f>
        <v>0</v>
      </c>
      <c r="W1083" s="167">
        <f>Transactions[[#This Row],[Amount]]*INDEX(TransTypes[],Transactions[[#This Row],[TTR]],TT_COL_AmntSign)</f>
        <v>-39996.79</v>
      </c>
      <c r="X1083" s="167">
        <f>IF(INDEX(TransTypes[],Transactions[[#This Row],[TTR]],TT_COL_LONGORSHORT)="S",
      IF( OR(INDEX(TransTypes[],Transactions[[#This Row],[TTR]],TT_COL_GLFlag)=1, INDEX(TransTypes[], Transactions[[#This Row],[TTR]], TT_COL_ShareTransferFlag)=1),
            Transactions[[#This Row],[CostImpact]]*-1,
            Transactions[[#This Row],[CalCashImpact]]
      ),
     0
)</f>
        <v>0</v>
      </c>
      <c r="Y1083" s="168" t="str">
        <f>VLOOKUP(Transactions[[#This Row],[Symbol]],Symbols[], COLUMN(Symbols[Currency])-COLUMN(Symbols[])+1,FALSE)</f>
        <v>CNY</v>
      </c>
    </row>
    <row r="1084" spans="1:25">
      <c r="A1084" s="155" t="s">
        <v>82</v>
      </c>
      <c r="B1084" s="156">
        <v>42445</v>
      </c>
      <c r="C1084" s="155" t="s">
        <v>113</v>
      </c>
      <c r="D1084" s="155"/>
      <c r="E1084" s="155" t="s">
        <v>464</v>
      </c>
      <c r="F1084" s="157">
        <v>200</v>
      </c>
      <c r="G1084" s="158">
        <v>227.1</v>
      </c>
      <c r="H1084" s="157">
        <v>19.079999999999998</v>
      </c>
      <c r="I1084" s="157"/>
      <c r="J1084" s="159">
        <v>45439.08</v>
      </c>
      <c r="K1084" s="6" t="s">
        <v>641</v>
      </c>
      <c r="L1084" s="20">
        <f>IF(ISNA(MATCH(Transactions[[#This Row],[TransType]],TransTypes[TransType],0)),1,MATCH(Transactions[[#This Row],[TransType]],TransTypes[TransType],0))</f>
        <v>2</v>
      </c>
      <c r="M1084" s="160">
        <f>IF( AND( INDEX(TransTypes[],Transactions[[#This Row],[TTR]],TT_COL_GLFlag)=1, INDEX(TransTypes[],Transactions[[#This Row],[TTR]],TT_COL_LONGORSHORT)="S" ),
      Transactions[[#This Row],[PL]],
      IF(INDEX(TransTypes[],Transactions[[#This Row],[TTR]],TT_COL_LONGORSHORT)="S",0,Transactions[[#This Row],[CalCashImpact]])
)</f>
        <v>-45439.08</v>
      </c>
      <c r="N1084" s="161">
        <f>IF(VLOOKUP(Transactions[[#This Row],[Symbol]],Symbols[],COLUMN(Symbols[Currency])-COLUMN(Symbols[])+1,FALSE)=
       VLOOKUP(Transactions[[#This Row],[Account]],Accounts[],COLUMN(Accounts[Currency])-COLUMN(Accounts[])+1,FALSE),
     Transactions[[#This Row],[OrigCashImpact]],
     0
)</f>
        <v>-45439.08</v>
      </c>
      <c r="O10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955601.11999999895</v>
      </c>
      <c r="P10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0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084" s="41">
        <f>ROW()</f>
        <v>1084</v>
      </c>
      <c r="S10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45439.08</v>
      </c>
      <c r="T10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108590.99399999999</v>
      </c>
      <c r="U10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084" s="166">
        <f>IF(INDEX(TransTypes[],Transactions[[#This Row],[TTR]],TT_COL_GLFlag)=1,Transactions[[#This Row],[CalCashImpact]]+Transactions[[#This Row],[CostImpact]],0)</f>
        <v>0</v>
      </c>
      <c r="W1084" s="167">
        <f>Transactions[[#This Row],[Amount]]*INDEX(TransTypes[],Transactions[[#This Row],[TTR]],TT_COL_AmntSign)</f>
        <v>-45439.08</v>
      </c>
      <c r="X1084" s="167">
        <f>IF(INDEX(TransTypes[],Transactions[[#This Row],[TTR]],TT_COL_LONGORSHORT)="S",
      IF( OR(INDEX(TransTypes[],Transactions[[#This Row],[TTR]],TT_COL_GLFlag)=1, INDEX(TransTypes[], Transactions[[#This Row],[TTR]], TT_COL_ShareTransferFlag)=1),
            Transactions[[#This Row],[CostImpact]]*-1,
            Transactions[[#This Row],[CalCashImpact]]
      ),
     0
)</f>
        <v>0</v>
      </c>
      <c r="Y1084" s="168" t="str">
        <f>VLOOKUP(Transactions[[#This Row],[Symbol]],Symbols[], COLUMN(Symbols[Currency])-COLUMN(Symbols[])+1,FALSE)</f>
        <v>CNY</v>
      </c>
    </row>
    <row r="1085" spans="1:25">
      <c r="A1085" s="155" t="s">
        <v>82</v>
      </c>
      <c r="B1085" s="156">
        <v>42445</v>
      </c>
      <c r="C1085" s="155" t="s">
        <v>115</v>
      </c>
      <c r="D1085" s="155"/>
      <c r="E1085" s="155" t="s">
        <v>485</v>
      </c>
      <c r="F1085" s="157">
        <v>3000</v>
      </c>
      <c r="G1085" s="158">
        <v>11.92</v>
      </c>
      <c r="H1085" s="157">
        <v>50.78</v>
      </c>
      <c r="I1085" s="157"/>
      <c r="J1085" s="159">
        <v>35709.22</v>
      </c>
      <c r="K1085" s="6" t="s">
        <v>641</v>
      </c>
      <c r="L1085" s="20">
        <f>IF(ISNA(MATCH(Transactions[[#This Row],[TransType]],TransTypes[TransType],0)),1,MATCH(Transactions[[#This Row],[TransType]],TransTypes[TransType],0))</f>
        <v>3</v>
      </c>
      <c r="M1085" s="160">
        <f>IF( AND( INDEX(TransTypes[],Transactions[[#This Row],[TTR]],TT_COL_GLFlag)=1, INDEX(TransTypes[],Transactions[[#This Row],[TTR]],TT_COL_LONGORSHORT)="S" ),
      Transactions[[#This Row],[PL]],
      IF(INDEX(TransTypes[],Transactions[[#This Row],[TTR]],TT_COL_LONGORSHORT)="S",0,Transactions[[#This Row],[CalCashImpact]])
)</f>
        <v>35709.22</v>
      </c>
      <c r="N1085" s="161">
        <f>IF(VLOOKUP(Transactions[[#This Row],[Symbol]],Symbols[],COLUMN(Symbols[Currency])-COLUMN(Symbols[])+1,FALSE)=
       VLOOKUP(Transactions[[#This Row],[Account]],Accounts[],COLUMN(Accounts[Currency])-COLUMN(Accounts[])+1,FALSE),
     Transactions[[#This Row],[OrigCashImpact]],
     0
)</f>
        <v>35709.22</v>
      </c>
      <c r="O10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991310.33999999892</v>
      </c>
      <c r="P10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0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85" s="41">
        <f>ROW()</f>
        <v>1085</v>
      </c>
      <c r="S10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-37620.798750000002</v>
      </c>
      <c r="T10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85" s="166">
        <f>IF(INDEX(TransTypes[],Transactions[[#This Row],[TTR]],TT_COL_GLFlag)=1,Transactions[[#This Row],[CalCashImpact]]+Transactions[[#This Row],[CostImpact]],0)</f>
        <v>-1911.5787500000006</v>
      </c>
      <c r="W1085" s="167">
        <f>Transactions[[#This Row],[Amount]]*INDEX(TransTypes[],Transactions[[#This Row],[TTR]],TT_COL_AmntSign)</f>
        <v>35709.22</v>
      </c>
      <c r="X1085" s="167">
        <f>IF(INDEX(TransTypes[],Transactions[[#This Row],[TTR]],TT_COL_LONGORSHORT)="S",
      IF( OR(INDEX(TransTypes[],Transactions[[#This Row],[TTR]],TT_COL_GLFlag)=1, INDEX(TransTypes[], Transactions[[#This Row],[TTR]], TT_COL_ShareTransferFlag)=1),
            Transactions[[#This Row],[CostImpact]]*-1,
            Transactions[[#This Row],[CalCashImpact]]
      ),
     0
)</f>
        <v>0</v>
      </c>
      <c r="Y1085" s="168" t="str">
        <f>VLOOKUP(Transactions[[#This Row],[Symbol]],Symbols[], COLUMN(Symbols[Currency])-COLUMN(Symbols[])+1,FALSE)</f>
        <v>CNY</v>
      </c>
    </row>
    <row r="1086" spans="1:25">
      <c r="A1086" s="155" t="s">
        <v>82</v>
      </c>
      <c r="B1086" s="156">
        <v>42446</v>
      </c>
      <c r="C1086" s="155" t="s">
        <v>113</v>
      </c>
      <c r="D1086" s="155"/>
      <c r="E1086" s="155" t="s">
        <v>644</v>
      </c>
      <c r="F1086" s="157">
        <v>1000</v>
      </c>
      <c r="G1086" s="158">
        <v>54.8</v>
      </c>
      <c r="H1086" s="157">
        <v>21.92</v>
      </c>
      <c r="I1086" s="157"/>
      <c r="J1086" s="159">
        <v>54821.919999999998</v>
      </c>
      <c r="K1086" s="6" t="s">
        <v>641</v>
      </c>
      <c r="L1086" s="20">
        <f>IF(ISNA(MATCH(Transactions[[#This Row],[TransType]],TransTypes[TransType],0)),1,MATCH(Transactions[[#This Row],[TransType]],TransTypes[TransType],0))</f>
        <v>2</v>
      </c>
      <c r="M1086" s="160">
        <f>IF( AND( INDEX(TransTypes[],Transactions[[#This Row],[TTR]],TT_COL_GLFlag)=1, INDEX(TransTypes[],Transactions[[#This Row],[TTR]],TT_COL_LONGORSHORT)="S" ),
      Transactions[[#This Row],[PL]],
      IF(INDEX(TransTypes[],Transactions[[#This Row],[TTR]],TT_COL_LONGORSHORT)="S",0,Transactions[[#This Row],[CalCashImpact]])
)</f>
        <v>-54821.919999999998</v>
      </c>
      <c r="N1086" s="161">
        <f>IF(VLOOKUP(Transactions[[#This Row],[Symbol]],Symbols[],COLUMN(Symbols[Currency])-COLUMN(Symbols[])+1,FALSE)=
       VLOOKUP(Transactions[[#This Row],[Account]],Accounts[],COLUMN(Accounts[Currency])-COLUMN(Accounts[])+1,FALSE),
     Transactions[[#This Row],[OrigCashImpact]],
     0
)</f>
        <v>-54821.919999999998</v>
      </c>
      <c r="O10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936488.41999999888</v>
      </c>
      <c r="P10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1086" s="41">
        <f>ROW()</f>
        <v>1086</v>
      </c>
      <c r="S10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54821.919999999998</v>
      </c>
      <c r="T10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133967.17444444442</v>
      </c>
      <c r="U10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v>
      </c>
      <c r="V1086" s="166">
        <f>IF(INDEX(TransTypes[],Transactions[[#This Row],[TTR]],TT_COL_GLFlag)=1,Transactions[[#This Row],[CalCashImpact]]+Transactions[[#This Row],[CostImpact]],0)</f>
        <v>0</v>
      </c>
      <c r="W1086" s="167">
        <f>Transactions[[#This Row],[Amount]]*INDEX(TransTypes[],Transactions[[#This Row],[TTR]],TT_COL_AmntSign)</f>
        <v>-54821.919999999998</v>
      </c>
      <c r="X1086" s="167">
        <f>IF(INDEX(TransTypes[],Transactions[[#This Row],[TTR]],TT_COL_LONGORSHORT)="S",
      IF( OR(INDEX(TransTypes[],Transactions[[#This Row],[TTR]],TT_COL_GLFlag)=1, INDEX(TransTypes[], Transactions[[#This Row],[TTR]], TT_COL_ShareTransferFlag)=1),
            Transactions[[#This Row],[CostImpact]]*-1,
            Transactions[[#This Row],[CalCashImpact]]
      ),
     0
)</f>
        <v>0</v>
      </c>
      <c r="Y1086" s="168" t="str">
        <f>VLOOKUP(Transactions[[#This Row],[Symbol]],Symbols[], COLUMN(Symbols[Currency])-COLUMN(Symbols[])+1,FALSE)</f>
        <v>CNY</v>
      </c>
    </row>
    <row r="1087" spans="1:25">
      <c r="A1087" s="155" t="s">
        <v>82</v>
      </c>
      <c r="B1087" s="156">
        <v>42447</v>
      </c>
      <c r="C1087" s="155" t="s">
        <v>113</v>
      </c>
      <c r="D1087" s="155"/>
      <c r="E1087" s="155" t="s">
        <v>688</v>
      </c>
      <c r="F1087" s="157">
        <v>2000</v>
      </c>
      <c r="G1087" s="158">
        <v>41.02</v>
      </c>
      <c r="H1087" s="157">
        <v>32.82</v>
      </c>
      <c r="I1087" s="157"/>
      <c r="J1087" s="159">
        <v>82072.820000000007</v>
      </c>
      <c r="K1087" s="6" t="s">
        <v>641</v>
      </c>
      <c r="L1087" s="20">
        <f>IF(ISNA(MATCH(Transactions[[#This Row],[TransType]],TransTypes[TransType],0)),1,MATCH(Transactions[[#This Row],[TransType]],TransTypes[TransType],0))</f>
        <v>2</v>
      </c>
      <c r="M1087" s="160">
        <f>IF( AND( INDEX(TransTypes[],Transactions[[#This Row],[TTR]],TT_COL_GLFlag)=1, INDEX(TransTypes[],Transactions[[#This Row],[TTR]],TT_COL_LONGORSHORT)="S" ),
      Transactions[[#This Row],[PL]],
      IF(INDEX(TransTypes[],Transactions[[#This Row],[TTR]],TT_COL_LONGORSHORT)="S",0,Transactions[[#This Row],[CalCashImpact]])
)</f>
        <v>-82072.820000000007</v>
      </c>
      <c r="N1087" s="161">
        <f>IF(VLOOKUP(Transactions[[#This Row],[Symbol]],Symbols[],COLUMN(Symbols[Currency])-COLUMN(Symbols[])+1,FALSE)=
       VLOOKUP(Transactions[[#This Row],[Account]],Accounts[],COLUMN(Accounts[Currency])-COLUMN(Accounts[])+1,FALSE),
     Transactions[[#This Row],[OrigCashImpact]],
     0
)</f>
        <v>-82072.820000000007</v>
      </c>
      <c r="O10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854415.59999999893</v>
      </c>
      <c r="P10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87" s="41">
        <f>ROW()</f>
        <v>1087</v>
      </c>
      <c r="S10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82072.820000000007</v>
      </c>
      <c r="T10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82072.820000000007</v>
      </c>
      <c r="U10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87" s="166">
        <f>IF(INDEX(TransTypes[],Transactions[[#This Row],[TTR]],TT_COL_GLFlag)=1,Transactions[[#This Row],[CalCashImpact]]+Transactions[[#This Row],[CostImpact]],0)</f>
        <v>0</v>
      </c>
      <c r="W1087" s="167">
        <f>Transactions[[#This Row],[Amount]]*INDEX(TransTypes[],Transactions[[#This Row],[TTR]],TT_COL_AmntSign)</f>
        <v>-82072.820000000007</v>
      </c>
      <c r="X1087" s="167">
        <f>IF(INDEX(TransTypes[],Transactions[[#This Row],[TTR]],TT_COL_LONGORSHORT)="S",
      IF( OR(INDEX(TransTypes[],Transactions[[#This Row],[TTR]],TT_COL_GLFlag)=1, INDEX(TransTypes[], Transactions[[#This Row],[TTR]], TT_COL_ShareTransferFlag)=1),
            Transactions[[#This Row],[CostImpact]]*-1,
            Transactions[[#This Row],[CalCashImpact]]
      ),
     0
)</f>
        <v>0</v>
      </c>
      <c r="Y1087" s="168" t="str">
        <f>VLOOKUP(Transactions[[#This Row],[Symbol]],Symbols[], COLUMN(Symbols[Currency])-COLUMN(Symbols[])+1,FALSE)</f>
        <v>CNY</v>
      </c>
    </row>
    <row r="1088" spans="1:25">
      <c r="A1088" s="155" t="s">
        <v>82</v>
      </c>
      <c r="B1088" s="156">
        <v>42447</v>
      </c>
      <c r="C1088" s="155" t="s">
        <v>113</v>
      </c>
      <c r="D1088" s="155"/>
      <c r="E1088" s="155" t="s">
        <v>689</v>
      </c>
      <c r="F1088" s="157">
        <v>5000</v>
      </c>
      <c r="G1088" s="158">
        <v>19.690000000000001</v>
      </c>
      <c r="H1088" s="157">
        <v>39.380000000000003</v>
      </c>
      <c r="I1088" s="157"/>
      <c r="J1088" s="159">
        <v>98489.38</v>
      </c>
      <c r="K1088" s="6" t="s">
        <v>641</v>
      </c>
      <c r="L1088" s="20">
        <f>IF(ISNA(MATCH(Transactions[[#This Row],[TransType]],TransTypes[TransType],0)),1,MATCH(Transactions[[#This Row],[TransType]],TransTypes[TransType],0))</f>
        <v>2</v>
      </c>
      <c r="M1088" s="160">
        <f>IF( AND( INDEX(TransTypes[],Transactions[[#This Row],[TTR]],TT_COL_GLFlag)=1, INDEX(TransTypes[],Transactions[[#This Row],[TTR]],TT_COL_LONGORSHORT)="S" ),
      Transactions[[#This Row],[PL]],
      IF(INDEX(TransTypes[],Transactions[[#This Row],[TTR]],TT_COL_LONGORSHORT)="S",0,Transactions[[#This Row],[CalCashImpact]])
)</f>
        <v>-98489.38</v>
      </c>
      <c r="N1088" s="161">
        <f>IF(VLOOKUP(Transactions[[#This Row],[Symbol]],Symbols[],COLUMN(Symbols[Currency])-COLUMN(Symbols[])+1,FALSE)=
       VLOOKUP(Transactions[[#This Row],[Account]],Accounts[],COLUMN(Accounts[Currency])-COLUMN(Accounts[])+1,FALSE),
     Transactions[[#This Row],[OrigCashImpact]],
     0
)</f>
        <v>-98489.38</v>
      </c>
      <c r="O10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755926.21999999881</v>
      </c>
      <c r="P10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0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088" s="41">
        <f>ROW()</f>
        <v>1088</v>
      </c>
      <c r="S10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98489.38</v>
      </c>
      <c r="T10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98489.38</v>
      </c>
      <c r="U10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88" s="166">
        <f>IF(INDEX(TransTypes[],Transactions[[#This Row],[TTR]],TT_COL_GLFlag)=1,Transactions[[#This Row],[CalCashImpact]]+Transactions[[#This Row],[CostImpact]],0)</f>
        <v>0</v>
      </c>
      <c r="W1088" s="167">
        <f>Transactions[[#This Row],[Amount]]*INDEX(TransTypes[],Transactions[[#This Row],[TTR]],TT_COL_AmntSign)</f>
        <v>-98489.38</v>
      </c>
      <c r="X1088" s="167">
        <f>IF(INDEX(TransTypes[],Transactions[[#This Row],[TTR]],TT_COL_LONGORSHORT)="S",
      IF( OR(INDEX(TransTypes[],Transactions[[#This Row],[TTR]],TT_COL_GLFlag)=1, INDEX(TransTypes[], Transactions[[#This Row],[TTR]], TT_COL_ShareTransferFlag)=1),
            Transactions[[#This Row],[CostImpact]]*-1,
            Transactions[[#This Row],[CalCashImpact]]
      ),
     0
)</f>
        <v>0</v>
      </c>
      <c r="Y1088" s="168" t="str">
        <f>VLOOKUP(Transactions[[#This Row],[Symbol]],Symbols[], COLUMN(Symbols[Currency])-COLUMN(Symbols[])+1,FALSE)</f>
        <v>CNY</v>
      </c>
    </row>
    <row r="1089" spans="1:25">
      <c r="A1089" s="155" t="s">
        <v>82</v>
      </c>
      <c r="B1089" s="156">
        <v>42451</v>
      </c>
      <c r="C1089" s="155" t="s">
        <v>113</v>
      </c>
      <c r="D1089" s="155"/>
      <c r="E1089" s="155" t="s">
        <v>467</v>
      </c>
      <c r="F1089" s="157">
        <v>2000</v>
      </c>
      <c r="G1089" s="158">
        <v>44.1</v>
      </c>
      <c r="H1089" s="157">
        <v>35.28</v>
      </c>
      <c r="I1089" s="157"/>
      <c r="J1089" s="159">
        <v>88235.28</v>
      </c>
      <c r="K1089" s="6" t="s">
        <v>641</v>
      </c>
      <c r="L1089" s="20">
        <f>IF(ISNA(MATCH(Transactions[[#This Row],[TransType]],TransTypes[TransType],0)),1,MATCH(Transactions[[#This Row],[TransType]],TransTypes[TransType],0))</f>
        <v>2</v>
      </c>
      <c r="M1089" s="160">
        <f>IF( AND( INDEX(TransTypes[],Transactions[[#This Row],[TTR]],TT_COL_GLFlag)=1, INDEX(TransTypes[],Transactions[[#This Row],[TTR]],TT_COL_LONGORSHORT)="S" ),
      Transactions[[#This Row],[PL]],
      IF(INDEX(TransTypes[],Transactions[[#This Row],[TTR]],TT_COL_LONGORSHORT)="S",0,Transactions[[#This Row],[CalCashImpact]])
)</f>
        <v>-88235.28</v>
      </c>
      <c r="N1089" s="161">
        <f>IF(VLOOKUP(Transactions[[#This Row],[Symbol]],Symbols[],COLUMN(Symbols[Currency])-COLUMN(Symbols[])+1,FALSE)=
       VLOOKUP(Transactions[[#This Row],[Account]],Accounts[],COLUMN(Accounts[Currency])-COLUMN(Accounts[])+1,FALSE),
     Transactions[[#This Row],[OrigCashImpact]],
     0
)</f>
        <v>-88235.28</v>
      </c>
      <c r="O10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667690.9399999989</v>
      </c>
      <c r="P10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089" s="41">
        <f>ROW()</f>
        <v>1089</v>
      </c>
      <c r="S10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88235.28</v>
      </c>
      <c r="T10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159858.08583333332</v>
      </c>
      <c r="U10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89" s="166">
        <f>IF(INDEX(TransTypes[],Transactions[[#This Row],[TTR]],TT_COL_GLFlag)=1,Transactions[[#This Row],[CalCashImpact]]+Transactions[[#This Row],[CostImpact]],0)</f>
        <v>0</v>
      </c>
      <c r="W1089" s="167">
        <f>Transactions[[#This Row],[Amount]]*INDEX(TransTypes[],Transactions[[#This Row],[TTR]],TT_COL_AmntSign)</f>
        <v>-88235.28</v>
      </c>
      <c r="X1089" s="167">
        <f>IF(INDEX(TransTypes[],Transactions[[#This Row],[TTR]],TT_COL_LONGORSHORT)="S",
      IF( OR(INDEX(TransTypes[],Transactions[[#This Row],[TTR]],TT_COL_GLFlag)=1, INDEX(TransTypes[], Transactions[[#This Row],[TTR]], TT_COL_ShareTransferFlag)=1),
            Transactions[[#This Row],[CostImpact]]*-1,
            Transactions[[#This Row],[CalCashImpact]]
      ),
     0
)</f>
        <v>0</v>
      </c>
      <c r="Y1089" s="168" t="str">
        <f>VLOOKUP(Transactions[[#This Row],[Symbol]],Symbols[], COLUMN(Symbols[Currency])-COLUMN(Symbols[])+1,FALSE)</f>
        <v>CNY</v>
      </c>
    </row>
    <row r="1090" spans="1:25">
      <c r="A1090" s="155" t="s">
        <v>82</v>
      </c>
      <c r="B1090" s="156">
        <v>42451</v>
      </c>
      <c r="C1090" s="155" t="s">
        <v>115</v>
      </c>
      <c r="D1090" s="155"/>
      <c r="E1090" s="155" t="s">
        <v>688</v>
      </c>
      <c r="F1090" s="157">
        <v>2000</v>
      </c>
      <c r="G1090" s="158">
        <v>40.29</v>
      </c>
      <c r="H1090" s="157">
        <v>112.82</v>
      </c>
      <c r="I1090" s="157"/>
      <c r="J1090" s="159">
        <v>80467.179999999993</v>
      </c>
      <c r="K1090" s="6" t="s">
        <v>641</v>
      </c>
      <c r="L1090" s="20">
        <f>IF(ISNA(MATCH(Transactions[[#This Row],[TransType]],TransTypes[TransType],0)),1,MATCH(Transactions[[#This Row],[TransType]],TransTypes[TransType],0))</f>
        <v>3</v>
      </c>
      <c r="M1090" s="160">
        <f>IF( AND( INDEX(TransTypes[],Transactions[[#This Row],[TTR]],TT_COL_GLFlag)=1, INDEX(TransTypes[],Transactions[[#This Row],[TTR]],TT_COL_LONGORSHORT)="S" ),
      Transactions[[#This Row],[PL]],
      IF(INDEX(TransTypes[],Transactions[[#This Row],[TTR]],TT_COL_LONGORSHORT)="S",0,Transactions[[#This Row],[CalCashImpact]])
)</f>
        <v>80467.179999999993</v>
      </c>
      <c r="N1090" s="161">
        <f>IF(VLOOKUP(Transactions[[#This Row],[Symbol]],Symbols[],COLUMN(Symbols[Currency])-COLUMN(Symbols[])+1,FALSE)=
       VLOOKUP(Transactions[[#This Row],[Account]],Accounts[],COLUMN(Accounts[Currency])-COLUMN(Accounts[])+1,FALSE),
     Transactions[[#This Row],[OrigCashImpact]],
     0
)</f>
        <v>80467.179999999993</v>
      </c>
      <c r="O10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748158.11999999895</v>
      </c>
      <c r="P10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90" s="41">
        <f>ROW()</f>
        <v>1090</v>
      </c>
      <c r="S10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-82072.820000000007</v>
      </c>
      <c r="T10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090" s="166">
        <f>IF(INDEX(TransTypes[],Transactions[[#This Row],[TTR]],TT_COL_GLFlag)=1,Transactions[[#This Row],[CalCashImpact]]+Transactions[[#This Row],[CostImpact]],0)</f>
        <v>-1605.640000000014</v>
      </c>
      <c r="W1090" s="167">
        <f>Transactions[[#This Row],[Amount]]*INDEX(TransTypes[],Transactions[[#This Row],[TTR]],TT_COL_AmntSign)</f>
        <v>80467.179999999993</v>
      </c>
      <c r="X1090" s="167">
        <f>IF(INDEX(TransTypes[],Transactions[[#This Row],[TTR]],TT_COL_LONGORSHORT)="S",
      IF( OR(INDEX(TransTypes[],Transactions[[#This Row],[TTR]],TT_COL_GLFlag)=1, INDEX(TransTypes[], Transactions[[#This Row],[TTR]], TT_COL_ShareTransferFlag)=1),
            Transactions[[#This Row],[CostImpact]]*-1,
            Transactions[[#This Row],[CalCashImpact]]
      ),
     0
)</f>
        <v>0</v>
      </c>
      <c r="Y1090" s="168" t="str">
        <f>VLOOKUP(Transactions[[#This Row],[Symbol]],Symbols[], COLUMN(Symbols[Currency])-COLUMN(Symbols[])+1,FALSE)</f>
        <v>CNY</v>
      </c>
    </row>
    <row r="1091" spans="1:25">
      <c r="A1091" s="155" t="s">
        <v>82</v>
      </c>
      <c r="B1091" s="156">
        <v>42452</v>
      </c>
      <c r="C1091" s="155" t="s">
        <v>115</v>
      </c>
      <c r="D1091" s="155"/>
      <c r="E1091" s="155" t="s">
        <v>649</v>
      </c>
      <c r="F1091" s="157">
        <v>500</v>
      </c>
      <c r="G1091" s="158">
        <v>46.64</v>
      </c>
      <c r="H1091" s="157">
        <v>32.65</v>
      </c>
      <c r="I1091" s="157"/>
      <c r="J1091" s="159">
        <v>23287.35</v>
      </c>
      <c r="K1091" s="6" t="s">
        <v>641</v>
      </c>
      <c r="L1091" s="20">
        <f>IF(ISNA(MATCH(Transactions[[#This Row],[TransType]],TransTypes[TransType],0)),1,MATCH(Transactions[[#This Row],[TransType]],TransTypes[TransType],0))</f>
        <v>3</v>
      </c>
      <c r="M1091" s="160">
        <f>IF( AND( INDEX(TransTypes[],Transactions[[#This Row],[TTR]],TT_COL_GLFlag)=1, INDEX(TransTypes[],Transactions[[#This Row],[TTR]],TT_COL_LONGORSHORT)="S" ),
      Transactions[[#This Row],[PL]],
      IF(INDEX(TransTypes[],Transactions[[#This Row],[TTR]],TT_COL_LONGORSHORT)="S",0,Transactions[[#This Row],[CalCashImpact]])
)</f>
        <v>23287.35</v>
      </c>
      <c r="N1091" s="161">
        <f>IF(VLOOKUP(Transactions[[#This Row],[Symbol]],Symbols[],COLUMN(Symbols[Currency])-COLUMN(Symbols[])+1,FALSE)=
       VLOOKUP(Transactions[[#This Row],[Account]],Accounts[],COLUMN(Accounts[Currency])-COLUMN(Accounts[])+1,FALSE),
     Transactions[[#This Row],[OrigCashImpact]],
     0
)</f>
        <v>23287.35</v>
      </c>
      <c r="O10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771445.46999999892</v>
      </c>
      <c r="P10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091" s="41">
        <f>ROW()</f>
        <v>1091</v>
      </c>
      <c r="S10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-22914.162499999995</v>
      </c>
      <c r="T10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45828.324999999997</v>
      </c>
      <c r="U10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1091" s="166">
        <f>IF(INDEX(TransTypes[],Transactions[[#This Row],[TTR]],TT_COL_GLFlag)=1,Transactions[[#This Row],[CalCashImpact]]+Transactions[[#This Row],[CostImpact]],0)</f>
        <v>373.18750000000364</v>
      </c>
      <c r="W1091" s="167">
        <f>Transactions[[#This Row],[Amount]]*INDEX(TransTypes[],Transactions[[#This Row],[TTR]],TT_COL_AmntSign)</f>
        <v>23287.35</v>
      </c>
      <c r="X1091" s="167">
        <f>IF(INDEX(TransTypes[],Transactions[[#This Row],[TTR]],TT_COL_LONGORSHORT)="S",
      IF( OR(INDEX(TransTypes[],Transactions[[#This Row],[TTR]],TT_COL_GLFlag)=1, INDEX(TransTypes[], Transactions[[#This Row],[TTR]], TT_COL_ShareTransferFlag)=1),
            Transactions[[#This Row],[CostImpact]]*-1,
            Transactions[[#This Row],[CalCashImpact]]
      ),
     0
)</f>
        <v>0</v>
      </c>
      <c r="Y1091" s="168" t="str">
        <f>VLOOKUP(Transactions[[#This Row],[Symbol]],Symbols[], COLUMN(Symbols[Currency])-COLUMN(Symbols[])+1,FALSE)</f>
        <v>CNY</v>
      </c>
    </row>
    <row r="1092" spans="1:25">
      <c r="A1092" s="155" t="s">
        <v>82</v>
      </c>
      <c r="B1092" s="156">
        <v>42452</v>
      </c>
      <c r="C1092" s="155" t="s">
        <v>115</v>
      </c>
      <c r="D1092" s="155"/>
      <c r="E1092" s="155" t="s">
        <v>647</v>
      </c>
      <c r="F1092" s="157">
        <v>3000</v>
      </c>
      <c r="G1092" s="158">
        <v>32.484999999999999</v>
      </c>
      <c r="H1092" s="157">
        <v>136.44999999999999</v>
      </c>
      <c r="I1092" s="157"/>
      <c r="J1092" s="159">
        <v>97318.55</v>
      </c>
      <c r="K1092" s="6" t="s">
        <v>641</v>
      </c>
      <c r="L1092" s="20">
        <f>IF(ISNA(MATCH(Transactions[[#This Row],[TransType]],TransTypes[TransType],0)),1,MATCH(Transactions[[#This Row],[TransType]],TransTypes[TransType],0))</f>
        <v>3</v>
      </c>
      <c r="M1092" s="160">
        <f>IF( AND( INDEX(TransTypes[],Transactions[[#This Row],[TTR]],TT_COL_GLFlag)=1, INDEX(TransTypes[],Transactions[[#This Row],[TTR]],TT_COL_LONGORSHORT)="S" ),
      Transactions[[#This Row],[PL]],
      IF(INDEX(TransTypes[],Transactions[[#This Row],[TTR]],TT_COL_LONGORSHORT)="S",0,Transactions[[#This Row],[CalCashImpact]])
)</f>
        <v>97318.55</v>
      </c>
      <c r="N1092" s="161">
        <f>IF(VLOOKUP(Transactions[[#This Row],[Symbol]],Symbols[],COLUMN(Symbols[Currency])-COLUMN(Symbols[])+1,FALSE)=
       VLOOKUP(Transactions[[#This Row],[Account]],Accounts[],COLUMN(Accounts[Currency])-COLUMN(Accounts[])+1,FALSE),
     Transactions[[#This Row],[OrigCashImpact]],
     0
)</f>
        <v>97318.55</v>
      </c>
      <c r="O10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868764.01999999897</v>
      </c>
      <c r="P10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0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92" s="41">
        <f>ROW()</f>
        <v>1092</v>
      </c>
      <c r="S10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-90846.320999999996</v>
      </c>
      <c r="T10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60564.214000000007</v>
      </c>
      <c r="U10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92" s="166">
        <f>IF(INDEX(TransTypes[],Transactions[[#This Row],[TTR]],TT_COL_GLFlag)=1,Transactions[[#This Row],[CalCashImpact]]+Transactions[[#This Row],[CostImpact]],0)</f>
        <v>6472.2290000000066</v>
      </c>
      <c r="W1092" s="167">
        <f>Transactions[[#This Row],[Amount]]*INDEX(TransTypes[],Transactions[[#This Row],[TTR]],TT_COL_AmntSign)</f>
        <v>97318.55</v>
      </c>
      <c r="X1092" s="167">
        <f>IF(INDEX(TransTypes[],Transactions[[#This Row],[TTR]],TT_COL_LONGORSHORT)="S",
      IF( OR(INDEX(TransTypes[],Transactions[[#This Row],[TTR]],TT_COL_GLFlag)=1, INDEX(TransTypes[], Transactions[[#This Row],[TTR]], TT_COL_ShareTransferFlag)=1),
            Transactions[[#This Row],[CostImpact]]*-1,
            Transactions[[#This Row],[CalCashImpact]]
      ),
     0
)</f>
        <v>0</v>
      </c>
      <c r="Y1092" s="168" t="str">
        <f>VLOOKUP(Transactions[[#This Row],[Symbol]],Symbols[], COLUMN(Symbols[Currency])-COLUMN(Symbols[])+1,FALSE)</f>
        <v>CNY</v>
      </c>
    </row>
    <row r="1093" spans="1:25">
      <c r="A1093" s="155" t="s">
        <v>82</v>
      </c>
      <c r="B1093" s="156">
        <v>42452</v>
      </c>
      <c r="C1093" s="155" t="s">
        <v>115</v>
      </c>
      <c r="D1093" s="155"/>
      <c r="E1093" s="155" t="s">
        <v>467</v>
      </c>
      <c r="F1093" s="157">
        <v>2000</v>
      </c>
      <c r="G1093" s="158">
        <v>44.14</v>
      </c>
      <c r="H1093" s="157">
        <v>123.59</v>
      </c>
      <c r="I1093" s="157"/>
      <c r="J1093" s="159">
        <v>88156.41</v>
      </c>
      <c r="K1093" s="6" t="s">
        <v>641</v>
      </c>
      <c r="L1093" s="20">
        <f>IF(ISNA(MATCH(Transactions[[#This Row],[TransType]],TransTypes[TransType],0)),1,MATCH(Transactions[[#This Row],[TransType]],TransTypes[TransType],0))</f>
        <v>3</v>
      </c>
      <c r="M1093" s="160">
        <f>IF( AND( INDEX(TransTypes[],Transactions[[#This Row],[TTR]],TT_COL_GLFlag)=1, INDEX(TransTypes[],Transactions[[#This Row],[TTR]],TT_COL_LONGORSHORT)="S" ),
      Transactions[[#This Row],[PL]],
      IF(INDEX(TransTypes[],Transactions[[#This Row],[TTR]],TT_COL_LONGORSHORT)="S",0,Transactions[[#This Row],[CalCashImpact]])
)</f>
        <v>88156.41</v>
      </c>
      <c r="N1093" s="161">
        <f>IF(VLOOKUP(Transactions[[#This Row],[Symbol]],Symbols[],COLUMN(Symbols[Currency])-COLUMN(Symbols[])+1,FALSE)=
       VLOOKUP(Transactions[[#This Row],[Account]],Accounts[],COLUMN(Accounts[Currency])-COLUMN(Accounts[])+1,FALSE),
     Transactions[[#This Row],[OrigCashImpact]],
     0
)</f>
        <v>88156.41</v>
      </c>
      <c r="O10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956920.429999999</v>
      </c>
      <c r="P10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0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93" s="41">
        <f>ROW()</f>
        <v>1093</v>
      </c>
      <c r="S10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-79929.042916666658</v>
      </c>
      <c r="T10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79929.042916666658</v>
      </c>
      <c r="U10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093" s="166">
        <f>IF(INDEX(TransTypes[],Transactions[[#This Row],[TTR]],TT_COL_GLFlag)=1,Transactions[[#This Row],[CalCashImpact]]+Transactions[[#This Row],[CostImpact]],0)</f>
        <v>8227.3670833333454</v>
      </c>
      <c r="W1093" s="167">
        <f>Transactions[[#This Row],[Amount]]*INDEX(TransTypes[],Transactions[[#This Row],[TTR]],TT_COL_AmntSign)</f>
        <v>88156.41</v>
      </c>
      <c r="X1093" s="167">
        <f>IF(INDEX(TransTypes[],Transactions[[#This Row],[TTR]],TT_COL_LONGORSHORT)="S",
      IF( OR(INDEX(TransTypes[],Transactions[[#This Row],[TTR]],TT_COL_GLFlag)=1, INDEX(TransTypes[], Transactions[[#This Row],[TTR]], TT_COL_ShareTransferFlag)=1),
            Transactions[[#This Row],[CostImpact]]*-1,
            Transactions[[#This Row],[CalCashImpact]]
      ),
     0
)</f>
        <v>0</v>
      </c>
      <c r="Y1093" s="168" t="str">
        <f>VLOOKUP(Transactions[[#This Row],[Symbol]],Symbols[], COLUMN(Symbols[Currency])-COLUMN(Symbols[])+1,FALSE)</f>
        <v>CNY</v>
      </c>
    </row>
    <row r="1094" spans="1:25">
      <c r="A1094" s="155" t="s">
        <v>82</v>
      </c>
      <c r="B1094" s="156">
        <v>42452</v>
      </c>
      <c r="C1094" s="155" t="s">
        <v>115</v>
      </c>
      <c r="D1094" s="155"/>
      <c r="E1094" s="155" t="s">
        <v>644</v>
      </c>
      <c r="F1094" s="157">
        <v>1000</v>
      </c>
      <c r="G1094" s="158">
        <v>56.1</v>
      </c>
      <c r="H1094" s="157">
        <v>78.540000000000006</v>
      </c>
      <c r="I1094" s="157"/>
      <c r="J1094" s="159">
        <v>56021.46</v>
      </c>
      <c r="K1094" s="6" t="s">
        <v>641</v>
      </c>
      <c r="L1094" s="20">
        <f>IF(ISNA(MATCH(Transactions[[#This Row],[TransType]],TransTypes[TransType],0)),1,MATCH(Transactions[[#This Row],[TransType]],TransTypes[TransType],0))</f>
        <v>3</v>
      </c>
      <c r="M1094" s="160">
        <f>IF( AND( INDEX(TransTypes[],Transactions[[#This Row],[TTR]],TT_COL_GLFlag)=1, INDEX(TransTypes[],Transactions[[#This Row],[TTR]],TT_COL_LONGORSHORT)="S" ),
      Transactions[[#This Row],[PL]],
      IF(INDEX(TransTypes[],Transactions[[#This Row],[TTR]],TT_COL_LONGORSHORT)="S",0,Transactions[[#This Row],[CalCashImpact]])
)</f>
        <v>56021.46</v>
      </c>
      <c r="N1094" s="161">
        <f>IF(VLOOKUP(Transactions[[#This Row],[Symbol]],Symbols[],COLUMN(Symbols[Currency])-COLUMN(Symbols[])+1,FALSE)=
       VLOOKUP(Transactions[[#This Row],[Account]],Accounts[],COLUMN(Accounts[Currency])-COLUMN(Accounts[])+1,FALSE),
     Transactions[[#This Row],[OrigCashImpact]],
     0
)</f>
        <v>56021.46</v>
      </c>
      <c r="O10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1012941.889999999</v>
      </c>
      <c r="P10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1094" s="41">
        <f>ROW()</f>
        <v>1094</v>
      </c>
      <c r="S10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-53586.869777777771</v>
      </c>
      <c r="T10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80380.304666666649</v>
      </c>
      <c r="U10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v>
      </c>
      <c r="V1094" s="166">
        <f>IF(INDEX(TransTypes[],Transactions[[#This Row],[TTR]],TT_COL_GLFlag)=1,Transactions[[#This Row],[CalCashImpact]]+Transactions[[#This Row],[CostImpact]],0)</f>
        <v>2434.5902222222285</v>
      </c>
      <c r="W1094" s="167">
        <f>Transactions[[#This Row],[Amount]]*INDEX(TransTypes[],Transactions[[#This Row],[TTR]],TT_COL_AmntSign)</f>
        <v>56021.46</v>
      </c>
      <c r="X1094" s="167">
        <f>IF(INDEX(TransTypes[],Transactions[[#This Row],[TTR]],TT_COL_LONGORSHORT)="S",
      IF( OR(INDEX(TransTypes[],Transactions[[#This Row],[TTR]],TT_COL_GLFlag)=1, INDEX(TransTypes[], Transactions[[#This Row],[TTR]], TT_COL_ShareTransferFlag)=1),
            Transactions[[#This Row],[CostImpact]]*-1,
            Transactions[[#This Row],[CalCashImpact]]
      ),
     0
)</f>
        <v>0</v>
      </c>
      <c r="Y1094" s="168" t="str">
        <f>VLOOKUP(Transactions[[#This Row],[Symbol]],Symbols[], COLUMN(Symbols[Currency])-COLUMN(Symbols[])+1,FALSE)</f>
        <v>CNY</v>
      </c>
    </row>
    <row r="1095" spans="1:25">
      <c r="A1095" s="155" t="s">
        <v>82</v>
      </c>
      <c r="B1095" s="156">
        <v>42452</v>
      </c>
      <c r="C1095" s="155" t="s">
        <v>115</v>
      </c>
      <c r="D1095" s="155"/>
      <c r="E1095" s="155" t="s">
        <v>642</v>
      </c>
      <c r="F1095" s="157">
        <v>500</v>
      </c>
      <c r="G1095" s="158">
        <v>27.84</v>
      </c>
      <c r="H1095" s="157">
        <v>19.489999999999998</v>
      </c>
      <c r="I1095" s="157"/>
      <c r="J1095" s="159">
        <v>13900.51</v>
      </c>
      <c r="K1095" s="6" t="s">
        <v>641</v>
      </c>
      <c r="L1095" s="20">
        <f>IF(ISNA(MATCH(Transactions[[#This Row],[TransType]],TransTypes[TransType],0)),1,MATCH(Transactions[[#This Row],[TransType]],TransTypes[TransType],0))</f>
        <v>3</v>
      </c>
      <c r="M1095" s="160">
        <f>IF( AND( INDEX(TransTypes[],Transactions[[#This Row],[TTR]],TT_COL_GLFlag)=1, INDEX(TransTypes[],Transactions[[#This Row],[TTR]],TT_COL_LONGORSHORT)="S" ),
      Transactions[[#This Row],[PL]],
      IF(INDEX(TransTypes[],Transactions[[#This Row],[TTR]],TT_COL_LONGORSHORT)="S",0,Transactions[[#This Row],[CalCashImpact]])
)</f>
        <v>13900.51</v>
      </c>
      <c r="N1095" s="161">
        <f>IF(VLOOKUP(Transactions[[#This Row],[Symbol]],Symbols[],COLUMN(Symbols[Currency])-COLUMN(Symbols[])+1,FALSE)=
       VLOOKUP(Transactions[[#This Row],[Account]],Accounts[],COLUMN(Accounts[Currency])-COLUMN(Accounts[])+1,FALSE),
     Transactions[[#This Row],[OrigCashImpact]],
     0
)</f>
        <v>13900.51</v>
      </c>
      <c r="O10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1026842.399999999</v>
      </c>
      <c r="P10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0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1095" s="41">
        <f>ROW()</f>
        <v>1095</v>
      </c>
      <c r="S10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-12771.772857142856</v>
      </c>
      <c r="T10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63858.864285714284</v>
      </c>
      <c r="U10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95" s="166">
        <f>IF(INDEX(TransTypes[],Transactions[[#This Row],[TTR]],TT_COL_GLFlag)=1,Transactions[[#This Row],[CalCashImpact]]+Transactions[[#This Row],[CostImpact]],0)</f>
        <v>1128.7371428571441</v>
      </c>
      <c r="W1095" s="167">
        <f>Transactions[[#This Row],[Amount]]*INDEX(TransTypes[],Transactions[[#This Row],[TTR]],TT_COL_AmntSign)</f>
        <v>13900.51</v>
      </c>
      <c r="X1095" s="167">
        <f>IF(INDEX(TransTypes[],Transactions[[#This Row],[TTR]],TT_COL_LONGORSHORT)="S",
      IF( OR(INDEX(TransTypes[],Transactions[[#This Row],[TTR]],TT_COL_GLFlag)=1, INDEX(TransTypes[], Transactions[[#This Row],[TTR]], TT_COL_ShareTransferFlag)=1),
            Transactions[[#This Row],[CostImpact]]*-1,
            Transactions[[#This Row],[CalCashImpact]]
      ),
     0
)</f>
        <v>0</v>
      </c>
      <c r="Y1095" s="168" t="str">
        <f>VLOOKUP(Transactions[[#This Row],[Symbol]],Symbols[], COLUMN(Symbols[Currency])-COLUMN(Symbols[])+1,FALSE)</f>
        <v>CNY</v>
      </c>
    </row>
    <row r="1096" spans="1:25">
      <c r="A1096" s="155" t="s">
        <v>82</v>
      </c>
      <c r="B1096" s="156">
        <v>42452</v>
      </c>
      <c r="C1096" s="155" t="s">
        <v>113</v>
      </c>
      <c r="D1096" s="155"/>
      <c r="E1096" s="155" t="s">
        <v>467</v>
      </c>
      <c r="F1096" s="157">
        <v>1000</v>
      </c>
      <c r="G1096" s="158">
        <v>44.05</v>
      </c>
      <c r="H1096" s="157">
        <v>17.62</v>
      </c>
      <c r="I1096" s="157"/>
      <c r="J1096" s="159">
        <v>44067.62</v>
      </c>
      <c r="K1096" s="6" t="s">
        <v>641</v>
      </c>
      <c r="L1096" s="20">
        <f>IF(ISNA(MATCH(Transactions[[#This Row],[TransType]],TransTypes[TransType],0)),1,MATCH(Transactions[[#This Row],[TransType]],TransTypes[TransType],0))</f>
        <v>2</v>
      </c>
      <c r="M1096" s="160">
        <f>IF( AND( INDEX(TransTypes[],Transactions[[#This Row],[TTR]],TT_COL_GLFlag)=1, INDEX(TransTypes[],Transactions[[#This Row],[TTR]],TT_COL_LONGORSHORT)="S" ),
      Transactions[[#This Row],[PL]],
      IF(INDEX(TransTypes[],Transactions[[#This Row],[TTR]],TT_COL_LONGORSHORT)="S",0,Transactions[[#This Row],[CalCashImpact]])
)</f>
        <v>-44067.62</v>
      </c>
      <c r="N1096" s="161">
        <f>IF(VLOOKUP(Transactions[[#This Row],[Symbol]],Symbols[],COLUMN(Symbols[Currency])-COLUMN(Symbols[])+1,FALSE)=
       VLOOKUP(Transactions[[#This Row],[Account]],Accounts[],COLUMN(Accounts[Currency])-COLUMN(Accounts[])+1,FALSE),
     Transactions[[#This Row],[OrigCashImpact]],
     0
)</f>
        <v>-44067.62</v>
      </c>
      <c r="O10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982774.77999999898</v>
      </c>
      <c r="P10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096" s="41">
        <f>ROW()</f>
        <v>1096</v>
      </c>
      <c r="S10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44067.62</v>
      </c>
      <c r="T10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123996.66291666665</v>
      </c>
      <c r="U10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96" s="166">
        <f>IF(INDEX(TransTypes[],Transactions[[#This Row],[TTR]],TT_COL_GLFlag)=1,Transactions[[#This Row],[CalCashImpact]]+Transactions[[#This Row],[CostImpact]],0)</f>
        <v>0</v>
      </c>
      <c r="W1096" s="167">
        <f>Transactions[[#This Row],[Amount]]*INDEX(TransTypes[],Transactions[[#This Row],[TTR]],TT_COL_AmntSign)</f>
        <v>-44067.62</v>
      </c>
      <c r="X1096" s="167">
        <f>IF(INDEX(TransTypes[],Transactions[[#This Row],[TTR]],TT_COL_LONGORSHORT)="S",
      IF( OR(INDEX(TransTypes[],Transactions[[#This Row],[TTR]],TT_COL_GLFlag)=1, INDEX(TransTypes[], Transactions[[#This Row],[TTR]], TT_COL_ShareTransferFlag)=1),
            Transactions[[#This Row],[CostImpact]]*-1,
            Transactions[[#This Row],[CalCashImpact]]
      ),
     0
)</f>
        <v>0</v>
      </c>
      <c r="Y1096" s="168" t="str">
        <f>VLOOKUP(Transactions[[#This Row],[Symbol]],Symbols[], COLUMN(Symbols[Currency])-COLUMN(Symbols[])+1,FALSE)</f>
        <v>CNY</v>
      </c>
    </row>
    <row r="1097" spans="1:25">
      <c r="A1097" s="155" t="s">
        <v>82</v>
      </c>
      <c r="B1097" s="156">
        <v>42452</v>
      </c>
      <c r="C1097" s="155" t="s">
        <v>115</v>
      </c>
      <c r="D1097" s="155"/>
      <c r="E1097" s="155" t="s">
        <v>467</v>
      </c>
      <c r="F1097" s="157">
        <v>1000</v>
      </c>
      <c r="G1097" s="158">
        <v>44.35</v>
      </c>
      <c r="H1097" s="157">
        <v>62.09</v>
      </c>
      <c r="I1097" s="157"/>
      <c r="J1097" s="159">
        <v>44287.91</v>
      </c>
      <c r="K1097" s="6" t="s">
        <v>641</v>
      </c>
      <c r="L1097" s="20">
        <f>IF(ISNA(MATCH(Transactions[[#This Row],[TransType]],TransTypes[TransType],0)),1,MATCH(Transactions[[#This Row],[TransType]],TransTypes[TransType],0))</f>
        <v>3</v>
      </c>
      <c r="M1097" s="160">
        <f>IF( AND( INDEX(TransTypes[],Transactions[[#This Row],[TTR]],TT_COL_GLFlag)=1, INDEX(TransTypes[],Transactions[[#This Row],[TTR]],TT_COL_LONGORSHORT)="S" ),
      Transactions[[#This Row],[PL]],
      IF(INDEX(TransTypes[],Transactions[[#This Row],[TTR]],TT_COL_LONGORSHORT)="S",0,Transactions[[#This Row],[CalCashImpact]])
)</f>
        <v>44287.91</v>
      </c>
      <c r="N1097" s="161">
        <f>IF(VLOOKUP(Transactions[[#This Row],[Symbol]],Symbols[],COLUMN(Symbols[Currency])-COLUMN(Symbols[])+1,FALSE)=
       VLOOKUP(Transactions[[#This Row],[Account]],Accounts[],COLUMN(Accounts[Currency])-COLUMN(Accounts[])+1,FALSE),
     Transactions[[#This Row],[OrigCashImpact]],
     0
)</f>
        <v>44287.91</v>
      </c>
      <c r="O10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1027062.689999999</v>
      </c>
      <c r="P10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0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097" s="41">
        <f>ROW()</f>
        <v>1097</v>
      </c>
      <c r="S10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-41332.220972222218</v>
      </c>
      <c r="T10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82664.441944444436</v>
      </c>
      <c r="U10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097" s="166">
        <f>IF(INDEX(TransTypes[],Transactions[[#This Row],[TTR]],TT_COL_GLFlag)=1,Transactions[[#This Row],[CalCashImpact]]+Transactions[[#This Row],[CostImpact]],0)</f>
        <v>2955.6890277777857</v>
      </c>
      <c r="W1097" s="167">
        <f>Transactions[[#This Row],[Amount]]*INDEX(TransTypes[],Transactions[[#This Row],[TTR]],TT_COL_AmntSign)</f>
        <v>44287.91</v>
      </c>
      <c r="X1097" s="167">
        <f>IF(INDEX(TransTypes[],Transactions[[#This Row],[TTR]],TT_COL_LONGORSHORT)="S",
      IF( OR(INDEX(TransTypes[],Transactions[[#This Row],[TTR]],TT_COL_GLFlag)=1, INDEX(TransTypes[], Transactions[[#This Row],[TTR]], TT_COL_ShareTransferFlag)=1),
            Transactions[[#This Row],[CostImpact]]*-1,
            Transactions[[#This Row],[CalCashImpact]]
      ),
     0
)</f>
        <v>0</v>
      </c>
      <c r="Y1097" s="168" t="str">
        <f>VLOOKUP(Transactions[[#This Row],[Symbol]],Symbols[], COLUMN(Symbols[Currency])-COLUMN(Symbols[])+1,FALSE)</f>
        <v>CNY</v>
      </c>
    </row>
    <row r="1098" spans="1:25">
      <c r="A1098" s="155" t="s">
        <v>82</v>
      </c>
      <c r="B1098" s="156">
        <v>42452</v>
      </c>
      <c r="C1098" s="155" t="s">
        <v>115</v>
      </c>
      <c r="D1098" s="155"/>
      <c r="E1098" s="155" t="s">
        <v>689</v>
      </c>
      <c r="F1098" s="157">
        <v>5000</v>
      </c>
      <c r="G1098" s="158">
        <v>19.960999999999999</v>
      </c>
      <c r="H1098" s="157">
        <v>139.72</v>
      </c>
      <c r="I1098" s="157"/>
      <c r="J1098" s="159">
        <v>99665.279999999999</v>
      </c>
      <c r="K1098" s="6" t="s">
        <v>641</v>
      </c>
      <c r="L1098" s="20">
        <f>IF(ISNA(MATCH(Transactions[[#This Row],[TransType]],TransTypes[TransType],0)),1,MATCH(Transactions[[#This Row],[TransType]],TransTypes[TransType],0))</f>
        <v>3</v>
      </c>
      <c r="M1098" s="160">
        <f>IF( AND( INDEX(TransTypes[],Transactions[[#This Row],[TTR]],TT_COL_GLFlag)=1, INDEX(TransTypes[],Transactions[[#This Row],[TTR]],TT_COL_LONGORSHORT)="S" ),
      Transactions[[#This Row],[PL]],
      IF(INDEX(TransTypes[],Transactions[[#This Row],[TTR]],TT_COL_LONGORSHORT)="S",0,Transactions[[#This Row],[CalCashImpact]])
)</f>
        <v>99665.279999999999</v>
      </c>
      <c r="N1098" s="161">
        <f>IF(VLOOKUP(Transactions[[#This Row],[Symbol]],Symbols[],COLUMN(Symbols[Currency])-COLUMN(Symbols[])+1,FALSE)=
       VLOOKUP(Transactions[[#This Row],[Account]],Accounts[],COLUMN(Accounts[Currency])-COLUMN(Accounts[])+1,FALSE),
     Transactions[[#This Row],[OrigCashImpact]],
     0
)</f>
        <v>99665.279999999999</v>
      </c>
      <c r="O10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1126727.969999999</v>
      </c>
      <c r="P10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0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098" s="41">
        <f>ROW()</f>
        <v>1098</v>
      </c>
      <c r="S10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-98489.38</v>
      </c>
      <c r="T10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0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098" s="166">
        <f>IF(INDEX(TransTypes[],Transactions[[#This Row],[TTR]],TT_COL_GLFlag)=1,Transactions[[#This Row],[CalCashImpact]]+Transactions[[#This Row],[CostImpact]],0)</f>
        <v>1175.8999999999942</v>
      </c>
      <c r="W1098" s="167">
        <f>Transactions[[#This Row],[Amount]]*INDEX(TransTypes[],Transactions[[#This Row],[TTR]],TT_COL_AmntSign)</f>
        <v>99665.279999999999</v>
      </c>
      <c r="X1098" s="167">
        <f>IF(INDEX(TransTypes[],Transactions[[#This Row],[TTR]],TT_COL_LONGORSHORT)="S",
      IF( OR(INDEX(TransTypes[],Transactions[[#This Row],[TTR]],TT_COL_GLFlag)=1, INDEX(TransTypes[], Transactions[[#This Row],[TTR]], TT_COL_ShareTransferFlag)=1),
            Transactions[[#This Row],[CostImpact]]*-1,
            Transactions[[#This Row],[CalCashImpact]]
      ),
     0
)</f>
        <v>0</v>
      </c>
      <c r="Y1098" s="168" t="str">
        <f>VLOOKUP(Transactions[[#This Row],[Symbol]],Symbols[], COLUMN(Symbols[Currency])-COLUMN(Symbols[])+1,FALSE)</f>
        <v>CNY</v>
      </c>
    </row>
    <row r="1099" spans="1:25">
      <c r="A1099" s="155" t="s">
        <v>82</v>
      </c>
      <c r="B1099" s="156">
        <v>42452</v>
      </c>
      <c r="C1099" s="155" t="s">
        <v>115</v>
      </c>
      <c r="D1099" s="155"/>
      <c r="E1099" s="155" t="s">
        <v>464</v>
      </c>
      <c r="F1099" s="157">
        <v>100</v>
      </c>
      <c r="G1099" s="158">
        <v>232.81</v>
      </c>
      <c r="H1099" s="157">
        <v>33.06</v>
      </c>
      <c r="I1099" s="157"/>
      <c r="J1099" s="159">
        <v>23247.94</v>
      </c>
      <c r="K1099" s="6" t="s">
        <v>641</v>
      </c>
      <c r="L1099" s="20">
        <f>IF(ISNA(MATCH(Transactions[[#This Row],[TransType]],TransTypes[TransType],0)),1,MATCH(Transactions[[#This Row],[TransType]],TransTypes[TransType],0))</f>
        <v>3</v>
      </c>
      <c r="M1099" s="160">
        <f>IF( AND( INDEX(TransTypes[],Transactions[[#This Row],[TTR]],TT_COL_GLFlag)=1, INDEX(TransTypes[],Transactions[[#This Row],[TTR]],TT_COL_LONGORSHORT)="S" ),
      Transactions[[#This Row],[PL]],
      IF(INDEX(TransTypes[],Transactions[[#This Row],[TTR]],TT_COL_LONGORSHORT)="S",0,Transactions[[#This Row],[CalCashImpact]])
)</f>
        <v>23247.94</v>
      </c>
      <c r="N1099" s="161">
        <f>IF(VLOOKUP(Transactions[[#This Row],[Symbol]],Symbols[],COLUMN(Symbols[Currency])-COLUMN(Symbols[])+1,FALSE)=
       VLOOKUP(Transactions[[#This Row],[Account]],Accounts[],COLUMN(Accounts[Currency])-COLUMN(Accounts[])+1,FALSE),
     Transactions[[#This Row],[OrigCashImpact]],
     0
)</f>
        <v>23247.94</v>
      </c>
      <c r="O10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1149975.909999999</v>
      </c>
      <c r="P10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0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1099" s="41">
        <f>ROW()</f>
        <v>1099</v>
      </c>
      <c r="S10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-21718.198799999998</v>
      </c>
      <c r="T10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86872.795199999993</v>
      </c>
      <c r="U10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099" s="166">
        <f>IF(INDEX(TransTypes[],Transactions[[#This Row],[TTR]],TT_COL_GLFlag)=1,Transactions[[#This Row],[CalCashImpact]]+Transactions[[#This Row],[CostImpact]],0)</f>
        <v>1529.7412000000004</v>
      </c>
      <c r="W1099" s="167">
        <f>Transactions[[#This Row],[Amount]]*INDEX(TransTypes[],Transactions[[#This Row],[TTR]],TT_COL_AmntSign)</f>
        <v>23247.94</v>
      </c>
      <c r="X1099" s="167">
        <f>IF(INDEX(TransTypes[],Transactions[[#This Row],[TTR]],TT_COL_LONGORSHORT)="S",
      IF( OR(INDEX(TransTypes[],Transactions[[#This Row],[TTR]],TT_COL_GLFlag)=1, INDEX(TransTypes[], Transactions[[#This Row],[TTR]], TT_COL_ShareTransferFlag)=1),
            Transactions[[#This Row],[CostImpact]]*-1,
            Transactions[[#This Row],[CalCashImpact]]
      ),
     0
)</f>
        <v>0</v>
      </c>
      <c r="Y1099" s="168" t="str">
        <f>VLOOKUP(Transactions[[#This Row],[Symbol]],Symbols[], COLUMN(Symbols[Currency])-COLUMN(Symbols[])+1,FALSE)</f>
        <v>CNY</v>
      </c>
    </row>
    <row r="1100" spans="1:25">
      <c r="A1100" s="155" t="s">
        <v>82</v>
      </c>
      <c r="B1100" s="156">
        <v>42452</v>
      </c>
      <c r="C1100" s="155" t="s">
        <v>115</v>
      </c>
      <c r="D1100" s="155"/>
      <c r="E1100" s="155" t="s">
        <v>685</v>
      </c>
      <c r="F1100" s="157">
        <v>2000</v>
      </c>
      <c r="G1100" s="158">
        <v>28.946999999999999</v>
      </c>
      <c r="H1100" s="157">
        <v>82.22</v>
      </c>
      <c r="I1100" s="157"/>
      <c r="J1100" s="159">
        <v>57811.78</v>
      </c>
      <c r="K1100" s="6" t="s">
        <v>641</v>
      </c>
      <c r="L1100" s="20">
        <f>IF(ISNA(MATCH(Transactions[[#This Row],[TransType]],TransTypes[TransType],0)),1,MATCH(Transactions[[#This Row],[TransType]],TransTypes[TransType],0))</f>
        <v>3</v>
      </c>
      <c r="M1100" s="160">
        <f>IF( AND( INDEX(TransTypes[],Transactions[[#This Row],[TTR]],TT_COL_GLFlag)=1, INDEX(TransTypes[],Transactions[[#This Row],[TTR]],TT_COL_LONGORSHORT)="S" ),
      Transactions[[#This Row],[PL]],
      IF(INDEX(TransTypes[],Transactions[[#This Row],[TTR]],TT_COL_LONGORSHORT)="S",0,Transactions[[#This Row],[CalCashImpact]])
)</f>
        <v>57811.78</v>
      </c>
      <c r="N1100" s="161">
        <f>IF(VLOOKUP(Transactions[[#This Row],[Symbol]],Symbols[],COLUMN(Symbols[Currency])-COLUMN(Symbols[])+1,FALSE)=
       VLOOKUP(Transactions[[#This Row],[Account]],Accounts[],COLUMN(Accounts[Currency])-COLUMN(Accounts[])+1,FALSE),
     Transactions[[#This Row],[OrigCashImpact]],
     0
)</f>
        <v>57811.78</v>
      </c>
      <c r="O11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1207787.689999999</v>
      </c>
      <c r="P11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1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00" s="41">
        <f>ROW()</f>
        <v>1100</v>
      </c>
      <c r="S11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-53319.183199999992</v>
      </c>
      <c r="T11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79978.774799999985</v>
      </c>
      <c r="U11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00" s="166">
        <f>IF(INDEX(TransTypes[],Transactions[[#This Row],[TTR]],TT_COL_GLFlag)=1,Transactions[[#This Row],[CalCashImpact]]+Transactions[[#This Row],[CostImpact]],0)</f>
        <v>4492.5968000000066</v>
      </c>
      <c r="W1100" s="167">
        <f>Transactions[[#This Row],[Amount]]*INDEX(TransTypes[],Transactions[[#This Row],[TTR]],TT_COL_AmntSign)</f>
        <v>57811.78</v>
      </c>
      <c r="X1100" s="167">
        <f>IF(INDEX(TransTypes[],Transactions[[#This Row],[TTR]],TT_COL_LONGORSHORT)="S",
      IF( OR(INDEX(TransTypes[],Transactions[[#This Row],[TTR]],TT_COL_GLFlag)=1, INDEX(TransTypes[], Transactions[[#This Row],[TTR]], TT_COL_ShareTransferFlag)=1),
            Transactions[[#This Row],[CostImpact]]*-1,
            Transactions[[#This Row],[CalCashImpact]]
      ),
     0
)</f>
        <v>0</v>
      </c>
      <c r="Y1100" s="168" t="str">
        <f>VLOOKUP(Transactions[[#This Row],[Symbol]],Symbols[], COLUMN(Symbols[Currency])-COLUMN(Symbols[])+1,FALSE)</f>
        <v>CNY</v>
      </c>
    </row>
    <row r="1101" spans="1:25">
      <c r="A1101" s="155" t="s">
        <v>82</v>
      </c>
      <c r="B1101" s="156">
        <v>42452</v>
      </c>
      <c r="C1101" s="155" t="s">
        <v>115</v>
      </c>
      <c r="D1101" s="155"/>
      <c r="E1101" s="155" t="s">
        <v>684</v>
      </c>
      <c r="F1101" s="157">
        <v>1000</v>
      </c>
      <c r="G1101" s="158">
        <v>19.84</v>
      </c>
      <c r="H1101" s="157">
        <v>28.18</v>
      </c>
      <c r="I1101" s="157"/>
      <c r="J1101" s="159">
        <v>19811.82</v>
      </c>
      <c r="K1101" s="6" t="s">
        <v>641</v>
      </c>
      <c r="L1101" s="20">
        <f>IF(ISNA(MATCH(Transactions[[#This Row],[TransType]],TransTypes[TransType],0)),1,MATCH(Transactions[[#This Row],[TransType]],TransTypes[TransType],0))</f>
        <v>3</v>
      </c>
      <c r="M1101" s="160">
        <f>IF( AND( INDEX(TransTypes[],Transactions[[#This Row],[TTR]],TT_COL_GLFlag)=1, INDEX(TransTypes[],Transactions[[#This Row],[TTR]],TT_COL_LONGORSHORT)="S" ),
      Transactions[[#This Row],[PL]],
      IF(INDEX(TransTypes[],Transactions[[#This Row],[TTR]],TT_COL_LONGORSHORT)="S",0,Transactions[[#This Row],[CalCashImpact]])
)</f>
        <v>19811.82</v>
      </c>
      <c r="N1101" s="161">
        <f>IF(VLOOKUP(Transactions[[#This Row],[Symbol]],Symbols[],COLUMN(Symbols[Currency])-COLUMN(Symbols[])+1,FALSE)=
       VLOOKUP(Transactions[[#This Row],[Account]],Accounts[],COLUMN(Accounts[Currency])-COLUMN(Accounts[])+1,FALSE),
     Transactions[[#This Row],[OrigCashImpact]],
     0
)</f>
        <v>19811.82</v>
      </c>
      <c r="O11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1227599.5099999991</v>
      </c>
      <c r="P11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101" s="41">
        <f>ROW()</f>
        <v>1101</v>
      </c>
      <c r="S11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-18809.895999999997</v>
      </c>
      <c r="T11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75239.584000000003</v>
      </c>
      <c r="U11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01" s="166">
        <f>IF(INDEX(TransTypes[],Transactions[[#This Row],[TTR]],TT_COL_GLFlag)=1,Transactions[[#This Row],[CalCashImpact]]+Transactions[[#This Row],[CostImpact]],0)</f>
        <v>1001.9240000000027</v>
      </c>
      <c r="W1101" s="167">
        <f>Transactions[[#This Row],[Amount]]*INDEX(TransTypes[],Transactions[[#This Row],[TTR]],TT_COL_AmntSign)</f>
        <v>19811.82</v>
      </c>
      <c r="X1101" s="167">
        <f>IF(INDEX(TransTypes[],Transactions[[#This Row],[TTR]],TT_COL_LONGORSHORT)="S",
      IF( OR(INDEX(TransTypes[],Transactions[[#This Row],[TTR]],TT_COL_GLFlag)=1, INDEX(TransTypes[], Transactions[[#This Row],[TTR]], TT_COL_ShareTransferFlag)=1),
            Transactions[[#This Row],[CostImpact]]*-1,
            Transactions[[#This Row],[CalCashImpact]]
      ),
     0
)</f>
        <v>0</v>
      </c>
      <c r="Y1101" s="168" t="str">
        <f>VLOOKUP(Transactions[[#This Row],[Symbol]],Symbols[], COLUMN(Symbols[Currency])-COLUMN(Symbols[])+1,FALSE)</f>
        <v>CNY</v>
      </c>
    </row>
    <row r="1102" spans="1:25">
      <c r="A1102" s="155" t="s">
        <v>82</v>
      </c>
      <c r="B1102" s="156">
        <v>42454</v>
      </c>
      <c r="C1102" s="155" t="s">
        <v>115</v>
      </c>
      <c r="D1102" s="155"/>
      <c r="E1102" s="155" t="s">
        <v>467</v>
      </c>
      <c r="F1102" s="157">
        <v>1000</v>
      </c>
      <c r="G1102" s="158">
        <v>43.03</v>
      </c>
      <c r="H1102" s="157">
        <v>60.24</v>
      </c>
      <c r="I1102" s="157"/>
      <c r="J1102" s="159">
        <v>42969.760000000002</v>
      </c>
      <c r="K1102" s="6" t="s">
        <v>641</v>
      </c>
      <c r="L1102" s="20">
        <f>IF(ISNA(MATCH(Transactions[[#This Row],[TransType]],TransTypes[TransType],0)),1,MATCH(Transactions[[#This Row],[TransType]],TransTypes[TransType],0))</f>
        <v>3</v>
      </c>
      <c r="M1102" s="160">
        <f>IF( AND( INDEX(TransTypes[],Transactions[[#This Row],[TTR]],TT_COL_GLFlag)=1, INDEX(TransTypes[],Transactions[[#This Row],[TTR]],TT_COL_LONGORSHORT)="S" ),
      Transactions[[#This Row],[PL]],
      IF(INDEX(TransTypes[],Transactions[[#This Row],[TTR]],TT_COL_LONGORSHORT)="S",0,Transactions[[#This Row],[CalCashImpact]])
)</f>
        <v>42969.760000000002</v>
      </c>
      <c r="N1102" s="161">
        <f>IF(VLOOKUP(Transactions[[#This Row],[Symbol]],Symbols[],COLUMN(Symbols[Currency])-COLUMN(Symbols[])+1,FALSE)=
       VLOOKUP(Transactions[[#This Row],[Account]],Accounts[],COLUMN(Accounts[Currency])-COLUMN(Accounts[])+1,FALSE),
     Transactions[[#This Row],[OrigCashImpact]],
     0
)</f>
        <v>42969.760000000002</v>
      </c>
      <c r="O11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1270569.2699999991</v>
      </c>
      <c r="P11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102" s="41">
        <f>ROW()</f>
        <v>1102</v>
      </c>
      <c r="S11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-41332.220972222218</v>
      </c>
      <c r="T11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41332.220972222218</v>
      </c>
      <c r="U11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102" s="166">
        <f>IF(INDEX(TransTypes[],Transactions[[#This Row],[TTR]],TT_COL_GLFlag)=1,Transactions[[#This Row],[CalCashImpact]]+Transactions[[#This Row],[CostImpact]],0)</f>
        <v>1637.5390277777842</v>
      </c>
      <c r="W1102" s="167">
        <f>Transactions[[#This Row],[Amount]]*INDEX(TransTypes[],Transactions[[#This Row],[TTR]],TT_COL_AmntSign)</f>
        <v>42969.760000000002</v>
      </c>
      <c r="X1102" s="167">
        <f>IF(INDEX(TransTypes[],Transactions[[#This Row],[TTR]],TT_COL_LONGORSHORT)="S",
      IF( OR(INDEX(TransTypes[],Transactions[[#This Row],[TTR]],TT_COL_GLFlag)=1, INDEX(TransTypes[], Transactions[[#This Row],[TTR]], TT_COL_ShareTransferFlag)=1),
            Transactions[[#This Row],[CostImpact]]*-1,
            Transactions[[#This Row],[CalCashImpact]]
      ),
     0
)</f>
        <v>0</v>
      </c>
      <c r="Y1102" s="168" t="str">
        <f>VLOOKUP(Transactions[[#This Row],[Symbol]],Symbols[], COLUMN(Symbols[Currency])-COLUMN(Symbols[])+1,FALSE)</f>
        <v>CNY</v>
      </c>
    </row>
    <row r="1103" spans="1:25">
      <c r="A1103" s="155" t="s">
        <v>82</v>
      </c>
      <c r="B1103" s="156">
        <v>42454</v>
      </c>
      <c r="C1103" s="155" t="s">
        <v>115</v>
      </c>
      <c r="D1103" s="155"/>
      <c r="E1103" s="155" t="s">
        <v>644</v>
      </c>
      <c r="F1103" s="157">
        <v>500</v>
      </c>
      <c r="G1103" s="158">
        <v>57.106000000000002</v>
      </c>
      <c r="H1103" s="157">
        <v>39.97</v>
      </c>
      <c r="I1103" s="157"/>
      <c r="J1103" s="159">
        <v>28513.03</v>
      </c>
      <c r="K1103" s="6" t="s">
        <v>641</v>
      </c>
      <c r="L1103" s="20">
        <f>IF(ISNA(MATCH(Transactions[[#This Row],[TransType]],TransTypes[TransType],0)),1,MATCH(Transactions[[#This Row],[TransType]],TransTypes[TransType],0))</f>
        <v>3</v>
      </c>
      <c r="M1103" s="160">
        <f>IF( AND( INDEX(TransTypes[],Transactions[[#This Row],[TTR]],TT_COL_GLFlag)=1, INDEX(TransTypes[],Transactions[[#This Row],[TTR]],TT_COL_LONGORSHORT)="S" ),
      Transactions[[#This Row],[PL]],
      IF(INDEX(TransTypes[],Transactions[[#This Row],[TTR]],TT_COL_LONGORSHORT)="S",0,Transactions[[#This Row],[CalCashImpact]])
)</f>
        <v>28513.03</v>
      </c>
      <c r="N1103" s="161">
        <f>IF(VLOOKUP(Transactions[[#This Row],[Symbol]],Symbols[],COLUMN(Symbols[Currency])-COLUMN(Symbols[])+1,FALSE)=
       VLOOKUP(Transactions[[#This Row],[Account]],Accounts[],COLUMN(Accounts[Currency])-COLUMN(Accounts[])+1,FALSE),
     Transactions[[#This Row],[OrigCashImpact]],
     0
)</f>
        <v>28513.03</v>
      </c>
      <c r="O11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1299082.2999999991</v>
      </c>
      <c r="P11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1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103" s="41">
        <f>ROW()</f>
        <v>1103</v>
      </c>
      <c r="S11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-26793.434888888882</v>
      </c>
      <c r="T11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53586.869777777771</v>
      </c>
      <c r="U11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1103" s="166">
        <f>IF(INDEX(TransTypes[],Transactions[[#This Row],[TTR]],TT_COL_GLFlag)=1,Transactions[[#This Row],[CalCashImpact]]+Transactions[[#This Row],[CostImpact]],0)</f>
        <v>1719.5951111111171</v>
      </c>
      <c r="W1103" s="167">
        <f>Transactions[[#This Row],[Amount]]*INDEX(TransTypes[],Transactions[[#This Row],[TTR]],TT_COL_AmntSign)</f>
        <v>28513.03</v>
      </c>
      <c r="X1103" s="167">
        <f>IF(INDEX(TransTypes[],Transactions[[#This Row],[TTR]],TT_COL_LONGORSHORT)="S",
      IF( OR(INDEX(TransTypes[],Transactions[[#This Row],[TTR]],TT_COL_GLFlag)=1, INDEX(TransTypes[], Transactions[[#This Row],[TTR]], TT_COL_ShareTransferFlag)=1),
            Transactions[[#This Row],[CostImpact]]*-1,
            Transactions[[#This Row],[CalCashImpact]]
      ),
     0
)</f>
        <v>0</v>
      </c>
      <c r="Y1103" s="168" t="str">
        <f>VLOOKUP(Transactions[[#This Row],[Symbol]],Symbols[], COLUMN(Symbols[Currency])-COLUMN(Symbols[])+1,FALSE)</f>
        <v>CNY</v>
      </c>
    </row>
    <row r="1104" spans="1:25">
      <c r="A1104" s="155" t="s">
        <v>82</v>
      </c>
      <c r="B1104" s="156">
        <v>42454</v>
      </c>
      <c r="C1104" s="155" t="s">
        <v>115</v>
      </c>
      <c r="D1104" s="155"/>
      <c r="E1104" s="155" t="s">
        <v>685</v>
      </c>
      <c r="F1104" s="157">
        <v>1000</v>
      </c>
      <c r="G1104" s="158">
        <v>29.16</v>
      </c>
      <c r="H1104" s="157">
        <v>41.4</v>
      </c>
      <c r="I1104" s="157"/>
      <c r="J1104" s="159">
        <v>29118.6</v>
      </c>
      <c r="K1104" s="6" t="s">
        <v>641</v>
      </c>
      <c r="L1104" s="20">
        <f>IF(ISNA(MATCH(Transactions[[#This Row],[TransType]],TransTypes[TransType],0)),1,MATCH(Transactions[[#This Row],[TransType]],TransTypes[TransType],0))</f>
        <v>3</v>
      </c>
      <c r="M1104" s="160">
        <f>IF( AND( INDEX(TransTypes[],Transactions[[#This Row],[TTR]],TT_COL_GLFlag)=1, INDEX(TransTypes[],Transactions[[#This Row],[TTR]],TT_COL_LONGORSHORT)="S" ),
      Transactions[[#This Row],[PL]],
      IF(INDEX(TransTypes[],Transactions[[#This Row],[TTR]],TT_COL_LONGORSHORT)="S",0,Transactions[[#This Row],[CalCashImpact]])
)</f>
        <v>29118.6</v>
      </c>
      <c r="N1104" s="161">
        <f>IF(VLOOKUP(Transactions[[#This Row],[Symbol]],Symbols[],COLUMN(Symbols[Currency])-COLUMN(Symbols[])+1,FALSE)=
       VLOOKUP(Transactions[[#This Row],[Account]],Accounts[],COLUMN(Accounts[Currency])-COLUMN(Accounts[])+1,FALSE),
     Transactions[[#This Row],[OrigCashImpact]],
     0
)</f>
        <v>29118.6</v>
      </c>
      <c r="O11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1328200.899999999</v>
      </c>
      <c r="P11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04" s="41">
        <f>ROW()</f>
        <v>1104</v>
      </c>
      <c r="S11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-26659.591599999996</v>
      </c>
      <c r="T11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53319.183199999985</v>
      </c>
      <c r="U11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104" s="166">
        <f>IF(INDEX(TransTypes[],Transactions[[#This Row],[TTR]],TT_COL_GLFlag)=1,Transactions[[#This Row],[CalCashImpact]]+Transactions[[#This Row],[CostImpact]],0)</f>
        <v>2459.0084000000024</v>
      </c>
      <c r="W1104" s="167">
        <f>Transactions[[#This Row],[Amount]]*INDEX(TransTypes[],Transactions[[#This Row],[TTR]],TT_COL_AmntSign)</f>
        <v>29118.6</v>
      </c>
      <c r="X1104" s="167">
        <f>IF(INDEX(TransTypes[],Transactions[[#This Row],[TTR]],TT_COL_LONGORSHORT)="S",
      IF( OR(INDEX(TransTypes[],Transactions[[#This Row],[TTR]],TT_COL_GLFlag)=1, INDEX(TransTypes[], Transactions[[#This Row],[TTR]], TT_COL_ShareTransferFlag)=1),
            Transactions[[#This Row],[CostImpact]]*-1,
            Transactions[[#This Row],[CalCashImpact]]
      ),
     0
)</f>
        <v>0</v>
      </c>
      <c r="Y1104" s="168" t="str">
        <f>VLOOKUP(Transactions[[#This Row],[Symbol]],Symbols[], COLUMN(Symbols[Currency])-COLUMN(Symbols[])+1,FALSE)</f>
        <v>CNY</v>
      </c>
    </row>
    <row r="1105" spans="1:25">
      <c r="A1105" s="155" t="s">
        <v>82</v>
      </c>
      <c r="B1105" s="156">
        <v>42454</v>
      </c>
      <c r="C1105" s="155" t="s">
        <v>115</v>
      </c>
      <c r="D1105" s="155"/>
      <c r="E1105" s="155" t="s">
        <v>684</v>
      </c>
      <c r="F1105" s="157">
        <v>1000</v>
      </c>
      <c r="G1105" s="158">
        <v>19.78</v>
      </c>
      <c r="H1105" s="157">
        <v>28.09</v>
      </c>
      <c r="I1105" s="157"/>
      <c r="J1105" s="159">
        <v>19751.91</v>
      </c>
      <c r="K1105" s="6" t="s">
        <v>641</v>
      </c>
      <c r="L1105" s="20">
        <f>IF(ISNA(MATCH(Transactions[[#This Row],[TransType]],TransTypes[TransType],0)),1,MATCH(Transactions[[#This Row],[TransType]],TransTypes[TransType],0))</f>
        <v>3</v>
      </c>
      <c r="M1105" s="160">
        <f>IF( AND( INDEX(TransTypes[],Transactions[[#This Row],[TTR]],TT_COL_GLFlag)=1, INDEX(TransTypes[],Transactions[[#This Row],[TTR]],TT_COL_LONGORSHORT)="S" ),
      Transactions[[#This Row],[PL]],
      IF(INDEX(TransTypes[],Transactions[[#This Row],[TTR]],TT_COL_LONGORSHORT)="S",0,Transactions[[#This Row],[CalCashImpact]])
)</f>
        <v>19751.91</v>
      </c>
      <c r="N1105" s="161">
        <f>IF(VLOOKUP(Transactions[[#This Row],[Symbol]],Symbols[],COLUMN(Symbols[Currency])-COLUMN(Symbols[])+1,FALSE)=
       VLOOKUP(Transactions[[#This Row],[Account]],Accounts[],COLUMN(Accounts[Currency])-COLUMN(Accounts[])+1,FALSE),
     Transactions[[#This Row],[OrigCashImpact]],
     0
)</f>
        <v>19751.91</v>
      </c>
      <c r="O11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1347952.8099999991</v>
      </c>
      <c r="P11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05" s="41">
        <f>ROW()</f>
        <v>1105</v>
      </c>
      <c r="S11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-18809.896000000001</v>
      </c>
      <c r="T11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56429.688000000002</v>
      </c>
      <c r="U11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105" s="166">
        <f>IF(INDEX(TransTypes[],Transactions[[#This Row],[TTR]],TT_COL_GLFlag)=1,Transactions[[#This Row],[CalCashImpact]]+Transactions[[#This Row],[CostImpact]],0)</f>
        <v>942.01399999999921</v>
      </c>
      <c r="W1105" s="167">
        <f>Transactions[[#This Row],[Amount]]*INDEX(TransTypes[],Transactions[[#This Row],[TTR]],TT_COL_AmntSign)</f>
        <v>19751.91</v>
      </c>
      <c r="X1105" s="167">
        <f>IF(INDEX(TransTypes[],Transactions[[#This Row],[TTR]],TT_COL_LONGORSHORT)="S",
      IF( OR(INDEX(TransTypes[],Transactions[[#This Row],[TTR]],TT_COL_GLFlag)=1, INDEX(TransTypes[], Transactions[[#This Row],[TTR]], TT_COL_ShareTransferFlag)=1),
            Transactions[[#This Row],[CostImpact]]*-1,
            Transactions[[#This Row],[CalCashImpact]]
      ),
     0
)</f>
        <v>0</v>
      </c>
      <c r="Y1105" s="168" t="str">
        <f>VLOOKUP(Transactions[[#This Row],[Symbol]],Symbols[], COLUMN(Symbols[Currency])-COLUMN(Symbols[])+1,FALSE)</f>
        <v>CNY</v>
      </c>
    </row>
    <row r="1106" spans="1:25">
      <c r="A1106" s="155" t="s">
        <v>82</v>
      </c>
      <c r="B1106" s="156">
        <v>42468</v>
      </c>
      <c r="C1106" s="155" t="s">
        <v>113</v>
      </c>
      <c r="D1106" s="155"/>
      <c r="E1106" s="155" t="s">
        <v>677</v>
      </c>
      <c r="F1106" s="157">
        <v>5000</v>
      </c>
      <c r="G1106" s="158">
        <v>8.39</v>
      </c>
      <c r="H1106" s="157">
        <v>17.62</v>
      </c>
      <c r="I1106" s="157"/>
      <c r="J1106" s="159">
        <v>41967.62</v>
      </c>
      <c r="K1106" s="6" t="s">
        <v>641</v>
      </c>
      <c r="L1106" s="20">
        <f>IF(ISNA(MATCH(Transactions[[#This Row],[TransType]],TransTypes[TransType],0)),1,MATCH(Transactions[[#This Row],[TransType]],TransTypes[TransType],0))</f>
        <v>2</v>
      </c>
      <c r="M1106" s="160">
        <f>IF( AND( INDEX(TransTypes[],Transactions[[#This Row],[TTR]],TT_COL_GLFlag)=1, INDEX(TransTypes[],Transactions[[#This Row],[TTR]],TT_COL_LONGORSHORT)="S" ),
      Transactions[[#This Row],[PL]],
      IF(INDEX(TransTypes[],Transactions[[#This Row],[TTR]],TT_COL_LONGORSHORT)="S",0,Transactions[[#This Row],[CalCashImpact]])
)</f>
        <v>-41967.62</v>
      </c>
      <c r="N1106" s="161">
        <f>IF(VLOOKUP(Transactions[[#This Row],[Symbol]],Symbols[],COLUMN(Symbols[Currency])-COLUMN(Symbols[])+1,FALSE)=
       VLOOKUP(Transactions[[#This Row],[Account]],Accounts[],COLUMN(Accounts[Currency])-COLUMN(Accounts[])+1,FALSE),
     Transactions[[#This Row],[OrigCashImpact]],
     0
)</f>
        <v>-41967.62</v>
      </c>
      <c r="O11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1305985.189999999</v>
      </c>
      <c r="P11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1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106" s="41">
        <f>ROW()</f>
        <v>1106</v>
      </c>
      <c r="S11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41967.62</v>
      </c>
      <c r="T11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41967.62</v>
      </c>
      <c r="U11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06" s="166">
        <f>IF(INDEX(TransTypes[],Transactions[[#This Row],[TTR]],TT_COL_GLFlag)=1,Transactions[[#This Row],[CalCashImpact]]+Transactions[[#This Row],[CostImpact]],0)</f>
        <v>0</v>
      </c>
      <c r="W1106" s="167">
        <f>Transactions[[#This Row],[Amount]]*INDEX(TransTypes[],Transactions[[#This Row],[TTR]],TT_COL_AmntSign)</f>
        <v>-41967.62</v>
      </c>
      <c r="X1106" s="167">
        <f>IF(INDEX(TransTypes[],Transactions[[#This Row],[TTR]],TT_COL_LONGORSHORT)="S",
      IF( OR(INDEX(TransTypes[],Transactions[[#This Row],[TTR]],TT_COL_GLFlag)=1, INDEX(TransTypes[], Transactions[[#This Row],[TTR]], TT_COL_ShareTransferFlag)=1),
            Transactions[[#This Row],[CostImpact]]*-1,
            Transactions[[#This Row],[CalCashImpact]]
      ),
     0
)</f>
        <v>0</v>
      </c>
      <c r="Y1106" s="168" t="str">
        <f>VLOOKUP(Transactions[[#This Row],[Symbol]],Symbols[], COLUMN(Symbols[Currency])-COLUMN(Symbols[])+1,FALSE)</f>
        <v>CNY</v>
      </c>
    </row>
    <row r="1107" spans="1:25">
      <c r="A1107" s="155" t="s">
        <v>82</v>
      </c>
      <c r="B1107" s="156">
        <v>42472</v>
      </c>
      <c r="C1107" s="155" t="s">
        <v>113</v>
      </c>
      <c r="D1107" s="155"/>
      <c r="E1107" s="155" t="s">
        <v>690</v>
      </c>
      <c r="F1107" s="157">
        <v>280400</v>
      </c>
      <c r="G1107" s="158">
        <v>1.105</v>
      </c>
      <c r="H1107" s="157">
        <v>123.94</v>
      </c>
      <c r="I1107" s="157"/>
      <c r="J1107" s="159">
        <v>309965.94</v>
      </c>
      <c r="K1107" s="6" t="s">
        <v>641</v>
      </c>
      <c r="L1107" s="20">
        <f>IF(ISNA(MATCH(Transactions[[#This Row],[TransType]],TransTypes[TransType],0)),1,MATCH(Transactions[[#This Row],[TransType]],TransTypes[TransType],0))</f>
        <v>2</v>
      </c>
      <c r="M1107" s="160">
        <f>IF( AND( INDEX(TransTypes[],Transactions[[#This Row],[TTR]],TT_COL_GLFlag)=1, INDEX(TransTypes[],Transactions[[#This Row],[TTR]],TT_COL_LONGORSHORT)="S" ),
      Transactions[[#This Row],[PL]],
      IF(INDEX(TransTypes[],Transactions[[#This Row],[TTR]],TT_COL_LONGORSHORT)="S",0,Transactions[[#This Row],[CalCashImpact]])
)</f>
        <v>-309965.94</v>
      </c>
      <c r="N1107" s="161">
        <f>IF(VLOOKUP(Transactions[[#This Row],[Symbol]],Symbols[],COLUMN(Symbols[Currency])-COLUMN(Symbols[])+1,FALSE)=
       VLOOKUP(Transactions[[#This Row],[Account]],Accounts[],COLUMN(Accounts[Currency])-COLUMN(Accounts[])+1,FALSE),
     Transactions[[#This Row],[OrigCashImpact]],
     0
)</f>
        <v>-309965.94</v>
      </c>
      <c r="O11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996019.24999999907</v>
      </c>
      <c r="P11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280400</v>
      </c>
      <c r="Q11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280400</v>
      </c>
      <c r="R1107" s="41">
        <f>ROW()</f>
        <v>1107</v>
      </c>
      <c r="S11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309965.94</v>
      </c>
      <c r="T11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309965.94</v>
      </c>
      <c r="U11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280400</v>
      </c>
      <c r="V1107" s="166">
        <f>IF(INDEX(TransTypes[],Transactions[[#This Row],[TTR]],TT_COL_GLFlag)=1,Transactions[[#This Row],[CalCashImpact]]+Transactions[[#This Row],[CostImpact]],0)</f>
        <v>0</v>
      </c>
      <c r="W1107" s="167">
        <f>Transactions[[#This Row],[Amount]]*INDEX(TransTypes[],Transactions[[#This Row],[TTR]],TT_COL_AmntSign)</f>
        <v>-309965.94</v>
      </c>
      <c r="X1107" s="167">
        <f>IF(INDEX(TransTypes[],Transactions[[#This Row],[TTR]],TT_COL_LONGORSHORT)="S",
      IF( OR(INDEX(TransTypes[],Transactions[[#This Row],[TTR]],TT_COL_GLFlag)=1, INDEX(TransTypes[], Transactions[[#This Row],[TTR]], TT_COL_ShareTransferFlag)=1),
            Transactions[[#This Row],[CostImpact]]*-1,
            Transactions[[#This Row],[CalCashImpact]]
      ),
     0
)</f>
        <v>0</v>
      </c>
      <c r="Y1107" s="168" t="str">
        <f>VLOOKUP(Transactions[[#This Row],[Symbol]],Symbols[], COLUMN(Symbols[Currency])-COLUMN(Symbols[])+1,FALSE)</f>
        <v>CNY</v>
      </c>
    </row>
    <row r="1108" spans="1:25">
      <c r="A1108" s="155" t="s">
        <v>82</v>
      </c>
      <c r="B1108" s="156">
        <v>42472</v>
      </c>
      <c r="C1108" s="155" t="s">
        <v>113</v>
      </c>
      <c r="D1108" s="155"/>
      <c r="E1108" s="155" t="s">
        <v>691</v>
      </c>
      <c r="F1108" s="157">
        <v>262300</v>
      </c>
      <c r="G1108" s="158">
        <v>1.181</v>
      </c>
      <c r="H1108" s="157">
        <v>123.91</v>
      </c>
      <c r="I1108" s="157"/>
      <c r="J1108" s="159">
        <v>309900.21000000002</v>
      </c>
      <c r="K1108" s="6" t="s">
        <v>641</v>
      </c>
      <c r="L1108" s="20">
        <f>IF(ISNA(MATCH(Transactions[[#This Row],[TransType]],TransTypes[TransType],0)),1,MATCH(Transactions[[#This Row],[TransType]],TransTypes[TransType],0))</f>
        <v>2</v>
      </c>
      <c r="M1108" s="160">
        <f>IF( AND( INDEX(TransTypes[],Transactions[[#This Row],[TTR]],TT_COL_GLFlag)=1, INDEX(TransTypes[],Transactions[[#This Row],[TTR]],TT_COL_LONGORSHORT)="S" ),
      Transactions[[#This Row],[PL]],
      IF(INDEX(TransTypes[],Transactions[[#This Row],[TTR]],TT_COL_LONGORSHORT)="S",0,Transactions[[#This Row],[CalCashImpact]])
)</f>
        <v>-309900.21000000002</v>
      </c>
      <c r="N1108" s="161">
        <f>IF(VLOOKUP(Transactions[[#This Row],[Symbol]],Symbols[],COLUMN(Symbols[Currency])-COLUMN(Symbols[])+1,FALSE)=
       VLOOKUP(Transactions[[#This Row],[Account]],Accounts[],COLUMN(Accounts[Currency])-COLUMN(Accounts[])+1,FALSE),
     Transactions[[#This Row],[OrigCashImpact]],
     0
)</f>
        <v>-309900.21000000002</v>
      </c>
      <c r="O11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686119.03999999899</v>
      </c>
      <c r="P11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262300</v>
      </c>
      <c r="Q11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262300</v>
      </c>
      <c r="R1108" s="41">
        <f>ROW()</f>
        <v>1108</v>
      </c>
      <c r="S11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309900.21000000002</v>
      </c>
      <c r="T11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309900.21000000002</v>
      </c>
      <c r="U11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262300</v>
      </c>
      <c r="V1108" s="166">
        <f>IF(INDEX(TransTypes[],Transactions[[#This Row],[TTR]],TT_COL_GLFlag)=1,Transactions[[#This Row],[CalCashImpact]]+Transactions[[#This Row],[CostImpact]],0)</f>
        <v>0</v>
      </c>
      <c r="W1108" s="167">
        <f>Transactions[[#This Row],[Amount]]*INDEX(TransTypes[],Transactions[[#This Row],[TTR]],TT_COL_AmntSign)</f>
        <v>-309900.21000000002</v>
      </c>
      <c r="X1108" s="167">
        <f>IF(INDEX(TransTypes[],Transactions[[#This Row],[TTR]],TT_COL_LONGORSHORT)="S",
      IF( OR(INDEX(TransTypes[],Transactions[[#This Row],[TTR]],TT_COL_GLFlag)=1, INDEX(TransTypes[], Transactions[[#This Row],[TTR]], TT_COL_ShareTransferFlag)=1),
            Transactions[[#This Row],[CostImpact]]*-1,
            Transactions[[#This Row],[CalCashImpact]]
      ),
     0
)</f>
        <v>0</v>
      </c>
      <c r="Y1108" s="168" t="str">
        <f>VLOOKUP(Transactions[[#This Row],[Symbol]],Symbols[], COLUMN(Symbols[Currency])-COLUMN(Symbols[])+1,FALSE)</f>
        <v>CNY</v>
      </c>
    </row>
    <row r="1109" spans="1:25">
      <c r="A1109" s="155" t="s">
        <v>82</v>
      </c>
      <c r="B1109" s="156">
        <v>42472</v>
      </c>
      <c r="C1109" s="155" t="s">
        <v>113</v>
      </c>
      <c r="D1109" s="155"/>
      <c r="E1109" s="155" t="s">
        <v>692</v>
      </c>
      <c r="F1109" s="157">
        <v>506900</v>
      </c>
      <c r="G1109" s="158">
        <v>0.79</v>
      </c>
      <c r="H1109" s="157">
        <v>160.18</v>
      </c>
      <c r="I1109" s="157"/>
      <c r="J1109" s="159">
        <v>400611.18</v>
      </c>
      <c r="K1109" s="6" t="s">
        <v>641</v>
      </c>
      <c r="L1109" s="20">
        <f>IF(ISNA(MATCH(Transactions[[#This Row],[TransType]],TransTypes[TransType],0)),1,MATCH(Transactions[[#This Row],[TransType]],TransTypes[TransType],0))</f>
        <v>2</v>
      </c>
      <c r="M1109" s="160">
        <f>IF( AND( INDEX(TransTypes[],Transactions[[#This Row],[TTR]],TT_COL_GLFlag)=1, INDEX(TransTypes[],Transactions[[#This Row],[TTR]],TT_COL_LONGORSHORT)="S" ),
      Transactions[[#This Row],[PL]],
      IF(INDEX(TransTypes[],Transactions[[#This Row],[TTR]],TT_COL_LONGORSHORT)="S",0,Transactions[[#This Row],[CalCashImpact]])
)</f>
        <v>-400611.18</v>
      </c>
      <c r="N1109" s="161">
        <f>IF(VLOOKUP(Transactions[[#This Row],[Symbol]],Symbols[],COLUMN(Symbols[Currency])-COLUMN(Symbols[])+1,FALSE)=
       VLOOKUP(Transactions[[#This Row],[Account]],Accounts[],COLUMN(Accounts[Currency])-COLUMN(Accounts[])+1,FALSE),
     Transactions[[#This Row],[OrigCashImpact]],
     0
)</f>
        <v>-400611.18</v>
      </c>
      <c r="O11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285507.85999999894</v>
      </c>
      <c r="P11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506900</v>
      </c>
      <c r="Q11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506900</v>
      </c>
      <c r="R1109" s="41">
        <f>ROW()</f>
        <v>1109</v>
      </c>
      <c r="S11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400611.18</v>
      </c>
      <c r="T11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400611.18</v>
      </c>
      <c r="U11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506900</v>
      </c>
      <c r="V1109" s="166">
        <f>IF(INDEX(TransTypes[],Transactions[[#This Row],[TTR]],TT_COL_GLFlag)=1,Transactions[[#This Row],[CalCashImpact]]+Transactions[[#This Row],[CostImpact]],0)</f>
        <v>0</v>
      </c>
      <c r="W1109" s="167">
        <f>Transactions[[#This Row],[Amount]]*INDEX(TransTypes[],Transactions[[#This Row],[TTR]],TT_COL_AmntSign)</f>
        <v>-400611.18</v>
      </c>
      <c r="X1109" s="167">
        <f>IF(INDEX(TransTypes[],Transactions[[#This Row],[TTR]],TT_COL_LONGORSHORT)="S",
      IF( OR(INDEX(TransTypes[],Transactions[[#This Row],[TTR]],TT_COL_GLFlag)=1, INDEX(TransTypes[], Transactions[[#This Row],[TTR]], TT_COL_ShareTransferFlag)=1),
            Transactions[[#This Row],[CostImpact]]*-1,
            Transactions[[#This Row],[CalCashImpact]]
      ),
     0
)</f>
        <v>0</v>
      </c>
      <c r="Y1109" s="168" t="str">
        <f>VLOOKUP(Transactions[[#This Row],[Symbol]],Symbols[], COLUMN(Symbols[Currency])-COLUMN(Symbols[])+1,FALSE)</f>
        <v>CNY</v>
      </c>
    </row>
    <row r="1110" spans="1:25">
      <c r="A1110" s="155" t="s">
        <v>82</v>
      </c>
      <c r="B1110" s="156">
        <v>42473</v>
      </c>
      <c r="C1110" s="155" t="s">
        <v>113</v>
      </c>
      <c r="D1110" s="155"/>
      <c r="E1110" s="155" t="s">
        <v>689</v>
      </c>
      <c r="F1110" s="157">
        <v>4900</v>
      </c>
      <c r="G1110" s="158">
        <v>20.494</v>
      </c>
      <c r="H1110" s="157">
        <v>40.17</v>
      </c>
      <c r="I1110" s="157"/>
      <c r="J1110" s="159">
        <v>100460.77</v>
      </c>
      <c r="K1110" s="6" t="s">
        <v>641</v>
      </c>
      <c r="L1110" s="20">
        <f>IF(ISNA(MATCH(Transactions[[#This Row],[TransType]],TransTypes[TransType],0)),1,MATCH(Transactions[[#This Row],[TransType]],TransTypes[TransType],0))</f>
        <v>2</v>
      </c>
      <c r="M1110" s="160">
        <f>IF( AND( INDEX(TransTypes[],Transactions[[#This Row],[TTR]],TT_COL_GLFlag)=1, INDEX(TransTypes[],Transactions[[#This Row],[TTR]],TT_COL_LONGORSHORT)="S" ),
      Transactions[[#This Row],[PL]],
      IF(INDEX(TransTypes[],Transactions[[#This Row],[TTR]],TT_COL_LONGORSHORT)="S",0,Transactions[[#This Row],[CalCashImpact]])
)</f>
        <v>-100460.77</v>
      </c>
      <c r="N1110" s="161">
        <f>IF(VLOOKUP(Transactions[[#This Row],[Symbol]],Symbols[],COLUMN(Symbols[Currency])-COLUMN(Symbols[])+1,FALSE)=
       VLOOKUP(Transactions[[#This Row],[Account]],Accounts[],COLUMN(Accounts[Currency])-COLUMN(Accounts[])+1,FALSE),
     Transactions[[#This Row],[OrigCashImpact]],
     0
)</f>
        <v>-100460.77</v>
      </c>
      <c r="O11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185047.08999999909</v>
      </c>
      <c r="P11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4900</v>
      </c>
      <c r="Q11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4900</v>
      </c>
      <c r="R1110" s="41">
        <f>ROW()</f>
        <v>1110</v>
      </c>
      <c r="S11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100460.77</v>
      </c>
      <c r="T11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100460.77</v>
      </c>
      <c r="U11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4900</v>
      </c>
      <c r="V1110" s="166">
        <f>IF(INDEX(TransTypes[],Transactions[[#This Row],[TTR]],TT_COL_GLFlag)=1,Transactions[[#This Row],[CalCashImpact]]+Transactions[[#This Row],[CostImpact]],0)</f>
        <v>0</v>
      </c>
      <c r="W1110" s="167">
        <f>Transactions[[#This Row],[Amount]]*INDEX(TransTypes[],Transactions[[#This Row],[TTR]],TT_COL_AmntSign)</f>
        <v>-100460.77</v>
      </c>
      <c r="X1110" s="167">
        <f>IF(INDEX(TransTypes[],Transactions[[#This Row],[TTR]],TT_COL_LONGORSHORT)="S",
      IF( OR(INDEX(TransTypes[],Transactions[[#This Row],[TTR]],TT_COL_GLFlag)=1, INDEX(TransTypes[], Transactions[[#This Row],[TTR]], TT_COL_ShareTransferFlag)=1),
            Transactions[[#This Row],[CostImpact]]*-1,
            Transactions[[#This Row],[CalCashImpact]]
      ),
     0
)</f>
        <v>0</v>
      </c>
      <c r="Y1110" s="168" t="str">
        <f>VLOOKUP(Transactions[[#This Row],[Symbol]],Symbols[], COLUMN(Symbols[Currency])-COLUMN(Symbols[])+1,FALSE)</f>
        <v>CNY</v>
      </c>
    </row>
    <row r="1111" spans="1:25">
      <c r="A1111" s="155" t="s">
        <v>82</v>
      </c>
      <c r="B1111" s="156">
        <v>42473</v>
      </c>
      <c r="C1111" s="155" t="s">
        <v>113</v>
      </c>
      <c r="D1111" s="155"/>
      <c r="E1111" s="155" t="s">
        <v>693</v>
      </c>
      <c r="F1111" s="157">
        <v>5900</v>
      </c>
      <c r="G1111" s="158">
        <v>15.35</v>
      </c>
      <c r="H1111" s="157">
        <v>36.229999999999997</v>
      </c>
      <c r="I1111" s="157"/>
      <c r="J1111" s="159">
        <v>90601.23</v>
      </c>
      <c r="K1111" s="6" t="s">
        <v>641</v>
      </c>
      <c r="L1111" s="20">
        <f>IF(ISNA(MATCH(Transactions[[#This Row],[TransType]],TransTypes[TransType],0)),1,MATCH(Transactions[[#This Row],[TransType]],TransTypes[TransType],0))</f>
        <v>2</v>
      </c>
      <c r="M1111" s="160">
        <f>IF( AND( INDEX(TransTypes[],Transactions[[#This Row],[TTR]],TT_COL_GLFlag)=1, INDEX(TransTypes[],Transactions[[#This Row],[TTR]],TT_COL_LONGORSHORT)="S" ),
      Transactions[[#This Row],[PL]],
      IF(INDEX(TransTypes[],Transactions[[#This Row],[TTR]],TT_COL_LONGORSHORT)="S",0,Transactions[[#This Row],[CalCashImpact]])
)</f>
        <v>-90601.23</v>
      </c>
      <c r="N1111" s="161">
        <f>IF(VLOOKUP(Transactions[[#This Row],[Symbol]],Symbols[],COLUMN(Symbols[Currency])-COLUMN(Symbols[])+1,FALSE)=
       VLOOKUP(Transactions[[#This Row],[Account]],Accounts[],COLUMN(Accounts[Currency])-COLUMN(Accounts[])+1,FALSE),
     Transactions[[#This Row],[OrigCashImpact]],
     0
)</f>
        <v>-90601.23</v>
      </c>
      <c r="O11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94445.859999999113</v>
      </c>
      <c r="P11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5900</v>
      </c>
      <c r="Q11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5900</v>
      </c>
      <c r="R1111" s="41">
        <f>ROW()</f>
        <v>1111</v>
      </c>
      <c r="S11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90601.23</v>
      </c>
      <c r="T11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90601.23</v>
      </c>
      <c r="U11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5900</v>
      </c>
      <c r="V1111" s="166">
        <f>IF(INDEX(TransTypes[],Transactions[[#This Row],[TTR]],TT_COL_GLFlag)=1,Transactions[[#This Row],[CalCashImpact]]+Transactions[[#This Row],[CostImpact]],0)</f>
        <v>0</v>
      </c>
      <c r="W1111" s="167">
        <f>Transactions[[#This Row],[Amount]]*INDEX(TransTypes[],Transactions[[#This Row],[TTR]],TT_COL_AmntSign)</f>
        <v>-90601.23</v>
      </c>
      <c r="X1111" s="167">
        <f>IF(INDEX(TransTypes[],Transactions[[#This Row],[TTR]],TT_COL_LONGORSHORT)="S",
      IF( OR(INDEX(TransTypes[],Transactions[[#This Row],[TTR]],TT_COL_GLFlag)=1, INDEX(TransTypes[], Transactions[[#This Row],[TTR]], TT_COL_ShareTransferFlag)=1),
            Transactions[[#This Row],[CostImpact]]*-1,
            Transactions[[#This Row],[CalCashImpact]]
      ),
     0
)</f>
        <v>0</v>
      </c>
      <c r="Y1111" s="168" t="str">
        <f>VLOOKUP(Transactions[[#This Row],[Symbol]],Symbols[], COLUMN(Symbols[Currency])-COLUMN(Symbols[])+1,FALSE)</f>
        <v>CNY</v>
      </c>
    </row>
    <row r="1112" spans="1:25">
      <c r="A1112" s="155" t="s">
        <v>82</v>
      </c>
      <c r="B1112" s="156">
        <v>42473</v>
      </c>
      <c r="C1112" s="155" t="s">
        <v>113</v>
      </c>
      <c r="D1112" s="155"/>
      <c r="E1112" s="155" t="s">
        <v>480</v>
      </c>
      <c r="F1112" s="157">
        <v>4000</v>
      </c>
      <c r="G1112" s="158">
        <v>47.19</v>
      </c>
      <c r="H1112" s="157">
        <v>79.28</v>
      </c>
      <c r="I1112" s="157"/>
      <c r="J1112" s="159">
        <v>188839.28</v>
      </c>
      <c r="K1112" s="6" t="s">
        <v>641</v>
      </c>
      <c r="L1112" s="20">
        <f>IF(ISNA(MATCH(Transactions[[#This Row],[TransType]],TransTypes[TransType],0)),1,MATCH(Transactions[[#This Row],[TransType]],TransTypes[TransType],0))</f>
        <v>2</v>
      </c>
      <c r="M1112" s="160">
        <f>IF( AND( INDEX(TransTypes[],Transactions[[#This Row],[TTR]],TT_COL_GLFlag)=1, INDEX(TransTypes[],Transactions[[#This Row],[TTR]],TT_COL_LONGORSHORT)="S" ),
      Transactions[[#This Row],[PL]],
      IF(INDEX(TransTypes[],Transactions[[#This Row],[TTR]],TT_COL_LONGORSHORT)="S",0,Transactions[[#This Row],[CalCashImpact]])
)</f>
        <v>-188839.28</v>
      </c>
      <c r="N1112" s="161">
        <f>IF(VLOOKUP(Transactions[[#This Row],[Symbol]],Symbols[],COLUMN(Symbols[Currency])-COLUMN(Symbols[])+1,FALSE)=
       VLOOKUP(Transactions[[#This Row],[Account]],Accounts[],COLUMN(Accounts[Currency])-COLUMN(Accounts[])+1,FALSE),
     Transactions[[#This Row],[OrigCashImpact]],
     0
)</f>
        <v>-188839.28</v>
      </c>
      <c r="O11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-94393.420000000915</v>
      </c>
      <c r="P11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1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112" s="41">
        <f>ROW()</f>
        <v>1112</v>
      </c>
      <c r="S11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188839.28</v>
      </c>
      <c r="T11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188839.28</v>
      </c>
      <c r="U11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112" s="166">
        <f>IF(INDEX(TransTypes[],Transactions[[#This Row],[TTR]],TT_COL_GLFlag)=1,Transactions[[#This Row],[CalCashImpact]]+Transactions[[#This Row],[CostImpact]],0)</f>
        <v>0</v>
      </c>
      <c r="W1112" s="167">
        <f>Transactions[[#This Row],[Amount]]*INDEX(TransTypes[],Transactions[[#This Row],[TTR]],TT_COL_AmntSign)</f>
        <v>-188839.28</v>
      </c>
      <c r="X1112" s="167">
        <f>IF(INDEX(TransTypes[],Transactions[[#This Row],[TTR]],TT_COL_LONGORSHORT)="S",
      IF( OR(INDEX(TransTypes[],Transactions[[#This Row],[TTR]],TT_COL_GLFlag)=1, INDEX(TransTypes[], Transactions[[#This Row],[TTR]], TT_COL_ShareTransferFlag)=1),
            Transactions[[#This Row],[CostImpact]]*-1,
            Transactions[[#This Row],[CalCashImpact]]
      ),
     0
)</f>
        <v>0</v>
      </c>
      <c r="Y1112" s="168" t="str">
        <f>VLOOKUP(Transactions[[#This Row],[Symbol]],Symbols[], COLUMN(Symbols[Currency])-COLUMN(Symbols[])+1,FALSE)</f>
        <v>CNY</v>
      </c>
    </row>
    <row r="1113" spans="1:25">
      <c r="A1113" s="155" t="s">
        <v>82</v>
      </c>
      <c r="B1113" s="156">
        <v>42473</v>
      </c>
      <c r="C1113" s="155" t="s">
        <v>115</v>
      </c>
      <c r="D1113" s="155"/>
      <c r="E1113" s="155" t="s">
        <v>691</v>
      </c>
      <c r="F1113" s="157">
        <v>262300</v>
      </c>
      <c r="G1113" s="158">
        <v>1.179</v>
      </c>
      <c r="H1113" s="157">
        <v>123.7</v>
      </c>
      <c r="I1113" s="157"/>
      <c r="J1113" s="159">
        <v>309128</v>
      </c>
      <c r="K1113" s="6" t="s">
        <v>641</v>
      </c>
      <c r="L1113" s="20">
        <f>IF(ISNA(MATCH(Transactions[[#This Row],[TransType]],TransTypes[TransType],0)),1,MATCH(Transactions[[#This Row],[TransType]],TransTypes[TransType],0))</f>
        <v>3</v>
      </c>
      <c r="M1113" s="160">
        <f>IF( AND( INDEX(TransTypes[],Transactions[[#This Row],[TTR]],TT_COL_GLFlag)=1, INDEX(TransTypes[],Transactions[[#This Row],[TTR]],TT_COL_LONGORSHORT)="S" ),
      Transactions[[#This Row],[PL]],
      IF(INDEX(TransTypes[],Transactions[[#This Row],[TTR]],TT_COL_LONGORSHORT)="S",0,Transactions[[#This Row],[CalCashImpact]])
)</f>
        <v>309128</v>
      </c>
      <c r="N1113" s="161">
        <f>IF(VLOOKUP(Transactions[[#This Row],[Symbol]],Symbols[],COLUMN(Symbols[Currency])-COLUMN(Symbols[])+1,FALSE)=
       VLOOKUP(Transactions[[#This Row],[Account]],Accounts[],COLUMN(Accounts[Currency])-COLUMN(Accounts[])+1,FALSE),
     Transactions[[#This Row],[OrigCashImpact]],
     0
)</f>
        <v>309128</v>
      </c>
      <c r="O11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214734.57999999908</v>
      </c>
      <c r="P11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-262300</v>
      </c>
      <c r="Q11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13" s="41">
        <f>ROW()</f>
        <v>1113</v>
      </c>
      <c r="S11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-309900.21000000002</v>
      </c>
      <c r="T11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262300</v>
      </c>
      <c r="V1113" s="166">
        <f>IF(INDEX(TransTypes[],Transactions[[#This Row],[TTR]],TT_COL_GLFlag)=1,Transactions[[#This Row],[CalCashImpact]]+Transactions[[#This Row],[CostImpact]],0)</f>
        <v>-772.21000000002095</v>
      </c>
      <c r="W1113" s="167">
        <f>Transactions[[#This Row],[Amount]]*INDEX(TransTypes[],Transactions[[#This Row],[TTR]],TT_COL_AmntSign)</f>
        <v>309128</v>
      </c>
      <c r="X1113" s="167">
        <f>IF(INDEX(TransTypes[],Transactions[[#This Row],[TTR]],TT_COL_LONGORSHORT)="S",
      IF( OR(INDEX(TransTypes[],Transactions[[#This Row],[TTR]],TT_COL_GLFlag)=1, INDEX(TransTypes[], Transactions[[#This Row],[TTR]], TT_COL_ShareTransferFlag)=1),
            Transactions[[#This Row],[CostImpact]]*-1,
            Transactions[[#This Row],[CalCashImpact]]
      ),
     0
)</f>
        <v>0</v>
      </c>
      <c r="Y1113" s="168" t="str">
        <f>VLOOKUP(Transactions[[#This Row],[Symbol]],Symbols[], COLUMN(Symbols[Currency])-COLUMN(Symbols[])+1,FALSE)</f>
        <v>CNY</v>
      </c>
    </row>
    <row r="1114" spans="1:25">
      <c r="A1114" s="155" t="s">
        <v>82</v>
      </c>
      <c r="B1114" s="156">
        <v>42475</v>
      </c>
      <c r="C1114" s="155" t="s">
        <v>113</v>
      </c>
      <c r="D1114" s="155" t="s">
        <v>531</v>
      </c>
      <c r="E1114" s="155" t="s">
        <v>467</v>
      </c>
      <c r="F1114" s="157">
        <v>800</v>
      </c>
      <c r="G1114" s="158">
        <v>0</v>
      </c>
      <c r="H1114" s="157"/>
      <c r="I1114" s="157"/>
      <c r="J1114" s="159">
        <v>0</v>
      </c>
      <c r="K1114" s="6" t="s">
        <v>694</v>
      </c>
      <c r="L1114" s="20">
        <f>IF(ISNA(MATCH(Transactions[[#This Row],[TransType]],TransTypes[TransType],0)),1,MATCH(Transactions[[#This Row],[TransType]],TransTypes[TransType],0))</f>
        <v>2</v>
      </c>
      <c r="M1114" s="160">
        <f>IF( AND( INDEX(TransTypes[],Transactions[[#This Row],[TTR]],TT_COL_GLFlag)=1, INDEX(TransTypes[],Transactions[[#This Row],[TTR]],TT_COL_LONGORSHORT)="S" ),
      Transactions[[#This Row],[PL]],
      IF(INDEX(TransTypes[],Transactions[[#This Row],[TTR]],TT_COL_LONGORSHORT)="S",0,Transactions[[#This Row],[CalCashImpact]])
)</f>
        <v>0</v>
      </c>
      <c r="N1114" s="161">
        <f>IF(VLOOKUP(Transactions[[#This Row],[Symbol]],Symbols[],COLUMN(Symbols[Currency])-COLUMN(Symbols[])+1,FALSE)=
       VLOOKUP(Transactions[[#This Row],[Account]],Accounts[],COLUMN(Accounts[Currency])-COLUMN(Accounts[])+1,FALSE),
     Transactions[[#This Row],[OrigCashImpact]],
     0
)</f>
        <v>0</v>
      </c>
      <c r="O11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214734.57999999908</v>
      </c>
      <c r="P11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v>
      </c>
      <c r="Q11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v>
      </c>
      <c r="R1114" s="41">
        <f>ROW()</f>
        <v>1114</v>
      </c>
      <c r="S11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41332.220972222218</v>
      </c>
      <c r="U11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v>
      </c>
      <c r="V1114" s="166">
        <f>IF(INDEX(TransTypes[],Transactions[[#This Row],[TTR]],TT_COL_GLFlag)=1,Transactions[[#This Row],[CalCashImpact]]+Transactions[[#This Row],[CostImpact]],0)</f>
        <v>0</v>
      </c>
      <c r="W1114" s="167">
        <f>Transactions[[#This Row],[Amount]]*INDEX(TransTypes[],Transactions[[#This Row],[TTR]],TT_COL_AmntSign)</f>
        <v>0</v>
      </c>
      <c r="X1114" s="167">
        <f>IF(INDEX(TransTypes[],Transactions[[#This Row],[TTR]],TT_COL_LONGORSHORT)="S",
      IF( OR(INDEX(TransTypes[],Transactions[[#This Row],[TTR]],TT_COL_GLFlag)=1, INDEX(TransTypes[], Transactions[[#This Row],[TTR]], TT_COL_ShareTransferFlag)=1),
            Transactions[[#This Row],[CostImpact]]*-1,
            Transactions[[#This Row],[CalCashImpact]]
      ),
     0
)</f>
        <v>0</v>
      </c>
      <c r="Y1114" s="168" t="str">
        <f>VLOOKUP(Transactions[[#This Row],[Symbol]],Symbols[], COLUMN(Symbols[Currency])-COLUMN(Symbols[])+1,FALSE)</f>
        <v>CNY</v>
      </c>
    </row>
    <row r="1115" spans="1:25">
      <c r="A1115" s="155" t="s">
        <v>82</v>
      </c>
      <c r="B1115" s="156">
        <v>42475</v>
      </c>
      <c r="C1115" s="155" t="s">
        <v>118</v>
      </c>
      <c r="D1115" s="155"/>
      <c r="E1115" s="155" t="s">
        <v>467</v>
      </c>
      <c r="F1115" s="157"/>
      <c r="G1115" s="158"/>
      <c r="H1115" s="157"/>
      <c r="I1115" s="157"/>
      <c r="J1115" s="159">
        <v>100</v>
      </c>
      <c r="K1115" s="6" t="s">
        <v>641</v>
      </c>
      <c r="L1115" s="20">
        <f>IF(ISNA(MATCH(Transactions[[#This Row],[TransType]],TransTypes[TransType],0)),1,MATCH(Transactions[[#This Row],[TransType]],TransTypes[TransType],0))</f>
        <v>4</v>
      </c>
      <c r="M1115" s="160">
        <f>IF( AND( INDEX(TransTypes[],Transactions[[#This Row],[TTR]],TT_COL_GLFlag)=1, INDEX(TransTypes[],Transactions[[#This Row],[TTR]],TT_COL_LONGORSHORT)="S" ),
      Transactions[[#This Row],[PL]],
      IF(INDEX(TransTypes[],Transactions[[#This Row],[TTR]],TT_COL_LONGORSHORT)="S",0,Transactions[[#This Row],[CalCashImpact]])
)</f>
        <v>100</v>
      </c>
      <c r="N1115" s="161">
        <f>IF(VLOOKUP(Transactions[[#This Row],[Symbol]],Symbols[],COLUMN(Symbols[Currency])-COLUMN(Symbols[])+1,FALSE)=
       VLOOKUP(Transactions[[#This Row],[Account]],Accounts[],COLUMN(Accounts[Currency])-COLUMN(Accounts[])+1,FALSE),
     Transactions[[#This Row],[OrigCashImpact]],
     0
)</f>
        <v>100</v>
      </c>
      <c r="O11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214834.57999999908</v>
      </c>
      <c r="P11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v>
      </c>
      <c r="R1115" s="41">
        <f>ROW()</f>
        <v>1115</v>
      </c>
      <c r="S11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41332.220972222218</v>
      </c>
      <c r="U11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v>
      </c>
      <c r="V1115" s="166">
        <f>IF(INDEX(TransTypes[],Transactions[[#This Row],[TTR]],TT_COL_GLFlag)=1,Transactions[[#This Row],[CalCashImpact]]+Transactions[[#This Row],[CostImpact]],0)</f>
        <v>0</v>
      </c>
      <c r="W1115" s="167">
        <f>Transactions[[#This Row],[Amount]]*INDEX(TransTypes[],Transactions[[#This Row],[TTR]],TT_COL_AmntSign)</f>
        <v>100</v>
      </c>
      <c r="X1115" s="167">
        <f>IF(INDEX(TransTypes[],Transactions[[#This Row],[TTR]],TT_COL_LONGORSHORT)="S",
      IF( OR(INDEX(TransTypes[],Transactions[[#This Row],[TTR]],TT_COL_GLFlag)=1, INDEX(TransTypes[], Transactions[[#This Row],[TTR]], TT_COL_ShareTransferFlag)=1),
            Transactions[[#This Row],[CostImpact]]*-1,
            Transactions[[#This Row],[CalCashImpact]]
      ),
     0
)</f>
        <v>0</v>
      </c>
      <c r="Y1115" s="168" t="str">
        <f>VLOOKUP(Transactions[[#This Row],[Symbol]],Symbols[], COLUMN(Symbols[Currency])-COLUMN(Symbols[])+1,FALSE)</f>
        <v>CNY</v>
      </c>
    </row>
    <row r="1116" spans="1:25">
      <c r="A1116" s="155" t="s">
        <v>82</v>
      </c>
      <c r="B1116" s="156">
        <v>42478</v>
      </c>
      <c r="C1116" s="155" t="s">
        <v>113</v>
      </c>
      <c r="D1116" s="155" t="s">
        <v>531</v>
      </c>
      <c r="E1116" s="155" t="s">
        <v>647</v>
      </c>
      <c r="F1116" s="157">
        <v>977</v>
      </c>
      <c r="G1116" s="158">
        <v>0</v>
      </c>
      <c r="H1116" s="157"/>
      <c r="I1116" s="157"/>
      <c r="J1116" s="159">
        <v>0</v>
      </c>
      <c r="K1116" s="6" t="s">
        <v>694</v>
      </c>
      <c r="L1116" s="20">
        <f>IF(ISNA(MATCH(Transactions[[#This Row],[TransType]],TransTypes[TransType],0)),1,MATCH(Transactions[[#This Row],[TransType]],TransTypes[TransType],0))</f>
        <v>2</v>
      </c>
      <c r="M1116" s="160">
        <f>IF( AND( INDEX(TransTypes[],Transactions[[#This Row],[TTR]],TT_COL_GLFlag)=1, INDEX(TransTypes[],Transactions[[#This Row],[TTR]],TT_COL_LONGORSHORT)="S" ),
      Transactions[[#This Row],[PL]],
      IF(INDEX(TransTypes[],Transactions[[#This Row],[TTR]],TT_COL_LONGORSHORT)="S",0,Transactions[[#This Row],[CalCashImpact]])
)</f>
        <v>0</v>
      </c>
      <c r="N1116" s="161">
        <f>IF(VLOOKUP(Transactions[[#This Row],[Symbol]],Symbols[],COLUMN(Symbols[Currency])-COLUMN(Symbols[])+1,FALSE)=
       VLOOKUP(Transactions[[#This Row],[Account]],Accounts[],COLUMN(Accounts[Currency])-COLUMN(Accounts[])+1,FALSE),
     Transactions[[#This Row],[OrigCashImpact]],
     0
)</f>
        <v>0</v>
      </c>
      <c r="O11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214834.57999999908</v>
      </c>
      <c r="P11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977</v>
      </c>
      <c r="Q11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2977</v>
      </c>
      <c r="R1116" s="41">
        <f>ROW()</f>
        <v>1116</v>
      </c>
      <c r="S11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60564.214000000007</v>
      </c>
      <c r="U11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2977</v>
      </c>
      <c r="V1116" s="166">
        <f>IF(INDEX(TransTypes[],Transactions[[#This Row],[TTR]],TT_COL_GLFlag)=1,Transactions[[#This Row],[CalCashImpact]]+Transactions[[#This Row],[CostImpact]],0)</f>
        <v>0</v>
      </c>
      <c r="W1116" s="167">
        <f>Transactions[[#This Row],[Amount]]*INDEX(TransTypes[],Transactions[[#This Row],[TTR]],TT_COL_AmntSign)</f>
        <v>0</v>
      </c>
      <c r="X1116" s="167">
        <f>IF(INDEX(TransTypes[],Transactions[[#This Row],[TTR]],TT_COL_LONGORSHORT)="S",
      IF( OR(INDEX(TransTypes[],Transactions[[#This Row],[TTR]],TT_COL_GLFlag)=1, INDEX(TransTypes[], Transactions[[#This Row],[TTR]], TT_COL_ShareTransferFlag)=1),
            Transactions[[#This Row],[CostImpact]]*-1,
            Transactions[[#This Row],[CalCashImpact]]
      ),
     0
)</f>
        <v>0</v>
      </c>
      <c r="Y1116" s="168" t="str">
        <f>VLOOKUP(Transactions[[#This Row],[Symbol]],Symbols[], COLUMN(Symbols[Currency])-COLUMN(Symbols[])+1,FALSE)</f>
        <v>CNY</v>
      </c>
    </row>
    <row r="1117" spans="1:25">
      <c r="A1117" s="155" t="s">
        <v>82</v>
      </c>
      <c r="B1117" s="156">
        <v>42478</v>
      </c>
      <c r="C1117" s="155" t="s">
        <v>118</v>
      </c>
      <c r="D1117" s="155"/>
      <c r="E1117" s="155" t="s">
        <v>647</v>
      </c>
      <c r="F1117" s="157"/>
      <c r="G1117" s="158"/>
      <c r="H1117" s="157"/>
      <c r="I1117" s="157"/>
      <c r="J1117" s="159">
        <v>390.72</v>
      </c>
      <c r="K1117" s="6" t="s">
        <v>641</v>
      </c>
      <c r="L1117" s="20">
        <f>IF(ISNA(MATCH(Transactions[[#This Row],[TransType]],TransTypes[TransType],0)),1,MATCH(Transactions[[#This Row],[TransType]],TransTypes[TransType],0))</f>
        <v>4</v>
      </c>
      <c r="M1117" s="160">
        <f>IF( AND( INDEX(TransTypes[],Transactions[[#This Row],[TTR]],TT_COL_GLFlag)=1, INDEX(TransTypes[],Transactions[[#This Row],[TTR]],TT_COL_LONGORSHORT)="S" ),
      Transactions[[#This Row],[PL]],
      IF(INDEX(TransTypes[],Transactions[[#This Row],[TTR]],TT_COL_LONGORSHORT)="S",0,Transactions[[#This Row],[CalCashImpact]])
)</f>
        <v>390.72</v>
      </c>
      <c r="N1117" s="161">
        <f>IF(VLOOKUP(Transactions[[#This Row],[Symbol]],Symbols[],COLUMN(Symbols[Currency])-COLUMN(Symbols[])+1,FALSE)=
       VLOOKUP(Transactions[[#This Row],[Account]],Accounts[],COLUMN(Accounts[Currency])-COLUMN(Accounts[])+1,FALSE),
     Transactions[[#This Row],[OrigCashImpact]],
     0
)</f>
        <v>390.72</v>
      </c>
      <c r="O11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215225.29999999909</v>
      </c>
      <c r="P11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2977</v>
      </c>
      <c r="R1117" s="41">
        <f>ROW()</f>
        <v>1117</v>
      </c>
      <c r="S11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60564.214000000007</v>
      </c>
      <c r="U11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2977</v>
      </c>
      <c r="V1117" s="166">
        <f>IF(INDEX(TransTypes[],Transactions[[#This Row],[TTR]],TT_COL_GLFlag)=1,Transactions[[#This Row],[CalCashImpact]]+Transactions[[#This Row],[CostImpact]],0)</f>
        <v>0</v>
      </c>
      <c r="W1117" s="167">
        <f>Transactions[[#This Row],[Amount]]*INDEX(TransTypes[],Transactions[[#This Row],[TTR]],TT_COL_AmntSign)</f>
        <v>390.72</v>
      </c>
      <c r="X1117" s="167">
        <f>IF(INDEX(TransTypes[],Transactions[[#This Row],[TTR]],TT_COL_LONGORSHORT)="S",
      IF( OR(INDEX(TransTypes[],Transactions[[#This Row],[TTR]],TT_COL_GLFlag)=1, INDEX(TransTypes[], Transactions[[#This Row],[TTR]], TT_COL_ShareTransferFlag)=1),
            Transactions[[#This Row],[CostImpact]]*-1,
            Transactions[[#This Row],[CalCashImpact]]
      ),
     0
)</f>
        <v>0</v>
      </c>
      <c r="Y1117" s="168" t="str">
        <f>VLOOKUP(Transactions[[#This Row],[Symbol]],Symbols[], COLUMN(Symbols[Currency])-COLUMN(Symbols[])+1,FALSE)</f>
        <v>CNY</v>
      </c>
    </row>
    <row r="1118" spans="1:25">
      <c r="A1118" s="155" t="s">
        <v>82</v>
      </c>
      <c r="B1118" s="156">
        <v>42480</v>
      </c>
      <c r="C1118" s="155" t="s">
        <v>113</v>
      </c>
      <c r="D1118" s="155"/>
      <c r="E1118" s="155" t="s">
        <v>644</v>
      </c>
      <c r="F1118" s="157">
        <v>1000</v>
      </c>
      <c r="G1118" s="158">
        <v>55.54</v>
      </c>
      <c r="H1118" s="157">
        <v>22.22</v>
      </c>
      <c r="I1118" s="157"/>
      <c r="J1118" s="159">
        <v>55562.22</v>
      </c>
      <c r="K1118" s="6" t="s">
        <v>641</v>
      </c>
      <c r="L1118" s="20">
        <f>IF(ISNA(MATCH(Transactions[[#This Row],[TransType]],TransTypes[TransType],0)),1,MATCH(Transactions[[#This Row],[TransType]],TransTypes[TransType],0))</f>
        <v>2</v>
      </c>
      <c r="M1118" s="160">
        <f>IF( AND( INDEX(TransTypes[],Transactions[[#This Row],[TTR]],TT_COL_GLFlag)=1, INDEX(TransTypes[],Transactions[[#This Row],[TTR]],TT_COL_LONGORSHORT)="S" ),
      Transactions[[#This Row],[PL]],
      IF(INDEX(TransTypes[],Transactions[[#This Row],[TTR]],TT_COL_LONGORSHORT)="S",0,Transactions[[#This Row],[CalCashImpact]])
)</f>
        <v>-55562.22</v>
      </c>
      <c r="N1118" s="161">
        <f>IF(VLOOKUP(Transactions[[#This Row],[Symbol]],Symbols[],COLUMN(Symbols[Currency])-COLUMN(Symbols[])+1,FALSE)=
       VLOOKUP(Transactions[[#This Row],[Account]],Accounts[],COLUMN(Accounts[Currency])-COLUMN(Accounts[])+1,FALSE),
     Transactions[[#This Row],[OrigCashImpact]],
     0
)</f>
        <v>-55562.22</v>
      </c>
      <c r="O11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159663.07999999908</v>
      </c>
      <c r="P11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18" s="41">
        <f>ROW()</f>
        <v>1118</v>
      </c>
      <c r="S11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55562.22</v>
      </c>
      <c r="T11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109149.08977777777</v>
      </c>
      <c r="U11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118" s="166">
        <f>IF(INDEX(TransTypes[],Transactions[[#This Row],[TTR]],TT_COL_GLFlag)=1,Transactions[[#This Row],[CalCashImpact]]+Transactions[[#This Row],[CostImpact]],0)</f>
        <v>0</v>
      </c>
      <c r="W1118" s="167">
        <f>Transactions[[#This Row],[Amount]]*INDEX(TransTypes[],Transactions[[#This Row],[TTR]],TT_COL_AmntSign)</f>
        <v>-55562.22</v>
      </c>
      <c r="X1118" s="167">
        <f>IF(INDEX(TransTypes[],Transactions[[#This Row],[TTR]],TT_COL_LONGORSHORT)="S",
      IF( OR(INDEX(TransTypes[],Transactions[[#This Row],[TTR]],TT_COL_GLFlag)=1, INDEX(TransTypes[], Transactions[[#This Row],[TTR]], TT_COL_ShareTransferFlag)=1),
            Transactions[[#This Row],[CostImpact]]*-1,
            Transactions[[#This Row],[CalCashImpact]]
      ),
     0
)</f>
        <v>0</v>
      </c>
      <c r="Y1118" s="168" t="str">
        <f>VLOOKUP(Transactions[[#This Row],[Symbol]],Symbols[], COLUMN(Symbols[Currency])-COLUMN(Symbols[])+1,FALSE)</f>
        <v>CNY</v>
      </c>
    </row>
    <row r="1119" spans="1:25">
      <c r="A1119" s="155" t="s">
        <v>82</v>
      </c>
      <c r="B1119" s="156">
        <v>42480</v>
      </c>
      <c r="C1119" s="155" t="s">
        <v>115</v>
      </c>
      <c r="D1119" s="155"/>
      <c r="E1119" s="155" t="s">
        <v>467</v>
      </c>
      <c r="F1119" s="157">
        <v>800</v>
      </c>
      <c r="G1119" s="158">
        <v>22</v>
      </c>
      <c r="H1119" s="157">
        <v>24.64</v>
      </c>
      <c r="I1119" s="157"/>
      <c r="J1119" s="159">
        <v>17575.36</v>
      </c>
      <c r="K1119" s="6" t="s">
        <v>641</v>
      </c>
      <c r="L1119" s="20">
        <f>IF(ISNA(MATCH(Transactions[[#This Row],[TransType]],TransTypes[TransType],0)),1,MATCH(Transactions[[#This Row],[TransType]],TransTypes[TransType],0))</f>
        <v>3</v>
      </c>
      <c r="M1119" s="160">
        <f>IF( AND( INDEX(TransTypes[],Transactions[[#This Row],[TTR]],TT_COL_GLFlag)=1, INDEX(TransTypes[],Transactions[[#This Row],[TTR]],TT_COL_LONGORSHORT)="S" ),
      Transactions[[#This Row],[PL]],
      IF(INDEX(TransTypes[],Transactions[[#This Row],[TTR]],TT_COL_LONGORSHORT)="S",0,Transactions[[#This Row],[CalCashImpact]])
)</f>
        <v>17575.36</v>
      </c>
      <c r="N1119" s="161">
        <f>IF(VLOOKUP(Transactions[[#This Row],[Symbol]],Symbols[],COLUMN(Symbols[Currency])-COLUMN(Symbols[])+1,FALSE)=
       VLOOKUP(Transactions[[#This Row],[Account]],Accounts[],COLUMN(Accounts[Currency])-COLUMN(Accounts[])+1,FALSE),
     Transactions[[#This Row],[OrigCashImpact]],
     0
)</f>
        <v>17575.36</v>
      </c>
      <c r="O11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177238.43999999907</v>
      </c>
      <c r="P11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v>
      </c>
      <c r="Q11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119" s="41">
        <f>ROW()</f>
        <v>1119</v>
      </c>
      <c r="S11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-18369.875987654319</v>
      </c>
      <c r="T11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22962.344984567899</v>
      </c>
      <c r="U11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v>
      </c>
      <c r="V1119" s="166">
        <f>IF(INDEX(TransTypes[],Transactions[[#This Row],[TTR]],TT_COL_GLFlag)=1,Transactions[[#This Row],[CalCashImpact]]+Transactions[[#This Row],[CostImpact]],0)</f>
        <v>-794.51598765431845</v>
      </c>
      <c r="W1119" s="167">
        <f>Transactions[[#This Row],[Amount]]*INDEX(TransTypes[],Transactions[[#This Row],[TTR]],TT_COL_AmntSign)</f>
        <v>17575.36</v>
      </c>
      <c r="X1119" s="167">
        <f>IF(INDEX(TransTypes[],Transactions[[#This Row],[TTR]],TT_COL_LONGORSHORT)="S",
      IF( OR(INDEX(TransTypes[],Transactions[[#This Row],[TTR]],TT_COL_GLFlag)=1, INDEX(TransTypes[], Transactions[[#This Row],[TTR]], TT_COL_ShareTransferFlag)=1),
            Transactions[[#This Row],[CostImpact]]*-1,
            Transactions[[#This Row],[CalCashImpact]]
      ),
     0
)</f>
        <v>0</v>
      </c>
      <c r="Y1119" s="168" t="str">
        <f>VLOOKUP(Transactions[[#This Row],[Symbol]],Symbols[], COLUMN(Symbols[Currency])-COLUMN(Symbols[])+1,FALSE)</f>
        <v>CNY</v>
      </c>
    </row>
    <row r="1120" spans="1:25">
      <c r="A1120" s="155" t="s">
        <v>82</v>
      </c>
      <c r="B1120" s="156">
        <v>42480</v>
      </c>
      <c r="C1120" s="155" t="s">
        <v>115</v>
      </c>
      <c r="D1120" s="155"/>
      <c r="E1120" s="155" t="s">
        <v>647</v>
      </c>
      <c r="F1120" s="157">
        <v>977</v>
      </c>
      <c r="G1120" s="158">
        <v>25.0529989764585</v>
      </c>
      <c r="H1120" s="157">
        <v>27.39</v>
      </c>
      <c r="I1120" s="157"/>
      <c r="J1120" s="159">
        <v>24449.39</v>
      </c>
      <c r="K1120" s="6" t="s">
        <v>641</v>
      </c>
      <c r="L1120" s="20">
        <f>IF(ISNA(MATCH(Transactions[[#This Row],[TransType]],TransTypes[TransType],0)),1,MATCH(Transactions[[#This Row],[TransType]],TransTypes[TransType],0))</f>
        <v>3</v>
      </c>
      <c r="M1120" s="160">
        <f>IF( AND( INDEX(TransTypes[],Transactions[[#This Row],[TTR]],TT_COL_GLFlag)=1, INDEX(TransTypes[],Transactions[[#This Row],[TTR]],TT_COL_LONGORSHORT)="S" ),
      Transactions[[#This Row],[PL]],
      IF(INDEX(TransTypes[],Transactions[[#This Row],[TTR]],TT_COL_LONGORSHORT)="S",0,Transactions[[#This Row],[CalCashImpact]])
)</f>
        <v>24449.39</v>
      </c>
      <c r="N1120" s="161">
        <f>IF(VLOOKUP(Transactions[[#This Row],[Symbol]],Symbols[],COLUMN(Symbols[Currency])-COLUMN(Symbols[])+1,FALSE)=
       VLOOKUP(Transactions[[#This Row],[Account]],Accounts[],COLUMN(Accounts[Currency])-COLUMN(Accounts[])+1,FALSE),
     Transactions[[#This Row],[OrigCashImpact]],
     0
)</f>
        <v>24449.39</v>
      </c>
      <c r="O11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201687.82999999908</v>
      </c>
      <c r="P11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-977</v>
      </c>
      <c r="Q11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20" s="41">
        <f>ROW()</f>
        <v>1120</v>
      </c>
      <c r="S11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-19876.129351024523</v>
      </c>
      <c r="T11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40688.084648975484</v>
      </c>
      <c r="U11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2977</v>
      </c>
      <c r="V1120" s="166">
        <f>IF(INDEX(TransTypes[],Transactions[[#This Row],[TTR]],TT_COL_GLFlag)=1,Transactions[[#This Row],[CalCashImpact]]+Transactions[[#This Row],[CostImpact]],0)</f>
        <v>4573.2606489754762</v>
      </c>
      <c r="W1120" s="167">
        <f>Transactions[[#This Row],[Amount]]*INDEX(TransTypes[],Transactions[[#This Row],[TTR]],TT_COL_AmntSign)</f>
        <v>24449.39</v>
      </c>
      <c r="X1120" s="167">
        <f>IF(INDEX(TransTypes[],Transactions[[#This Row],[TTR]],TT_COL_LONGORSHORT)="S",
      IF( OR(INDEX(TransTypes[],Transactions[[#This Row],[TTR]],TT_COL_GLFlag)=1, INDEX(TransTypes[], Transactions[[#This Row],[TTR]], TT_COL_ShareTransferFlag)=1),
            Transactions[[#This Row],[CostImpact]]*-1,
            Transactions[[#This Row],[CalCashImpact]]
      ),
     0
)</f>
        <v>0</v>
      </c>
      <c r="Y1120" s="168" t="str">
        <f>VLOOKUP(Transactions[[#This Row],[Symbol]],Symbols[], COLUMN(Symbols[Currency])-COLUMN(Symbols[])+1,FALSE)</f>
        <v>CNY</v>
      </c>
    </row>
    <row r="1121" spans="1:25">
      <c r="A1121" s="155" t="s">
        <v>82</v>
      </c>
      <c r="B1121" s="156">
        <v>42480</v>
      </c>
      <c r="C1121" s="155" t="s">
        <v>115</v>
      </c>
      <c r="D1121" s="155"/>
      <c r="E1121" s="155" t="s">
        <v>642</v>
      </c>
      <c r="F1121" s="157">
        <v>500</v>
      </c>
      <c r="G1121" s="158">
        <v>27.21</v>
      </c>
      <c r="H1121" s="157">
        <v>19.05</v>
      </c>
      <c r="I1121" s="157"/>
      <c r="J1121" s="159">
        <v>13585.95</v>
      </c>
      <c r="K1121" s="6" t="s">
        <v>641</v>
      </c>
      <c r="L1121" s="20">
        <f>IF(ISNA(MATCH(Transactions[[#This Row],[TransType]],TransTypes[TransType],0)),1,MATCH(Transactions[[#This Row],[TransType]],TransTypes[TransType],0))</f>
        <v>3</v>
      </c>
      <c r="M1121" s="160">
        <f>IF( AND( INDEX(TransTypes[],Transactions[[#This Row],[TTR]],TT_COL_GLFlag)=1, INDEX(TransTypes[],Transactions[[#This Row],[TTR]],TT_COL_LONGORSHORT)="S" ),
      Transactions[[#This Row],[PL]],
      IF(INDEX(TransTypes[],Transactions[[#This Row],[TTR]],TT_COL_LONGORSHORT)="S",0,Transactions[[#This Row],[CalCashImpact]])
)</f>
        <v>13585.95</v>
      </c>
      <c r="N1121" s="161">
        <f>IF(VLOOKUP(Transactions[[#This Row],[Symbol]],Symbols[],COLUMN(Symbols[Currency])-COLUMN(Symbols[])+1,FALSE)=
       VLOOKUP(Transactions[[#This Row],[Account]],Accounts[],COLUMN(Accounts[Currency])-COLUMN(Accounts[])+1,FALSE),
     Transactions[[#This Row],[OrigCashImpact]],
     0
)</f>
        <v>13585.95</v>
      </c>
      <c r="O11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215273.7799999991</v>
      </c>
      <c r="P11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1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21" s="41">
        <f>ROW()</f>
        <v>1121</v>
      </c>
      <c r="S11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-12771.772857142856</v>
      </c>
      <c r="T11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51087.091428571424</v>
      </c>
      <c r="U11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v>
      </c>
      <c r="V1121" s="166">
        <f>IF(INDEX(TransTypes[],Transactions[[#This Row],[TTR]],TT_COL_GLFlag)=1,Transactions[[#This Row],[CalCashImpact]]+Transactions[[#This Row],[CostImpact]],0)</f>
        <v>814.17714285714464</v>
      </c>
      <c r="W1121" s="167">
        <f>Transactions[[#This Row],[Amount]]*INDEX(TransTypes[],Transactions[[#This Row],[TTR]],TT_COL_AmntSign)</f>
        <v>13585.95</v>
      </c>
      <c r="X1121" s="167">
        <f>IF(INDEX(TransTypes[],Transactions[[#This Row],[TTR]],TT_COL_LONGORSHORT)="S",
      IF( OR(INDEX(TransTypes[],Transactions[[#This Row],[TTR]],TT_COL_GLFlag)=1, INDEX(TransTypes[], Transactions[[#This Row],[TTR]], TT_COL_ShareTransferFlag)=1),
            Transactions[[#This Row],[CostImpact]]*-1,
            Transactions[[#This Row],[CalCashImpact]]
      ),
     0
)</f>
        <v>0</v>
      </c>
      <c r="Y1121" s="168" t="str">
        <f>VLOOKUP(Transactions[[#This Row],[Symbol]],Symbols[], COLUMN(Symbols[Currency])-COLUMN(Symbols[])+1,FALSE)</f>
        <v>CNY</v>
      </c>
    </row>
    <row r="1122" spans="1:25">
      <c r="A1122" s="155" t="s">
        <v>82</v>
      </c>
      <c r="B1122" s="156">
        <v>42480</v>
      </c>
      <c r="C1122" s="155" t="s">
        <v>115</v>
      </c>
      <c r="D1122" s="155"/>
      <c r="E1122" s="155" t="s">
        <v>649</v>
      </c>
      <c r="F1122" s="157">
        <v>1000</v>
      </c>
      <c r="G1122" s="158">
        <v>44.71</v>
      </c>
      <c r="H1122" s="157">
        <v>62.59</v>
      </c>
      <c r="I1122" s="157"/>
      <c r="J1122" s="159">
        <v>44647.41</v>
      </c>
      <c r="K1122" s="6" t="s">
        <v>641</v>
      </c>
      <c r="L1122" s="20">
        <f>IF(ISNA(MATCH(Transactions[[#This Row],[TransType]],TransTypes[TransType],0)),1,MATCH(Transactions[[#This Row],[TransType]],TransTypes[TransType],0))</f>
        <v>3</v>
      </c>
      <c r="M1122" s="160">
        <f>IF( AND( INDEX(TransTypes[],Transactions[[#This Row],[TTR]],TT_COL_GLFlag)=1, INDEX(TransTypes[],Transactions[[#This Row],[TTR]],TT_COL_LONGORSHORT)="S" ),
      Transactions[[#This Row],[PL]],
      IF(INDEX(TransTypes[],Transactions[[#This Row],[TTR]],TT_COL_LONGORSHORT)="S",0,Transactions[[#This Row],[CalCashImpact]])
)</f>
        <v>44647.41</v>
      </c>
      <c r="N1122" s="161">
        <f>IF(VLOOKUP(Transactions[[#This Row],[Symbol]],Symbols[],COLUMN(Symbols[Currency])-COLUMN(Symbols[])+1,FALSE)=
       VLOOKUP(Transactions[[#This Row],[Account]],Accounts[],COLUMN(Accounts[Currency])-COLUMN(Accounts[])+1,FALSE),
     Transactions[[#This Row],[OrigCashImpact]],
     0
)</f>
        <v>44647.41</v>
      </c>
      <c r="O11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259921.18999999907</v>
      </c>
      <c r="P11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22" s="41">
        <f>ROW()</f>
        <v>1122</v>
      </c>
      <c r="S11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-45828.324999999997</v>
      </c>
      <c r="T11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122" s="166">
        <f>IF(INDEX(TransTypes[],Transactions[[#This Row],[TTR]],TT_COL_GLFlag)=1,Transactions[[#This Row],[CalCashImpact]]+Transactions[[#This Row],[CostImpact]],0)</f>
        <v>-1180.9149999999936</v>
      </c>
      <c r="W1122" s="167">
        <f>Transactions[[#This Row],[Amount]]*INDEX(TransTypes[],Transactions[[#This Row],[TTR]],TT_COL_AmntSign)</f>
        <v>44647.41</v>
      </c>
      <c r="X1122" s="167">
        <f>IF(INDEX(TransTypes[],Transactions[[#This Row],[TTR]],TT_COL_LONGORSHORT)="S",
      IF( OR(INDEX(TransTypes[],Transactions[[#This Row],[TTR]],TT_COL_GLFlag)=1, INDEX(TransTypes[], Transactions[[#This Row],[TTR]], TT_COL_ShareTransferFlag)=1),
            Transactions[[#This Row],[CostImpact]]*-1,
            Transactions[[#This Row],[CalCashImpact]]
      ),
     0
)</f>
        <v>0</v>
      </c>
      <c r="Y1122" s="168" t="str">
        <f>VLOOKUP(Transactions[[#This Row],[Symbol]],Symbols[], COLUMN(Symbols[Currency])-COLUMN(Symbols[])+1,FALSE)</f>
        <v>CNY</v>
      </c>
    </row>
    <row r="1123" spans="1:25">
      <c r="A1123" s="155" t="s">
        <v>82</v>
      </c>
      <c r="B1123" s="156">
        <v>42480</v>
      </c>
      <c r="C1123" s="155" t="s">
        <v>115</v>
      </c>
      <c r="D1123" s="155"/>
      <c r="E1123" s="155" t="s">
        <v>693</v>
      </c>
      <c r="F1123" s="157">
        <v>5900</v>
      </c>
      <c r="G1123" s="158">
        <v>13.962999999999999</v>
      </c>
      <c r="H1123" s="157">
        <v>115.34</v>
      </c>
      <c r="I1123" s="157"/>
      <c r="J1123" s="159">
        <v>82266.36</v>
      </c>
      <c r="K1123" s="6" t="s">
        <v>641</v>
      </c>
      <c r="L1123" s="20">
        <f>IF(ISNA(MATCH(Transactions[[#This Row],[TransType]],TransTypes[TransType],0)),1,MATCH(Transactions[[#This Row],[TransType]],TransTypes[TransType],0))</f>
        <v>3</v>
      </c>
      <c r="M1123" s="160">
        <f>IF( AND( INDEX(TransTypes[],Transactions[[#This Row],[TTR]],TT_COL_GLFlag)=1, INDEX(TransTypes[],Transactions[[#This Row],[TTR]],TT_COL_LONGORSHORT)="S" ),
      Transactions[[#This Row],[PL]],
      IF(INDEX(TransTypes[],Transactions[[#This Row],[TTR]],TT_COL_LONGORSHORT)="S",0,Transactions[[#This Row],[CalCashImpact]])
)</f>
        <v>82266.36</v>
      </c>
      <c r="N1123" s="161">
        <f>IF(VLOOKUP(Transactions[[#This Row],[Symbol]],Symbols[],COLUMN(Symbols[Currency])-COLUMN(Symbols[])+1,FALSE)=
       VLOOKUP(Transactions[[#This Row],[Account]],Accounts[],COLUMN(Accounts[Currency])-COLUMN(Accounts[])+1,FALSE),
     Transactions[[#This Row],[OrigCashImpact]],
     0
)</f>
        <v>82266.36</v>
      </c>
      <c r="O11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342187.54999999912</v>
      </c>
      <c r="P11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-5900</v>
      </c>
      <c r="Q11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23" s="41">
        <f>ROW()</f>
        <v>1123</v>
      </c>
      <c r="S11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-90601.23</v>
      </c>
      <c r="T11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5900</v>
      </c>
      <c r="V1123" s="166">
        <f>IF(INDEX(TransTypes[],Transactions[[#This Row],[TTR]],TT_COL_GLFlag)=1,Transactions[[#This Row],[CalCashImpact]]+Transactions[[#This Row],[CostImpact]],0)</f>
        <v>-8334.8699999999953</v>
      </c>
      <c r="W1123" s="167">
        <f>Transactions[[#This Row],[Amount]]*INDEX(TransTypes[],Transactions[[#This Row],[TTR]],TT_COL_AmntSign)</f>
        <v>82266.36</v>
      </c>
      <c r="X1123" s="167">
        <f>IF(INDEX(TransTypes[],Transactions[[#This Row],[TTR]],TT_COL_LONGORSHORT)="S",
      IF( OR(INDEX(TransTypes[],Transactions[[#This Row],[TTR]],TT_COL_GLFlag)=1, INDEX(TransTypes[], Transactions[[#This Row],[TTR]], TT_COL_ShareTransferFlag)=1),
            Transactions[[#This Row],[CostImpact]]*-1,
            Transactions[[#This Row],[CalCashImpact]]
      ),
     0
)</f>
        <v>0</v>
      </c>
      <c r="Y1123" s="168" t="str">
        <f>VLOOKUP(Transactions[[#This Row],[Symbol]],Symbols[], COLUMN(Symbols[Currency])-COLUMN(Symbols[])+1,FALSE)</f>
        <v>CNY</v>
      </c>
    </row>
    <row r="1124" spans="1:25">
      <c r="A1124" s="155" t="s">
        <v>82</v>
      </c>
      <c r="B1124" s="156">
        <v>42480</v>
      </c>
      <c r="C1124" s="155" t="s">
        <v>115</v>
      </c>
      <c r="D1124" s="155"/>
      <c r="E1124" s="155" t="s">
        <v>689</v>
      </c>
      <c r="F1124" s="157">
        <v>4900</v>
      </c>
      <c r="G1124" s="158">
        <v>18.5</v>
      </c>
      <c r="H1124" s="157">
        <v>126.91</v>
      </c>
      <c r="I1124" s="157"/>
      <c r="J1124" s="159">
        <v>90523.09</v>
      </c>
      <c r="K1124" s="6" t="s">
        <v>641</v>
      </c>
      <c r="L1124" s="20">
        <f>IF(ISNA(MATCH(Transactions[[#This Row],[TransType]],TransTypes[TransType],0)),1,MATCH(Transactions[[#This Row],[TransType]],TransTypes[TransType],0))</f>
        <v>3</v>
      </c>
      <c r="M1124" s="160">
        <f>IF( AND( INDEX(TransTypes[],Transactions[[#This Row],[TTR]],TT_COL_GLFlag)=1, INDEX(TransTypes[],Transactions[[#This Row],[TTR]],TT_COL_LONGORSHORT)="S" ),
      Transactions[[#This Row],[PL]],
      IF(INDEX(TransTypes[],Transactions[[#This Row],[TTR]],TT_COL_LONGORSHORT)="S",0,Transactions[[#This Row],[CalCashImpact]])
)</f>
        <v>90523.09</v>
      </c>
      <c r="N1124" s="161">
        <f>IF(VLOOKUP(Transactions[[#This Row],[Symbol]],Symbols[],COLUMN(Symbols[Currency])-COLUMN(Symbols[])+1,FALSE)=
       VLOOKUP(Transactions[[#This Row],[Account]],Accounts[],COLUMN(Accounts[Currency])-COLUMN(Accounts[])+1,FALSE),
     Transactions[[#This Row],[OrigCashImpact]],
     0
)</f>
        <v>90523.09</v>
      </c>
      <c r="O11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432710.63999999908</v>
      </c>
      <c r="P11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-4900</v>
      </c>
      <c r="Q11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24" s="41">
        <f>ROW()</f>
        <v>1124</v>
      </c>
      <c r="S11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-100460.77</v>
      </c>
      <c r="T11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4900</v>
      </c>
      <c r="V1124" s="166">
        <f>IF(INDEX(TransTypes[],Transactions[[#This Row],[TTR]],TT_COL_GLFlag)=1,Transactions[[#This Row],[CalCashImpact]]+Transactions[[#This Row],[CostImpact]],0)</f>
        <v>-9937.6800000000076</v>
      </c>
      <c r="W1124" s="167">
        <f>Transactions[[#This Row],[Amount]]*INDEX(TransTypes[],Transactions[[#This Row],[TTR]],TT_COL_AmntSign)</f>
        <v>90523.09</v>
      </c>
      <c r="X1124" s="167">
        <f>IF(INDEX(TransTypes[],Transactions[[#This Row],[TTR]],TT_COL_LONGORSHORT)="S",
      IF( OR(INDEX(TransTypes[],Transactions[[#This Row],[TTR]],TT_COL_GLFlag)=1, INDEX(TransTypes[], Transactions[[#This Row],[TTR]], TT_COL_ShareTransferFlag)=1),
            Transactions[[#This Row],[CostImpact]]*-1,
            Transactions[[#This Row],[CalCashImpact]]
      ),
     0
)</f>
        <v>0</v>
      </c>
      <c r="Y1124" s="168" t="str">
        <f>VLOOKUP(Transactions[[#This Row],[Symbol]],Symbols[], COLUMN(Symbols[Currency])-COLUMN(Symbols[])+1,FALSE)</f>
        <v>CNY</v>
      </c>
    </row>
    <row r="1125" spans="1:25">
      <c r="A1125" s="155" t="s">
        <v>82</v>
      </c>
      <c r="B1125" s="156">
        <v>42480</v>
      </c>
      <c r="C1125" s="155" t="s">
        <v>113</v>
      </c>
      <c r="D1125" s="155"/>
      <c r="E1125" s="155" t="s">
        <v>685</v>
      </c>
      <c r="F1125" s="157">
        <v>1000</v>
      </c>
      <c r="G1125" s="158">
        <v>28.172999999999998</v>
      </c>
      <c r="H1125" s="157">
        <v>11.83</v>
      </c>
      <c r="I1125" s="157"/>
      <c r="J1125" s="159">
        <v>28184.83</v>
      </c>
      <c r="K1125" s="6" t="s">
        <v>641</v>
      </c>
      <c r="L1125" s="20">
        <f>IF(ISNA(MATCH(Transactions[[#This Row],[TransType]],TransTypes[TransType],0)),1,MATCH(Transactions[[#This Row],[TransType]],TransTypes[TransType],0))</f>
        <v>2</v>
      </c>
      <c r="M1125" s="160">
        <f>IF( AND( INDEX(TransTypes[],Transactions[[#This Row],[TTR]],TT_COL_GLFlag)=1, INDEX(TransTypes[],Transactions[[#This Row],[TTR]],TT_COL_LONGORSHORT)="S" ),
      Transactions[[#This Row],[PL]],
      IF(INDEX(TransTypes[],Transactions[[#This Row],[TTR]],TT_COL_LONGORSHORT)="S",0,Transactions[[#This Row],[CalCashImpact]])
)</f>
        <v>-28184.83</v>
      </c>
      <c r="N1125" s="161">
        <f>IF(VLOOKUP(Transactions[[#This Row],[Symbol]],Symbols[],COLUMN(Symbols[Currency])-COLUMN(Symbols[])+1,FALSE)=
       VLOOKUP(Transactions[[#This Row],[Account]],Accounts[],COLUMN(Accounts[Currency])-COLUMN(Accounts[])+1,FALSE),
     Transactions[[#This Row],[OrigCashImpact]],
     0
)</f>
        <v>-28184.83</v>
      </c>
      <c r="O11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404525.80999999912</v>
      </c>
      <c r="P11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25" s="41">
        <f>ROW()</f>
        <v>1125</v>
      </c>
      <c r="S11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28184.83</v>
      </c>
      <c r="T11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81504.013199999987</v>
      </c>
      <c r="U11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125" s="166">
        <f>IF(INDEX(TransTypes[],Transactions[[#This Row],[TTR]],TT_COL_GLFlag)=1,Transactions[[#This Row],[CalCashImpact]]+Transactions[[#This Row],[CostImpact]],0)</f>
        <v>0</v>
      </c>
      <c r="W1125" s="167">
        <f>Transactions[[#This Row],[Amount]]*INDEX(TransTypes[],Transactions[[#This Row],[TTR]],TT_COL_AmntSign)</f>
        <v>-28184.83</v>
      </c>
      <c r="X1125" s="167">
        <f>IF(INDEX(TransTypes[],Transactions[[#This Row],[TTR]],TT_COL_LONGORSHORT)="S",
      IF( OR(INDEX(TransTypes[],Transactions[[#This Row],[TTR]],TT_COL_GLFlag)=1, INDEX(TransTypes[], Transactions[[#This Row],[TTR]], TT_COL_ShareTransferFlag)=1),
            Transactions[[#This Row],[CostImpact]]*-1,
            Transactions[[#This Row],[CalCashImpact]]
      ),
     0
)</f>
        <v>0</v>
      </c>
      <c r="Y1125" s="168" t="str">
        <f>VLOOKUP(Transactions[[#This Row],[Symbol]],Symbols[], COLUMN(Symbols[Currency])-COLUMN(Symbols[])+1,FALSE)</f>
        <v>CNY</v>
      </c>
    </row>
    <row r="1126" spans="1:25">
      <c r="A1126" s="155" t="s">
        <v>82</v>
      </c>
      <c r="B1126" s="156">
        <v>42480</v>
      </c>
      <c r="C1126" s="155" t="s">
        <v>115</v>
      </c>
      <c r="D1126" s="155"/>
      <c r="E1126" s="155" t="s">
        <v>677</v>
      </c>
      <c r="F1126" s="157">
        <v>1000</v>
      </c>
      <c r="G1126" s="158">
        <v>8.2799999999999994</v>
      </c>
      <c r="H1126" s="157">
        <v>13.45</v>
      </c>
      <c r="I1126" s="157"/>
      <c r="J1126" s="159">
        <v>8266.5499999999993</v>
      </c>
      <c r="K1126" s="6" t="s">
        <v>641</v>
      </c>
      <c r="L1126" s="20">
        <f>IF(ISNA(MATCH(Transactions[[#This Row],[TransType]],TransTypes[TransType],0)),1,MATCH(Transactions[[#This Row],[TransType]],TransTypes[TransType],0))</f>
        <v>3</v>
      </c>
      <c r="M1126" s="160">
        <f>IF( AND( INDEX(TransTypes[],Transactions[[#This Row],[TTR]],TT_COL_GLFlag)=1, INDEX(TransTypes[],Transactions[[#This Row],[TTR]],TT_COL_LONGORSHORT)="S" ),
      Transactions[[#This Row],[PL]],
      IF(INDEX(TransTypes[],Transactions[[#This Row],[TTR]],TT_COL_LONGORSHORT)="S",0,Transactions[[#This Row],[CalCashImpact]])
)</f>
        <v>8266.5499999999993</v>
      </c>
      <c r="N1126" s="161">
        <f>IF(VLOOKUP(Transactions[[#This Row],[Symbol]],Symbols[],COLUMN(Symbols[Currency])-COLUMN(Symbols[])+1,FALSE)=
       VLOOKUP(Transactions[[#This Row],[Account]],Accounts[],COLUMN(Accounts[Currency])-COLUMN(Accounts[])+1,FALSE),
     Transactions[[#This Row],[OrigCashImpact]],
     0
)</f>
        <v>8266.5499999999993</v>
      </c>
      <c r="O11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412792.35999999905</v>
      </c>
      <c r="P11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126" s="41">
        <f>ROW()</f>
        <v>1126</v>
      </c>
      <c r="S11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-8393.5240000000013</v>
      </c>
      <c r="T11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33574.096000000005</v>
      </c>
      <c r="U11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26" s="166">
        <f>IF(INDEX(TransTypes[],Transactions[[#This Row],[TTR]],TT_COL_GLFlag)=1,Transactions[[#This Row],[CalCashImpact]]+Transactions[[#This Row],[CostImpact]],0)</f>
        <v>-126.97400000000198</v>
      </c>
      <c r="W1126" s="167">
        <f>Transactions[[#This Row],[Amount]]*INDEX(TransTypes[],Transactions[[#This Row],[TTR]],TT_COL_AmntSign)</f>
        <v>8266.5499999999993</v>
      </c>
      <c r="X1126" s="167">
        <f>IF(INDEX(TransTypes[],Transactions[[#This Row],[TTR]],TT_COL_LONGORSHORT)="S",
      IF( OR(INDEX(TransTypes[],Transactions[[#This Row],[TTR]],TT_COL_GLFlag)=1, INDEX(TransTypes[], Transactions[[#This Row],[TTR]], TT_COL_ShareTransferFlag)=1),
            Transactions[[#This Row],[CostImpact]]*-1,
            Transactions[[#This Row],[CalCashImpact]]
      ),
     0
)</f>
        <v>0</v>
      </c>
      <c r="Y1126" s="168" t="str">
        <f>VLOOKUP(Transactions[[#This Row],[Symbol]],Symbols[], COLUMN(Symbols[Currency])-COLUMN(Symbols[])+1,FALSE)</f>
        <v>CNY</v>
      </c>
    </row>
    <row r="1127" spans="1:25">
      <c r="A1127" s="155" t="s">
        <v>82</v>
      </c>
      <c r="B1127" s="156">
        <v>42480</v>
      </c>
      <c r="C1127" s="155" t="s">
        <v>115</v>
      </c>
      <c r="D1127" s="155"/>
      <c r="E1127" s="155" t="s">
        <v>480</v>
      </c>
      <c r="F1127" s="157">
        <v>2000</v>
      </c>
      <c r="G1127" s="158">
        <v>46.68</v>
      </c>
      <c r="H1127" s="157">
        <v>132.57</v>
      </c>
      <c r="I1127" s="157"/>
      <c r="J1127" s="159">
        <v>93227.43</v>
      </c>
      <c r="K1127" s="6" t="s">
        <v>641</v>
      </c>
      <c r="L1127" s="20">
        <f>IF(ISNA(MATCH(Transactions[[#This Row],[TransType]],TransTypes[TransType],0)),1,MATCH(Transactions[[#This Row],[TransType]],TransTypes[TransType],0))</f>
        <v>3</v>
      </c>
      <c r="M1127" s="160">
        <f>IF( AND( INDEX(TransTypes[],Transactions[[#This Row],[TTR]],TT_COL_GLFlag)=1, INDEX(TransTypes[],Transactions[[#This Row],[TTR]],TT_COL_LONGORSHORT)="S" ),
      Transactions[[#This Row],[PL]],
      IF(INDEX(TransTypes[],Transactions[[#This Row],[TTR]],TT_COL_LONGORSHORT)="S",0,Transactions[[#This Row],[CalCashImpact]])
)</f>
        <v>93227.43</v>
      </c>
      <c r="N1127" s="161">
        <f>IF(VLOOKUP(Transactions[[#This Row],[Symbol]],Symbols[],COLUMN(Symbols[Currency])-COLUMN(Symbols[])+1,FALSE)=
       VLOOKUP(Transactions[[#This Row],[Account]],Accounts[],COLUMN(Accounts[Currency])-COLUMN(Accounts[])+1,FALSE),
     Transactions[[#This Row],[OrigCashImpact]],
     0
)</f>
        <v>93227.43</v>
      </c>
      <c r="O11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506019.78999999911</v>
      </c>
      <c r="P11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1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27" s="41">
        <f>ROW()</f>
        <v>1127</v>
      </c>
      <c r="S11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-94419.64</v>
      </c>
      <c r="T11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94419.64</v>
      </c>
      <c r="U11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127" s="166">
        <f>IF(INDEX(TransTypes[],Transactions[[#This Row],[TTR]],TT_COL_GLFlag)=1,Transactions[[#This Row],[CalCashImpact]]+Transactions[[#This Row],[CostImpact]],0)</f>
        <v>-1192.2100000000064</v>
      </c>
      <c r="W1127" s="167">
        <f>Transactions[[#This Row],[Amount]]*INDEX(TransTypes[],Transactions[[#This Row],[TTR]],TT_COL_AmntSign)</f>
        <v>93227.43</v>
      </c>
      <c r="X1127" s="167">
        <f>IF(INDEX(TransTypes[],Transactions[[#This Row],[TTR]],TT_COL_LONGORSHORT)="S",
      IF( OR(INDEX(TransTypes[],Transactions[[#This Row],[TTR]],TT_COL_GLFlag)=1, INDEX(TransTypes[], Transactions[[#This Row],[TTR]], TT_COL_ShareTransferFlag)=1),
            Transactions[[#This Row],[CostImpact]]*-1,
            Transactions[[#This Row],[CalCashImpact]]
      ),
     0
)</f>
        <v>0</v>
      </c>
      <c r="Y1127" s="168" t="str">
        <f>VLOOKUP(Transactions[[#This Row],[Symbol]],Symbols[], COLUMN(Symbols[Currency])-COLUMN(Symbols[])+1,FALSE)</f>
        <v>CNY</v>
      </c>
    </row>
    <row r="1128" spans="1:25">
      <c r="A1128" s="155" t="s">
        <v>82</v>
      </c>
      <c r="B1128" s="156">
        <v>42480</v>
      </c>
      <c r="C1128" s="155" t="s">
        <v>115</v>
      </c>
      <c r="D1128" s="155"/>
      <c r="E1128" s="155" t="s">
        <v>687</v>
      </c>
      <c r="F1128" s="157">
        <v>25000</v>
      </c>
      <c r="G1128" s="158">
        <v>3.86</v>
      </c>
      <c r="H1128" s="157">
        <v>398.92</v>
      </c>
      <c r="I1128" s="157"/>
      <c r="J1128" s="159">
        <v>96101.08</v>
      </c>
      <c r="K1128" s="6" t="s">
        <v>641</v>
      </c>
      <c r="L1128" s="20">
        <f>IF(ISNA(MATCH(Transactions[[#This Row],[TransType]],TransTypes[TransType],0)),1,MATCH(Transactions[[#This Row],[TransType]],TransTypes[TransType],0))</f>
        <v>3</v>
      </c>
      <c r="M1128" s="160">
        <f>IF( AND( INDEX(TransTypes[],Transactions[[#This Row],[TTR]],TT_COL_GLFlag)=1, INDEX(TransTypes[],Transactions[[#This Row],[TTR]],TT_COL_LONGORSHORT)="S" ),
      Transactions[[#This Row],[PL]],
      IF(INDEX(TransTypes[],Transactions[[#This Row],[TTR]],TT_COL_LONGORSHORT)="S",0,Transactions[[#This Row],[CalCashImpact]])
)</f>
        <v>96101.08</v>
      </c>
      <c r="N1128" s="161">
        <f>IF(VLOOKUP(Transactions[[#This Row],[Symbol]],Symbols[],COLUMN(Symbols[Currency])-COLUMN(Symbols[])+1,FALSE)=
       VLOOKUP(Transactions[[#This Row],[Account]],Accounts[],COLUMN(Accounts[Currency])-COLUMN(Accounts[])+1,FALSE),
     Transactions[[#This Row],[OrigCashImpact]],
     0
)</f>
        <v>0</v>
      </c>
      <c r="O11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506019.78999999911</v>
      </c>
      <c r="P11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-25000</v>
      </c>
      <c r="Q11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28" s="41">
        <f>ROW()</f>
        <v>1128</v>
      </c>
      <c r="S11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-98394.47</v>
      </c>
      <c r="T11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v>
      </c>
      <c r="V1128" s="166">
        <f>IF(INDEX(TransTypes[],Transactions[[#This Row],[TTR]],TT_COL_GLFlag)=1,Transactions[[#This Row],[CalCashImpact]]+Transactions[[#This Row],[CostImpact]],0)</f>
        <v>-2293.3899999999994</v>
      </c>
      <c r="W1128" s="167">
        <f>Transactions[[#This Row],[Amount]]*INDEX(TransTypes[],Transactions[[#This Row],[TTR]],TT_COL_AmntSign)</f>
        <v>96101.08</v>
      </c>
      <c r="X1128" s="167">
        <f>IF(INDEX(TransTypes[],Transactions[[#This Row],[TTR]],TT_COL_LONGORSHORT)="S",
      IF( OR(INDEX(TransTypes[],Transactions[[#This Row],[TTR]],TT_COL_GLFlag)=1, INDEX(TransTypes[], Transactions[[#This Row],[TTR]], TT_COL_ShareTransferFlag)=1),
            Transactions[[#This Row],[CostImpact]]*-1,
            Transactions[[#This Row],[CalCashImpact]]
      ),
     0
)</f>
        <v>0</v>
      </c>
      <c r="Y1128" s="168" t="str">
        <f>VLOOKUP(Transactions[[#This Row],[Symbol]],Symbols[], COLUMN(Symbols[Currency])-COLUMN(Symbols[])+1,FALSE)</f>
        <v>HKD</v>
      </c>
    </row>
    <row r="1129" spans="1:25">
      <c r="A1129" s="155" t="s">
        <v>82</v>
      </c>
      <c r="B1129" s="156">
        <v>42481</v>
      </c>
      <c r="C1129" s="155" t="s">
        <v>113</v>
      </c>
      <c r="D1129" s="155"/>
      <c r="E1129" s="155" t="s">
        <v>647</v>
      </c>
      <c r="F1129" s="157">
        <v>3000</v>
      </c>
      <c r="G1129" s="158">
        <v>26.75</v>
      </c>
      <c r="H1129" s="157">
        <v>32.1</v>
      </c>
      <c r="I1129" s="157"/>
      <c r="J1129" s="159">
        <v>80282.100000000006</v>
      </c>
      <c r="K1129" s="6" t="s">
        <v>641</v>
      </c>
      <c r="L1129" s="20">
        <f>IF(ISNA(MATCH(Transactions[[#This Row],[TransType]],TransTypes[TransType],0)),1,MATCH(Transactions[[#This Row],[TransType]],TransTypes[TransType],0))</f>
        <v>2</v>
      </c>
      <c r="M1129" s="160">
        <f>IF( AND( INDEX(TransTypes[],Transactions[[#This Row],[TTR]],TT_COL_GLFlag)=1, INDEX(TransTypes[],Transactions[[#This Row],[TTR]],TT_COL_LONGORSHORT)="S" ),
      Transactions[[#This Row],[PL]],
      IF(INDEX(TransTypes[],Transactions[[#This Row],[TTR]],TT_COL_LONGORSHORT)="S",0,Transactions[[#This Row],[CalCashImpact]])
)</f>
        <v>-80282.100000000006</v>
      </c>
      <c r="N1129" s="161">
        <f>IF(VLOOKUP(Transactions[[#This Row],[Symbol]],Symbols[],COLUMN(Symbols[Currency])-COLUMN(Symbols[])+1,FALSE)=
       VLOOKUP(Transactions[[#This Row],[Account]],Accounts[],COLUMN(Accounts[Currency])-COLUMN(Accounts[])+1,FALSE),
     Transactions[[#This Row],[OrigCashImpact]],
     0
)</f>
        <v>-80282.100000000006</v>
      </c>
      <c r="O11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425737.68999999901</v>
      </c>
      <c r="P11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1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129" s="41">
        <f>ROW()</f>
        <v>1129</v>
      </c>
      <c r="S11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80282.100000000006</v>
      </c>
      <c r="T11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120970.1846489755</v>
      </c>
      <c r="U11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29" s="166">
        <f>IF(INDEX(TransTypes[],Transactions[[#This Row],[TTR]],TT_COL_GLFlag)=1,Transactions[[#This Row],[CalCashImpact]]+Transactions[[#This Row],[CostImpact]],0)</f>
        <v>0</v>
      </c>
      <c r="W1129" s="167">
        <f>Transactions[[#This Row],[Amount]]*INDEX(TransTypes[],Transactions[[#This Row],[TTR]],TT_COL_AmntSign)</f>
        <v>-80282.100000000006</v>
      </c>
      <c r="X1129" s="167">
        <f>IF(INDEX(TransTypes[],Transactions[[#This Row],[TTR]],TT_COL_LONGORSHORT)="S",
      IF( OR(INDEX(TransTypes[],Transactions[[#This Row],[TTR]],TT_COL_GLFlag)=1, INDEX(TransTypes[], Transactions[[#This Row],[TTR]], TT_COL_ShareTransferFlag)=1),
            Transactions[[#This Row],[CostImpact]]*-1,
            Transactions[[#This Row],[CalCashImpact]]
      ),
     0
)</f>
        <v>0</v>
      </c>
      <c r="Y1129" s="168" t="str">
        <f>VLOOKUP(Transactions[[#This Row],[Symbol]],Symbols[], COLUMN(Symbols[Currency])-COLUMN(Symbols[])+1,FALSE)</f>
        <v>CNY</v>
      </c>
    </row>
    <row r="1130" spans="1:25">
      <c r="A1130" s="155" t="s">
        <v>82</v>
      </c>
      <c r="B1130" s="156">
        <v>42482</v>
      </c>
      <c r="C1130" s="155" t="s">
        <v>152</v>
      </c>
      <c r="D1130" s="155"/>
      <c r="E1130" s="155" t="s">
        <v>211</v>
      </c>
      <c r="F1130" s="157"/>
      <c r="G1130" s="158"/>
      <c r="H1130" s="157"/>
      <c r="I1130" s="157"/>
      <c r="J1130" s="159">
        <v>80244.399999999994</v>
      </c>
      <c r="K1130" s="6" t="s">
        <v>695</v>
      </c>
      <c r="L1130" s="20">
        <f>IF(ISNA(MATCH(Transactions[[#This Row],[TransType]],TransTypes[TransType],0)),1,MATCH(Transactions[[#This Row],[TransType]],TransTypes[TransType],0))</f>
        <v>15</v>
      </c>
      <c r="M1130" s="160">
        <f>IF( AND( INDEX(TransTypes[],Transactions[[#This Row],[TTR]],TT_COL_GLFlag)=1, INDEX(TransTypes[],Transactions[[#This Row],[TTR]],TT_COL_LONGORSHORT)="S" ),
      Transactions[[#This Row],[PL]],
      IF(INDEX(TransTypes[],Transactions[[#This Row],[TTR]],TT_COL_LONGORSHORT)="S",0,Transactions[[#This Row],[CalCashImpact]])
)</f>
        <v>80244.399999999994</v>
      </c>
      <c r="N1130" s="161">
        <f>IF(VLOOKUP(Transactions[[#This Row],[Symbol]],Symbols[],COLUMN(Symbols[Currency])-COLUMN(Symbols[])+1,FALSE)=
       VLOOKUP(Transactions[[#This Row],[Account]],Accounts[],COLUMN(Accounts[Currency])-COLUMN(Accounts[])+1,FALSE),
     Transactions[[#This Row],[OrigCashImpact]],
     0
)</f>
        <v>80244.399999999994</v>
      </c>
      <c r="O11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505982.08999999904</v>
      </c>
      <c r="P11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30" s="41">
        <f>ROW()</f>
        <v>1130</v>
      </c>
      <c r="S11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30" s="166">
        <f>IF(INDEX(TransTypes[],Transactions[[#This Row],[TTR]],TT_COL_GLFlag)=1,Transactions[[#This Row],[CalCashImpact]]+Transactions[[#This Row],[CostImpact]],0)</f>
        <v>0</v>
      </c>
      <c r="W1130" s="167">
        <f>Transactions[[#This Row],[Amount]]*INDEX(TransTypes[],Transactions[[#This Row],[TTR]],TT_COL_AmntSign)</f>
        <v>80244.399999999994</v>
      </c>
      <c r="X1130" s="167">
        <f>IF(INDEX(TransTypes[],Transactions[[#This Row],[TTR]],TT_COL_LONGORSHORT)="S",
      IF( OR(INDEX(TransTypes[],Transactions[[#This Row],[TTR]],TT_COL_GLFlag)=1, INDEX(TransTypes[], Transactions[[#This Row],[TTR]], TT_COL_ShareTransferFlag)=1),
            Transactions[[#This Row],[CostImpact]]*-1,
            Transactions[[#This Row],[CalCashImpact]]
      ),
     0
)</f>
        <v>0</v>
      </c>
      <c r="Y1130" s="168" t="str">
        <f>VLOOKUP(Transactions[[#This Row],[Symbol]],Symbols[], COLUMN(Symbols[Currency])-COLUMN(Symbols[])+1,FALSE)</f>
        <v>CNY</v>
      </c>
    </row>
    <row r="1131" spans="1:25">
      <c r="A1131" s="155" t="s">
        <v>82</v>
      </c>
      <c r="B1131" s="156">
        <v>42482</v>
      </c>
      <c r="C1131" s="155" t="s">
        <v>238</v>
      </c>
      <c r="D1131" s="155"/>
      <c r="E1131" s="155" t="s">
        <v>210</v>
      </c>
      <c r="F1131" s="157"/>
      <c r="G1131" s="158"/>
      <c r="H1131" s="157"/>
      <c r="I1131" s="157"/>
      <c r="J1131" s="159">
        <v>96101.08</v>
      </c>
      <c r="K1131" s="6" t="s">
        <v>696</v>
      </c>
      <c r="L1131" s="20">
        <f>IF(ISNA(MATCH(Transactions[[#This Row],[TransType]],TransTypes[TransType],0)),1,MATCH(Transactions[[#This Row],[TransType]],TransTypes[TransType],0))</f>
        <v>16</v>
      </c>
      <c r="M1131" s="160">
        <f>IF( AND( INDEX(TransTypes[],Transactions[[#This Row],[TTR]],TT_COL_GLFlag)=1, INDEX(TransTypes[],Transactions[[#This Row],[TTR]],TT_COL_LONGORSHORT)="S" ),
      Transactions[[#This Row],[PL]],
      IF(INDEX(TransTypes[],Transactions[[#This Row],[TTR]],TT_COL_LONGORSHORT)="S",0,Transactions[[#This Row],[CalCashImpact]])
)</f>
        <v>-96101.08</v>
      </c>
      <c r="N1131" s="161">
        <f>IF(VLOOKUP(Transactions[[#This Row],[Symbol]],Symbols[],COLUMN(Symbols[Currency])-COLUMN(Symbols[])+1,FALSE)=
       VLOOKUP(Transactions[[#This Row],[Account]],Accounts[],COLUMN(Accounts[Currency])-COLUMN(Accounts[])+1,FALSE),
     Transactions[[#This Row],[OrigCashImpact]],
     0
)</f>
        <v>0</v>
      </c>
      <c r="O11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505982.08999999904</v>
      </c>
      <c r="P11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31" s="41">
        <f>ROW()</f>
        <v>1131</v>
      </c>
      <c r="S11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31" s="166">
        <f>IF(INDEX(TransTypes[],Transactions[[#This Row],[TTR]],TT_COL_GLFlag)=1,Transactions[[#This Row],[CalCashImpact]]+Transactions[[#This Row],[CostImpact]],0)</f>
        <v>0</v>
      </c>
      <c r="W1131" s="167">
        <f>Transactions[[#This Row],[Amount]]*INDEX(TransTypes[],Transactions[[#This Row],[TTR]],TT_COL_AmntSign)</f>
        <v>-96101.08</v>
      </c>
      <c r="X1131" s="167">
        <f>IF(INDEX(TransTypes[],Transactions[[#This Row],[TTR]],TT_COL_LONGORSHORT)="S",
      IF( OR(INDEX(TransTypes[],Transactions[[#This Row],[TTR]],TT_COL_GLFlag)=1, INDEX(TransTypes[], Transactions[[#This Row],[TTR]], TT_COL_ShareTransferFlag)=1),
            Transactions[[#This Row],[CostImpact]]*-1,
            Transactions[[#This Row],[CalCashImpact]]
      ),
     0
)</f>
        <v>0</v>
      </c>
      <c r="Y1131" s="168" t="str">
        <f>VLOOKUP(Transactions[[#This Row],[Symbol]],Symbols[], COLUMN(Symbols[Currency])-COLUMN(Symbols[])+1,FALSE)</f>
        <v>HKD</v>
      </c>
    </row>
    <row r="1132" spans="1:25">
      <c r="A1132" s="155" t="s">
        <v>82</v>
      </c>
      <c r="B1132" s="156">
        <v>42487</v>
      </c>
      <c r="C1132" s="155" t="s">
        <v>113</v>
      </c>
      <c r="D1132" s="155"/>
      <c r="E1132" s="155" t="s">
        <v>647</v>
      </c>
      <c r="F1132" s="157">
        <v>3000</v>
      </c>
      <c r="G1132" s="158">
        <v>25.890999999999998</v>
      </c>
      <c r="H1132" s="157">
        <v>31.07</v>
      </c>
      <c r="I1132" s="157"/>
      <c r="J1132" s="159">
        <v>77704.070000000007</v>
      </c>
      <c r="K1132" s="6" t="s">
        <v>641</v>
      </c>
      <c r="L1132" s="20">
        <f>IF(ISNA(MATCH(Transactions[[#This Row],[TransType]],TransTypes[TransType],0)),1,MATCH(Transactions[[#This Row],[TransType]],TransTypes[TransType],0))</f>
        <v>2</v>
      </c>
      <c r="M1132" s="160">
        <f>IF( AND( INDEX(TransTypes[],Transactions[[#This Row],[TTR]],TT_COL_GLFlag)=1, INDEX(TransTypes[],Transactions[[#This Row],[TTR]],TT_COL_LONGORSHORT)="S" ),
      Transactions[[#This Row],[PL]],
      IF(INDEX(TransTypes[],Transactions[[#This Row],[TTR]],TT_COL_LONGORSHORT)="S",0,Transactions[[#This Row],[CalCashImpact]])
)</f>
        <v>-77704.070000000007</v>
      </c>
      <c r="N1132" s="161">
        <f>IF(VLOOKUP(Transactions[[#This Row],[Symbol]],Symbols[],COLUMN(Symbols[Currency])-COLUMN(Symbols[])+1,FALSE)=
       VLOOKUP(Transactions[[#This Row],[Account]],Accounts[],COLUMN(Accounts[Currency])-COLUMN(Accounts[])+1,FALSE),
     Transactions[[#This Row],[OrigCashImpact]],
     0
)</f>
        <v>-77704.070000000007</v>
      </c>
      <c r="O11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428278.01999999903</v>
      </c>
      <c r="P11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1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132" s="41">
        <f>ROW()</f>
        <v>1132</v>
      </c>
      <c r="S11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77704.070000000007</v>
      </c>
      <c r="T11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198674.2546489755</v>
      </c>
      <c r="U11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132" s="166">
        <f>IF(INDEX(TransTypes[],Transactions[[#This Row],[TTR]],TT_COL_GLFlag)=1,Transactions[[#This Row],[CalCashImpact]]+Transactions[[#This Row],[CostImpact]],0)</f>
        <v>0</v>
      </c>
      <c r="W1132" s="167">
        <f>Transactions[[#This Row],[Amount]]*INDEX(TransTypes[],Transactions[[#This Row],[TTR]],TT_COL_AmntSign)</f>
        <v>-77704.070000000007</v>
      </c>
      <c r="X1132" s="167">
        <f>IF(INDEX(TransTypes[],Transactions[[#This Row],[TTR]],TT_COL_LONGORSHORT)="S",
      IF( OR(INDEX(TransTypes[],Transactions[[#This Row],[TTR]],TT_COL_GLFlag)=1, INDEX(TransTypes[], Transactions[[#This Row],[TTR]], TT_COL_ShareTransferFlag)=1),
            Transactions[[#This Row],[CostImpact]]*-1,
            Transactions[[#This Row],[CalCashImpact]]
      ),
     0
)</f>
        <v>0</v>
      </c>
      <c r="Y1132" s="168" t="str">
        <f>VLOOKUP(Transactions[[#This Row],[Symbol]],Symbols[], COLUMN(Symbols[Currency])-COLUMN(Symbols[])+1,FALSE)</f>
        <v>CNY</v>
      </c>
    </row>
    <row r="1133" spans="1:25">
      <c r="A1133" s="155" t="s">
        <v>82</v>
      </c>
      <c r="B1133" s="156">
        <v>42488</v>
      </c>
      <c r="C1133" s="155" t="s">
        <v>118</v>
      </c>
      <c r="D1133" s="155"/>
      <c r="E1133" s="155" t="s">
        <v>644</v>
      </c>
      <c r="F1133" s="157"/>
      <c r="G1133" s="158"/>
      <c r="H1133" s="157"/>
      <c r="I1133" s="157"/>
      <c r="J1133" s="159">
        <v>400</v>
      </c>
      <c r="K1133" s="6" t="s">
        <v>641</v>
      </c>
      <c r="L1133" s="20">
        <f>IF(ISNA(MATCH(Transactions[[#This Row],[TransType]],TransTypes[TransType],0)),1,MATCH(Transactions[[#This Row],[TransType]],TransTypes[TransType],0))</f>
        <v>4</v>
      </c>
      <c r="M1133" s="160">
        <f>IF( AND( INDEX(TransTypes[],Transactions[[#This Row],[TTR]],TT_COL_GLFlag)=1, INDEX(TransTypes[],Transactions[[#This Row],[TTR]],TT_COL_LONGORSHORT)="S" ),
      Transactions[[#This Row],[PL]],
      IF(INDEX(TransTypes[],Transactions[[#This Row],[TTR]],TT_COL_LONGORSHORT)="S",0,Transactions[[#This Row],[CalCashImpact]])
)</f>
        <v>400</v>
      </c>
      <c r="N1133" s="161">
        <f>IF(VLOOKUP(Transactions[[#This Row],[Symbol]],Symbols[],COLUMN(Symbols[Currency])-COLUMN(Symbols[])+1,FALSE)=
       VLOOKUP(Transactions[[#This Row],[Account]],Accounts[],COLUMN(Accounts[Currency])-COLUMN(Accounts[])+1,FALSE),
     Transactions[[#This Row],[OrigCashImpact]],
     0
)</f>
        <v>400</v>
      </c>
      <c r="O11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428678.01999999903</v>
      </c>
      <c r="P11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33" s="41">
        <f>ROW()</f>
        <v>1133</v>
      </c>
      <c r="S11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109149.08977777777</v>
      </c>
      <c r="U11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133" s="166">
        <f>IF(INDEX(TransTypes[],Transactions[[#This Row],[TTR]],TT_COL_GLFlag)=1,Transactions[[#This Row],[CalCashImpact]]+Transactions[[#This Row],[CostImpact]],0)</f>
        <v>0</v>
      </c>
      <c r="W1133" s="167">
        <f>Transactions[[#This Row],[Amount]]*INDEX(TransTypes[],Transactions[[#This Row],[TTR]],TT_COL_AmntSign)</f>
        <v>400</v>
      </c>
      <c r="X1133" s="167">
        <f>IF(INDEX(TransTypes[],Transactions[[#This Row],[TTR]],TT_COL_LONGORSHORT)="S",
      IF( OR(INDEX(TransTypes[],Transactions[[#This Row],[TTR]],TT_COL_GLFlag)=1, INDEX(TransTypes[], Transactions[[#This Row],[TTR]], TT_COL_ShareTransferFlag)=1),
            Transactions[[#This Row],[CostImpact]]*-1,
            Transactions[[#This Row],[CalCashImpact]]
      ),
     0
)</f>
        <v>0</v>
      </c>
      <c r="Y1133" s="168" t="str">
        <f>VLOOKUP(Transactions[[#This Row],[Symbol]],Symbols[], COLUMN(Symbols[Currency])-COLUMN(Symbols[])+1,FALSE)</f>
        <v>CNY</v>
      </c>
    </row>
    <row r="1134" spans="1:25">
      <c r="A1134" s="155" t="s">
        <v>82</v>
      </c>
      <c r="B1134" s="156">
        <v>42489</v>
      </c>
      <c r="C1134" s="155" t="s">
        <v>112</v>
      </c>
      <c r="D1134" s="155"/>
      <c r="E1134" s="155" t="s">
        <v>211</v>
      </c>
      <c r="F1134" s="157"/>
      <c r="G1134" s="158"/>
      <c r="H1134" s="157"/>
      <c r="I1134" s="157"/>
      <c r="J1134" s="159">
        <v>7384.79</v>
      </c>
      <c r="K1134" s="6" t="s">
        <v>697</v>
      </c>
      <c r="L1134" s="20">
        <f>IF(ISNA(MATCH(Transactions[[#This Row],[TransType]],TransTypes[TransType],0)),1,MATCH(Transactions[[#This Row],[TransType]],TransTypes[TransType],0))</f>
        <v>1</v>
      </c>
      <c r="M1134" s="160">
        <f>IF( AND( INDEX(TransTypes[],Transactions[[#This Row],[TTR]],TT_COL_GLFlag)=1, INDEX(TransTypes[],Transactions[[#This Row],[TTR]],TT_COL_LONGORSHORT)="S" ),
      Transactions[[#This Row],[PL]],
      IF(INDEX(TransTypes[],Transactions[[#This Row],[TTR]],TT_COL_LONGORSHORT)="S",0,Transactions[[#This Row],[CalCashImpact]])
)</f>
        <v>7384.79</v>
      </c>
      <c r="N1134" s="161">
        <f>IF(VLOOKUP(Transactions[[#This Row],[Symbol]],Symbols[],COLUMN(Symbols[Currency])-COLUMN(Symbols[])+1,FALSE)=
       VLOOKUP(Transactions[[#This Row],[Account]],Accounts[],COLUMN(Accounts[Currency])-COLUMN(Accounts[])+1,FALSE),
     Transactions[[#This Row],[OrigCashImpact]],
     0
)</f>
        <v>7384.79</v>
      </c>
      <c r="O11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436062.80999999901</v>
      </c>
      <c r="P11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34" s="41">
        <f>ROW()</f>
        <v>1134</v>
      </c>
      <c r="S11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34" s="166">
        <f>IF(INDEX(TransTypes[],Transactions[[#This Row],[TTR]],TT_COL_GLFlag)=1,Transactions[[#This Row],[CalCashImpact]]+Transactions[[#This Row],[CostImpact]],0)</f>
        <v>0</v>
      </c>
      <c r="W1134" s="167">
        <f>Transactions[[#This Row],[Amount]]*INDEX(TransTypes[],Transactions[[#This Row],[TTR]],TT_COL_AmntSign)</f>
        <v>7384.79</v>
      </c>
      <c r="X1134" s="167">
        <f>IF(INDEX(TransTypes[],Transactions[[#This Row],[TTR]],TT_COL_LONGORSHORT)="S",
      IF( OR(INDEX(TransTypes[],Transactions[[#This Row],[TTR]],TT_COL_GLFlag)=1, INDEX(TransTypes[], Transactions[[#This Row],[TTR]], TT_COL_ShareTransferFlag)=1),
            Transactions[[#This Row],[CostImpact]]*-1,
            Transactions[[#This Row],[CalCashImpact]]
      ),
     0
)</f>
        <v>0</v>
      </c>
      <c r="Y1134" s="168" t="str">
        <f>VLOOKUP(Transactions[[#This Row],[Symbol]],Symbols[], COLUMN(Symbols[Currency])-COLUMN(Symbols[])+1,FALSE)</f>
        <v>CNY</v>
      </c>
    </row>
    <row r="1135" spans="1:25">
      <c r="A1135" s="155" t="s">
        <v>82</v>
      </c>
      <c r="B1135" s="156">
        <v>42489</v>
      </c>
      <c r="C1135" s="155" t="s">
        <v>118</v>
      </c>
      <c r="D1135" s="155"/>
      <c r="E1135" s="155" t="s">
        <v>642</v>
      </c>
      <c r="F1135" s="157"/>
      <c r="G1135" s="158"/>
      <c r="H1135" s="157"/>
      <c r="I1135" s="157"/>
      <c r="J1135" s="159">
        <v>1200</v>
      </c>
      <c r="K1135" s="6" t="s">
        <v>641</v>
      </c>
      <c r="L1135" s="20">
        <f>IF(ISNA(MATCH(Transactions[[#This Row],[TransType]],TransTypes[TransType],0)),1,MATCH(Transactions[[#This Row],[TransType]],TransTypes[TransType],0))</f>
        <v>4</v>
      </c>
      <c r="M1135" s="160">
        <f>IF( AND( INDEX(TransTypes[],Transactions[[#This Row],[TTR]],TT_COL_GLFlag)=1, INDEX(TransTypes[],Transactions[[#This Row],[TTR]],TT_COL_LONGORSHORT)="S" ),
      Transactions[[#This Row],[PL]],
      IF(INDEX(TransTypes[],Transactions[[#This Row],[TTR]],TT_COL_LONGORSHORT)="S",0,Transactions[[#This Row],[CalCashImpact]])
)</f>
        <v>1200</v>
      </c>
      <c r="N1135" s="161">
        <f>IF(VLOOKUP(Transactions[[#This Row],[Symbol]],Symbols[],COLUMN(Symbols[Currency])-COLUMN(Symbols[])+1,FALSE)=
       VLOOKUP(Transactions[[#This Row],[Account]],Accounts[],COLUMN(Accounts[Currency])-COLUMN(Accounts[])+1,FALSE),
     Transactions[[#This Row],[OrigCashImpact]],
     0
)</f>
        <v>1200</v>
      </c>
      <c r="O11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437262.80999999901</v>
      </c>
      <c r="P11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35" s="41">
        <f>ROW()</f>
        <v>1135</v>
      </c>
      <c r="S11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51087.091428571424</v>
      </c>
      <c r="U11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135" s="166">
        <f>IF(INDEX(TransTypes[],Transactions[[#This Row],[TTR]],TT_COL_GLFlag)=1,Transactions[[#This Row],[CalCashImpact]]+Transactions[[#This Row],[CostImpact]],0)</f>
        <v>0</v>
      </c>
      <c r="W1135" s="167">
        <f>Transactions[[#This Row],[Amount]]*INDEX(TransTypes[],Transactions[[#This Row],[TTR]],TT_COL_AmntSign)</f>
        <v>1200</v>
      </c>
      <c r="X1135" s="167">
        <f>IF(INDEX(TransTypes[],Transactions[[#This Row],[TTR]],TT_COL_LONGORSHORT)="S",
      IF( OR(INDEX(TransTypes[],Transactions[[#This Row],[TTR]],TT_COL_GLFlag)=1, INDEX(TransTypes[], Transactions[[#This Row],[TTR]], TT_COL_ShareTransferFlag)=1),
            Transactions[[#This Row],[CostImpact]]*-1,
            Transactions[[#This Row],[CalCashImpact]]
      ),
     0
)</f>
        <v>0</v>
      </c>
      <c r="Y1135" s="168" t="str">
        <f>VLOOKUP(Transactions[[#This Row],[Symbol]],Symbols[], COLUMN(Symbols[Currency])-COLUMN(Symbols[])+1,FALSE)</f>
        <v>CNY</v>
      </c>
    </row>
    <row r="1136" spans="1:25">
      <c r="A1136" s="155" t="s">
        <v>82</v>
      </c>
      <c r="B1136" s="156">
        <v>42489</v>
      </c>
      <c r="C1136" s="155" t="s">
        <v>113</v>
      </c>
      <c r="D1136" s="155"/>
      <c r="E1136" s="155" t="s">
        <v>644</v>
      </c>
      <c r="F1136" s="157">
        <v>1000</v>
      </c>
      <c r="G1136" s="158">
        <v>66.86</v>
      </c>
      <c r="H1136" s="157">
        <v>26.74</v>
      </c>
      <c r="I1136" s="157"/>
      <c r="J1136" s="159">
        <v>66886.740000000005</v>
      </c>
      <c r="K1136" s="6" t="s">
        <v>641</v>
      </c>
      <c r="L1136" s="20">
        <f>IF(ISNA(MATCH(Transactions[[#This Row],[TransType]],TransTypes[TransType],0)),1,MATCH(Transactions[[#This Row],[TransType]],TransTypes[TransType],0))</f>
        <v>2</v>
      </c>
      <c r="M1136" s="160">
        <f>IF( AND( INDEX(TransTypes[],Transactions[[#This Row],[TTR]],TT_COL_GLFlag)=1, INDEX(TransTypes[],Transactions[[#This Row],[TTR]],TT_COL_LONGORSHORT)="S" ),
      Transactions[[#This Row],[PL]],
      IF(INDEX(TransTypes[],Transactions[[#This Row],[TTR]],TT_COL_LONGORSHORT)="S",0,Transactions[[#This Row],[CalCashImpact]])
)</f>
        <v>-66886.740000000005</v>
      </c>
      <c r="N1136" s="161">
        <f>IF(VLOOKUP(Transactions[[#This Row],[Symbol]],Symbols[],COLUMN(Symbols[Currency])-COLUMN(Symbols[])+1,FALSE)=
       VLOOKUP(Transactions[[#This Row],[Account]],Accounts[],COLUMN(Accounts[Currency])-COLUMN(Accounts[])+1,FALSE),
     Transactions[[#This Row],[OrigCashImpact]],
     0
)</f>
        <v>-66886.740000000005</v>
      </c>
      <c r="O11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370376.06999999902</v>
      </c>
      <c r="P11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36" s="41">
        <f>ROW()</f>
        <v>1136</v>
      </c>
      <c r="S11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66886.740000000005</v>
      </c>
      <c r="T11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176035.82977777778</v>
      </c>
      <c r="U11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136" s="166">
        <f>IF(INDEX(TransTypes[],Transactions[[#This Row],[TTR]],TT_COL_GLFlag)=1,Transactions[[#This Row],[CalCashImpact]]+Transactions[[#This Row],[CostImpact]],0)</f>
        <v>0</v>
      </c>
      <c r="W1136" s="167">
        <f>Transactions[[#This Row],[Amount]]*INDEX(TransTypes[],Transactions[[#This Row],[TTR]],TT_COL_AmntSign)</f>
        <v>-66886.740000000005</v>
      </c>
      <c r="X1136" s="167">
        <f>IF(INDEX(TransTypes[],Transactions[[#This Row],[TTR]],TT_COL_LONGORSHORT)="S",
      IF( OR(INDEX(TransTypes[],Transactions[[#This Row],[TTR]],TT_COL_GLFlag)=1, INDEX(TransTypes[], Transactions[[#This Row],[TTR]], TT_COL_ShareTransferFlag)=1),
            Transactions[[#This Row],[CostImpact]]*-1,
            Transactions[[#This Row],[CalCashImpact]]
      ),
     0
)</f>
        <v>0</v>
      </c>
      <c r="Y1136" s="168" t="str">
        <f>VLOOKUP(Transactions[[#This Row],[Symbol]],Symbols[], COLUMN(Symbols[Currency])-COLUMN(Symbols[])+1,FALSE)</f>
        <v>CNY</v>
      </c>
    </row>
    <row r="1137" spans="1:25">
      <c r="A1137" s="155" t="s">
        <v>82</v>
      </c>
      <c r="B1137" s="156">
        <v>42489</v>
      </c>
      <c r="C1137" s="155" t="s">
        <v>113</v>
      </c>
      <c r="D1137" s="155"/>
      <c r="E1137" s="155" t="s">
        <v>698</v>
      </c>
      <c r="F1137" s="157">
        <v>2100</v>
      </c>
      <c r="G1137" s="158">
        <v>40.76</v>
      </c>
      <c r="H1137" s="157">
        <v>34.24</v>
      </c>
      <c r="I1137" s="157"/>
      <c r="J1137" s="159">
        <v>85630.24</v>
      </c>
      <c r="K1137" s="6" t="s">
        <v>641</v>
      </c>
      <c r="L1137" s="20">
        <f>IF(ISNA(MATCH(Transactions[[#This Row],[TransType]],TransTypes[TransType],0)),1,MATCH(Transactions[[#This Row],[TransType]],TransTypes[TransType],0))</f>
        <v>2</v>
      </c>
      <c r="M1137" s="160">
        <f>IF( AND( INDEX(TransTypes[],Transactions[[#This Row],[TTR]],TT_COL_GLFlag)=1, INDEX(TransTypes[],Transactions[[#This Row],[TTR]],TT_COL_LONGORSHORT)="S" ),
      Transactions[[#This Row],[PL]],
      IF(INDEX(TransTypes[],Transactions[[#This Row],[TTR]],TT_COL_LONGORSHORT)="S",0,Transactions[[#This Row],[CalCashImpact]])
)</f>
        <v>-85630.24</v>
      </c>
      <c r="N1137" s="161">
        <f>IF(VLOOKUP(Transactions[[#This Row],[Symbol]],Symbols[],COLUMN(Symbols[Currency])-COLUMN(Symbols[])+1,FALSE)=
       VLOOKUP(Transactions[[#This Row],[Account]],Accounts[],COLUMN(Accounts[Currency])-COLUMN(Accounts[])+1,FALSE),
     Transactions[[#This Row],[OrigCashImpact]],
     0
)</f>
        <v>-85630.24</v>
      </c>
      <c r="O11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284745.82999999903</v>
      </c>
      <c r="P11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2100</v>
      </c>
      <c r="Q11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2100</v>
      </c>
      <c r="R1137" s="41">
        <f>ROW()</f>
        <v>1137</v>
      </c>
      <c r="S11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85630.24</v>
      </c>
      <c r="T11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85630.24</v>
      </c>
      <c r="U11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2100</v>
      </c>
      <c r="V1137" s="166">
        <f>IF(INDEX(TransTypes[],Transactions[[#This Row],[TTR]],TT_COL_GLFlag)=1,Transactions[[#This Row],[CalCashImpact]]+Transactions[[#This Row],[CostImpact]],0)</f>
        <v>0</v>
      </c>
      <c r="W1137" s="167">
        <f>Transactions[[#This Row],[Amount]]*INDEX(TransTypes[],Transactions[[#This Row],[TTR]],TT_COL_AmntSign)</f>
        <v>-85630.24</v>
      </c>
      <c r="X1137" s="167">
        <f>IF(INDEX(TransTypes[],Transactions[[#This Row],[TTR]],TT_COL_LONGORSHORT)="S",
      IF( OR(INDEX(TransTypes[],Transactions[[#This Row],[TTR]],TT_COL_GLFlag)=1, INDEX(TransTypes[], Transactions[[#This Row],[TTR]], TT_COL_ShareTransferFlag)=1),
            Transactions[[#This Row],[CostImpact]]*-1,
            Transactions[[#This Row],[CalCashImpact]]
      ),
     0
)</f>
        <v>0</v>
      </c>
      <c r="Y1137" s="168" t="str">
        <f>VLOOKUP(Transactions[[#This Row],[Symbol]],Symbols[], COLUMN(Symbols[Currency])-COLUMN(Symbols[])+1,FALSE)</f>
        <v>CNY</v>
      </c>
    </row>
    <row r="1138" spans="1:25">
      <c r="A1138" s="155" t="s">
        <v>82</v>
      </c>
      <c r="B1138" s="156">
        <v>42489</v>
      </c>
      <c r="C1138" s="155" t="s">
        <v>113</v>
      </c>
      <c r="D1138" s="155"/>
      <c r="E1138" s="155" t="s">
        <v>699</v>
      </c>
      <c r="F1138" s="157">
        <v>30000</v>
      </c>
      <c r="G1138" s="158">
        <v>2.653</v>
      </c>
      <c r="H1138" s="157">
        <v>31.84</v>
      </c>
      <c r="I1138" s="157"/>
      <c r="J1138" s="159">
        <v>79621.84</v>
      </c>
      <c r="K1138" s="6" t="s">
        <v>641</v>
      </c>
      <c r="L1138" s="20">
        <f>IF(ISNA(MATCH(Transactions[[#This Row],[TransType]],TransTypes[TransType],0)),1,MATCH(Transactions[[#This Row],[TransType]],TransTypes[TransType],0))</f>
        <v>2</v>
      </c>
      <c r="M1138" s="160">
        <f>IF( AND( INDEX(TransTypes[],Transactions[[#This Row],[TTR]],TT_COL_GLFlag)=1, INDEX(TransTypes[],Transactions[[#This Row],[TTR]],TT_COL_LONGORSHORT)="S" ),
      Transactions[[#This Row],[PL]],
      IF(INDEX(TransTypes[],Transactions[[#This Row],[TTR]],TT_COL_LONGORSHORT)="S",0,Transactions[[#This Row],[CalCashImpact]])
)</f>
        <v>-79621.84</v>
      </c>
      <c r="N1138" s="161">
        <f>IF(VLOOKUP(Transactions[[#This Row],[Symbol]],Symbols[],COLUMN(Symbols[Currency])-COLUMN(Symbols[])+1,FALSE)=
       VLOOKUP(Transactions[[#This Row],[Account]],Accounts[],COLUMN(Accounts[Currency])-COLUMN(Accounts[])+1,FALSE),
     Transactions[[#This Row],[OrigCashImpact]],
     0
)</f>
        <v>-79621.84</v>
      </c>
      <c r="O11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205123.98999999903</v>
      </c>
      <c r="P11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v>
      </c>
      <c r="Q11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v>
      </c>
      <c r="R1138" s="41">
        <f>ROW()</f>
        <v>1138</v>
      </c>
      <c r="S11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79621.84</v>
      </c>
      <c r="T11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79621.84</v>
      </c>
      <c r="U11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v>
      </c>
      <c r="V1138" s="166">
        <f>IF(INDEX(TransTypes[],Transactions[[#This Row],[TTR]],TT_COL_GLFlag)=1,Transactions[[#This Row],[CalCashImpact]]+Transactions[[#This Row],[CostImpact]],0)</f>
        <v>0</v>
      </c>
      <c r="W1138" s="167">
        <f>Transactions[[#This Row],[Amount]]*INDEX(TransTypes[],Transactions[[#This Row],[TTR]],TT_COL_AmntSign)</f>
        <v>-79621.84</v>
      </c>
      <c r="X1138" s="167">
        <f>IF(INDEX(TransTypes[],Transactions[[#This Row],[TTR]],TT_COL_LONGORSHORT)="S",
      IF( OR(INDEX(TransTypes[],Transactions[[#This Row],[TTR]],TT_COL_GLFlag)=1, INDEX(TransTypes[], Transactions[[#This Row],[TTR]], TT_COL_ShareTransferFlag)=1),
            Transactions[[#This Row],[CostImpact]]*-1,
            Transactions[[#This Row],[CalCashImpact]]
      ),
     0
)</f>
        <v>0</v>
      </c>
      <c r="Y1138" s="168" t="str">
        <f>VLOOKUP(Transactions[[#This Row],[Symbol]],Symbols[], COLUMN(Symbols[Currency])-COLUMN(Symbols[])+1,FALSE)</f>
        <v>CNY</v>
      </c>
    </row>
    <row r="1139" spans="1:25">
      <c r="A1139" s="155" t="s">
        <v>82</v>
      </c>
      <c r="B1139" s="156">
        <v>42493</v>
      </c>
      <c r="C1139" s="155" t="s">
        <v>113</v>
      </c>
      <c r="D1139" s="155"/>
      <c r="E1139" s="155" t="s">
        <v>700</v>
      </c>
      <c r="F1139" s="157">
        <v>5000</v>
      </c>
      <c r="G1139" s="158">
        <v>17.353999999999999</v>
      </c>
      <c r="H1139" s="157">
        <v>34.71</v>
      </c>
      <c r="I1139" s="157"/>
      <c r="J1139" s="159">
        <v>86804.71</v>
      </c>
      <c r="K1139" s="6" t="s">
        <v>641</v>
      </c>
      <c r="L1139" s="20">
        <f>IF(ISNA(MATCH(Transactions[[#This Row],[TransType]],TransTypes[TransType],0)),1,MATCH(Transactions[[#This Row],[TransType]],TransTypes[TransType],0))</f>
        <v>2</v>
      </c>
      <c r="M1139" s="160">
        <f>IF( AND( INDEX(TransTypes[],Transactions[[#This Row],[TTR]],TT_COL_GLFlag)=1, INDEX(TransTypes[],Transactions[[#This Row],[TTR]],TT_COL_LONGORSHORT)="S" ),
      Transactions[[#This Row],[PL]],
      IF(INDEX(TransTypes[],Transactions[[#This Row],[TTR]],TT_COL_LONGORSHORT)="S",0,Transactions[[#This Row],[CalCashImpact]])
)</f>
        <v>-86804.71</v>
      </c>
      <c r="N1139" s="161">
        <f>IF(VLOOKUP(Transactions[[#This Row],[Symbol]],Symbols[],COLUMN(Symbols[Currency])-COLUMN(Symbols[])+1,FALSE)=
       VLOOKUP(Transactions[[#This Row],[Account]],Accounts[],COLUMN(Accounts[Currency])-COLUMN(Accounts[])+1,FALSE),
     Transactions[[#This Row],[OrigCashImpact]],
     0
)</f>
        <v>-86804.71</v>
      </c>
      <c r="O11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118319.27999999902</v>
      </c>
      <c r="P11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1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139" s="41">
        <f>ROW()</f>
        <v>1139</v>
      </c>
      <c r="S11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86804.71</v>
      </c>
      <c r="T11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86804.71</v>
      </c>
      <c r="U11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39" s="166">
        <f>IF(INDEX(TransTypes[],Transactions[[#This Row],[TTR]],TT_COL_GLFlag)=1,Transactions[[#This Row],[CalCashImpact]]+Transactions[[#This Row],[CostImpact]],0)</f>
        <v>0</v>
      </c>
      <c r="W1139" s="167">
        <f>Transactions[[#This Row],[Amount]]*INDEX(TransTypes[],Transactions[[#This Row],[TTR]],TT_COL_AmntSign)</f>
        <v>-86804.71</v>
      </c>
      <c r="X1139" s="167">
        <f>IF(INDEX(TransTypes[],Transactions[[#This Row],[TTR]],TT_COL_LONGORSHORT)="S",
      IF( OR(INDEX(TransTypes[],Transactions[[#This Row],[TTR]],TT_COL_GLFlag)=1, INDEX(TransTypes[], Transactions[[#This Row],[TTR]], TT_COL_ShareTransferFlag)=1),
            Transactions[[#This Row],[CostImpact]]*-1,
            Transactions[[#This Row],[CalCashImpact]]
      ),
     0
)</f>
        <v>0</v>
      </c>
      <c r="Y1139" s="168" t="str">
        <f>VLOOKUP(Transactions[[#This Row],[Symbol]],Symbols[], COLUMN(Symbols[Currency])-COLUMN(Symbols[])+1,FALSE)</f>
        <v>CNY</v>
      </c>
    </row>
    <row r="1140" spans="1:25">
      <c r="A1140" s="155" t="s">
        <v>82</v>
      </c>
      <c r="B1140" s="156">
        <v>42493</v>
      </c>
      <c r="C1140" s="155" t="s">
        <v>113</v>
      </c>
      <c r="D1140" s="155"/>
      <c r="E1140" s="155" t="s">
        <v>467</v>
      </c>
      <c r="F1140" s="157">
        <v>2000</v>
      </c>
      <c r="G1140" s="158">
        <v>22.77</v>
      </c>
      <c r="H1140" s="157">
        <v>18.22</v>
      </c>
      <c r="I1140" s="157"/>
      <c r="J1140" s="159">
        <v>45558.22</v>
      </c>
      <c r="K1140" s="6" t="s">
        <v>641</v>
      </c>
      <c r="L1140" s="20">
        <f>IF(ISNA(MATCH(Transactions[[#This Row],[TransType]],TransTypes[TransType],0)),1,MATCH(Transactions[[#This Row],[TransType]],TransTypes[TransType],0))</f>
        <v>2</v>
      </c>
      <c r="M1140" s="160">
        <f>IF( AND( INDEX(TransTypes[],Transactions[[#This Row],[TTR]],TT_COL_GLFlag)=1, INDEX(TransTypes[],Transactions[[#This Row],[TTR]],TT_COL_LONGORSHORT)="S" ),
      Transactions[[#This Row],[PL]],
      IF(INDEX(TransTypes[],Transactions[[#This Row],[TTR]],TT_COL_LONGORSHORT)="S",0,Transactions[[#This Row],[CalCashImpact]])
)</f>
        <v>-45558.22</v>
      </c>
      <c r="N1140" s="161">
        <f>IF(VLOOKUP(Transactions[[#This Row],[Symbol]],Symbols[],COLUMN(Symbols[Currency])-COLUMN(Symbols[])+1,FALSE)=
       VLOOKUP(Transactions[[#This Row],[Account]],Accounts[],COLUMN(Accounts[Currency])-COLUMN(Accounts[])+1,FALSE),
     Transactions[[#This Row],[OrigCashImpact]],
     0
)</f>
        <v>-45558.22</v>
      </c>
      <c r="O11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72761.059999999037</v>
      </c>
      <c r="P11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1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40" s="41">
        <f>ROW()</f>
        <v>1140</v>
      </c>
      <c r="S11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45558.22</v>
      </c>
      <c r="T11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68520.5649845679</v>
      </c>
      <c r="U11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140" s="166">
        <f>IF(INDEX(TransTypes[],Transactions[[#This Row],[TTR]],TT_COL_GLFlag)=1,Transactions[[#This Row],[CalCashImpact]]+Transactions[[#This Row],[CostImpact]],0)</f>
        <v>0</v>
      </c>
      <c r="W1140" s="167">
        <f>Transactions[[#This Row],[Amount]]*INDEX(TransTypes[],Transactions[[#This Row],[TTR]],TT_COL_AmntSign)</f>
        <v>-45558.22</v>
      </c>
      <c r="X1140" s="167">
        <f>IF(INDEX(TransTypes[],Transactions[[#This Row],[TTR]],TT_COL_LONGORSHORT)="S",
      IF( OR(INDEX(TransTypes[],Transactions[[#This Row],[TTR]],TT_COL_GLFlag)=1, INDEX(TransTypes[], Transactions[[#This Row],[TTR]], TT_COL_ShareTransferFlag)=1),
            Transactions[[#This Row],[CostImpact]]*-1,
            Transactions[[#This Row],[CalCashImpact]]
      ),
     0
)</f>
        <v>0</v>
      </c>
      <c r="Y1140" s="168" t="str">
        <f>VLOOKUP(Transactions[[#This Row],[Symbol]],Symbols[], COLUMN(Symbols[Currency])-COLUMN(Symbols[])+1,FALSE)</f>
        <v>CNY</v>
      </c>
    </row>
    <row r="1141" spans="1:25">
      <c r="A1141" s="155" t="s">
        <v>82</v>
      </c>
      <c r="B1141" s="156">
        <v>42493</v>
      </c>
      <c r="C1141" s="155" t="s">
        <v>115</v>
      </c>
      <c r="D1141" s="155"/>
      <c r="E1141" s="155" t="s">
        <v>698</v>
      </c>
      <c r="F1141" s="157">
        <v>2100</v>
      </c>
      <c r="G1141" s="158">
        <v>42.274000000000001</v>
      </c>
      <c r="H1141" s="157">
        <v>124.29</v>
      </c>
      <c r="I1141" s="157"/>
      <c r="J1141" s="159">
        <v>88651.11</v>
      </c>
      <c r="K1141" s="6" t="s">
        <v>641</v>
      </c>
      <c r="L1141" s="20">
        <f>IF(ISNA(MATCH(Transactions[[#This Row],[TransType]],TransTypes[TransType],0)),1,MATCH(Transactions[[#This Row],[TransType]],TransTypes[TransType],0))</f>
        <v>3</v>
      </c>
      <c r="M1141" s="160">
        <f>IF( AND( INDEX(TransTypes[],Transactions[[#This Row],[TTR]],TT_COL_GLFlag)=1, INDEX(TransTypes[],Transactions[[#This Row],[TTR]],TT_COL_LONGORSHORT)="S" ),
      Transactions[[#This Row],[PL]],
      IF(INDEX(TransTypes[],Transactions[[#This Row],[TTR]],TT_COL_LONGORSHORT)="S",0,Transactions[[#This Row],[CalCashImpact]])
)</f>
        <v>88651.11</v>
      </c>
      <c r="N1141" s="161">
        <f>IF(VLOOKUP(Transactions[[#This Row],[Symbol]],Symbols[],COLUMN(Symbols[Currency])-COLUMN(Symbols[])+1,FALSE)=
       VLOOKUP(Transactions[[#This Row],[Account]],Accounts[],COLUMN(Accounts[Currency])-COLUMN(Accounts[])+1,FALSE),
     Transactions[[#This Row],[OrigCashImpact]],
     0
)</f>
        <v>88651.11</v>
      </c>
      <c r="O11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161412.16999999905</v>
      </c>
      <c r="P11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-2100</v>
      </c>
      <c r="Q11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41" s="41">
        <f>ROW()</f>
        <v>1141</v>
      </c>
      <c r="S11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-85630.24</v>
      </c>
      <c r="T11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2100</v>
      </c>
      <c r="V1141" s="166">
        <f>IF(INDEX(TransTypes[],Transactions[[#This Row],[TTR]],TT_COL_GLFlag)=1,Transactions[[#This Row],[CalCashImpact]]+Transactions[[#This Row],[CostImpact]],0)</f>
        <v>3020.8699999999953</v>
      </c>
      <c r="W1141" s="167">
        <f>Transactions[[#This Row],[Amount]]*INDEX(TransTypes[],Transactions[[#This Row],[TTR]],TT_COL_AmntSign)</f>
        <v>88651.11</v>
      </c>
      <c r="X1141" s="167">
        <f>IF(INDEX(TransTypes[],Transactions[[#This Row],[TTR]],TT_COL_LONGORSHORT)="S",
      IF( OR(INDEX(TransTypes[],Transactions[[#This Row],[TTR]],TT_COL_GLFlag)=1, INDEX(TransTypes[], Transactions[[#This Row],[TTR]], TT_COL_ShareTransferFlag)=1),
            Transactions[[#This Row],[CostImpact]]*-1,
            Transactions[[#This Row],[CalCashImpact]]
      ),
     0
)</f>
        <v>0</v>
      </c>
      <c r="Y1141" s="168" t="str">
        <f>VLOOKUP(Transactions[[#This Row],[Symbol]],Symbols[], COLUMN(Symbols[Currency])-COLUMN(Symbols[])+1,FALSE)</f>
        <v>CNY</v>
      </c>
    </row>
    <row r="1142" spans="1:25">
      <c r="A1142" s="155" t="s">
        <v>82</v>
      </c>
      <c r="B1142" s="156">
        <v>42495</v>
      </c>
      <c r="C1142" s="155" t="s">
        <v>113</v>
      </c>
      <c r="D1142" s="155"/>
      <c r="E1142" s="155" t="s">
        <v>644</v>
      </c>
      <c r="F1142" s="157">
        <v>1000</v>
      </c>
      <c r="G1142" s="158">
        <v>63.03</v>
      </c>
      <c r="H1142" s="157">
        <v>25.21</v>
      </c>
      <c r="I1142" s="157"/>
      <c r="J1142" s="159">
        <v>63055.21</v>
      </c>
      <c r="K1142" s="6" t="s">
        <v>641</v>
      </c>
      <c r="L1142" s="20">
        <f>IF(ISNA(MATCH(Transactions[[#This Row],[TransType]],TransTypes[TransType],0)),1,MATCH(Transactions[[#This Row],[TransType]],TransTypes[TransType],0))</f>
        <v>2</v>
      </c>
      <c r="M1142" s="160">
        <f>IF( AND( INDEX(TransTypes[],Transactions[[#This Row],[TTR]],TT_COL_GLFlag)=1, INDEX(TransTypes[],Transactions[[#This Row],[TTR]],TT_COL_LONGORSHORT)="S" ),
      Transactions[[#This Row],[PL]],
      IF(INDEX(TransTypes[],Transactions[[#This Row],[TTR]],TT_COL_LONGORSHORT)="S",0,Transactions[[#This Row],[CalCashImpact]])
)</f>
        <v>-63055.21</v>
      </c>
      <c r="N1142" s="161">
        <f>IF(VLOOKUP(Transactions[[#This Row],[Symbol]],Symbols[],COLUMN(Symbols[Currency])-COLUMN(Symbols[])+1,FALSE)=
       VLOOKUP(Transactions[[#This Row],[Account]],Accounts[],COLUMN(Accounts[Currency])-COLUMN(Accounts[])+1,FALSE),
     Transactions[[#This Row],[OrigCashImpact]],
     0
)</f>
        <v>-63055.21</v>
      </c>
      <c r="O11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98356.959999999031</v>
      </c>
      <c r="P11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142" s="41">
        <f>ROW()</f>
        <v>1142</v>
      </c>
      <c r="S11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63055.21</v>
      </c>
      <c r="T11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239091.03977777777</v>
      </c>
      <c r="U11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142" s="166">
        <f>IF(INDEX(TransTypes[],Transactions[[#This Row],[TTR]],TT_COL_GLFlag)=1,Transactions[[#This Row],[CalCashImpact]]+Transactions[[#This Row],[CostImpact]],0)</f>
        <v>0</v>
      </c>
      <c r="W1142" s="167">
        <f>Transactions[[#This Row],[Amount]]*INDEX(TransTypes[],Transactions[[#This Row],[TTR]],TT_COL_AmntSign)</f>
        <v>-63055.21</v>
      </c>
      <c r="X1142" s="167">
        <f>IF(INDEX(TransTypes[],Transactions[[#This Row],[TTR]],TT_COL_LONGORSHORT)="S",
      IF( OR(INDEX(TransTypes[],Transactions[[#This Row],[TTR]],TT_COL_GLFlag)=1, INDEX(TransTypes[], Transactions[[#This Row],[TTR]], TT_COL_ShareTransferFlag)=1),
            Transactions[[#This Row],[CostImpact]]*-1,
            Transactions[[#This Row],[CalCashImpact]]
      ),
     0
)</f>
        <v>0</v>
      </c>
      <c r="Y1142" s="168" t="str">
        <f>VLOOKUP(Transactions[[#This Row],[Symbol]],Symbols[], COLUMN(Symbols[Currency])-COLUMN(Symbols[])+1,FALSE)</f>
        <v>CNY</v>
      </c>
    </row>
    <row r="1143" spans="1:25">
      <c r="A1143" s="155" t="s">
        <v>82</v>
      </c>
      <c r="B1143" s="156">
        <v>42495</v>
      </c>
      <c r="C1143" s="155" t="s">
        <v>115</v>
      </c>
      <c r="D1143" s="155"/>
      <c r="E1143" s="155" t="s">
        <v>683</v>
      </c>
      <c r="F1143" s="157">
        <v>7000</v>
      </c>
      <c r="G1143" s="158">
        <v>15.196</v>
      </c>
      <c r="H1143" s="157">
        <v>148.91999999999999</v>
      </c>
      <c r="I1143" s="157"/>
      <c r="J1143" s="159">
        <v>106223.08</v>
      </c>
      <c r="K1143" s="6" t="s">
        <v>641</v>
      </c>
      <c r="L1143" s="20">
        <f>IF(ISNA(MATCH(Transactions[[#This Row],[TransType]],TransTypes[TransType],0)),1,MATCH(Transactions[[#This Row],[TransType]],TransTypes[TransType],0))</f>
        <v>3</v>
      </c>
      <c r="M1143" s="160">
        <f>IF( AND( INDEX(TransTypes[],Transactions[[#This Row],[TTR]],TT_COL_GLFlag)=1, INDEX(TransTypes[],Transactions[[#This Row],[TTR]],TT_COL_LONGORSHORT)="S" ),
      Transactions[[#This Row],[PL]],
      IF(INDEX(TransTypes[],Transactions[[#This Row],[TTR]],TT_COL_LONGORSHORT)="S",0,Transactions[[#This Row],[CalCashImpact]])
)</f>
        <v>106223.08</v>
      </c>
      <c r="N1143" s="161">
        <f>IF(VLOOKUP(Transactions[[#This Row],[Symbol]],Symbols[],COLUMN(Symbols[Currency])-COLUMN(Symbols[])+1,FALSE)=
       VLOOKUP(Transactions[[#This Row],[Account]],Accounts[],COLUMN(Accounts[Currency])-COLUMN(Accounts[])+1,FALSE),
     Transactions[[#This Row],[OrigCashImpact]],
     0
)</f>
        <v>106223.08</v>
      </c>
      <c r="O11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204580.03999999902</v>
      </c>
      <c r="P11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11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43" s="41">
        <f>ROW()</f>
        <v>1143</v>
      </c>
      <c r="S11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-103235.284</v>
      </c>
      <c r="T11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143" s="166">
        <f>IF(INDEX(TransTypes[],Transactions[[#This Row],[TTR]],TT_COL_GLFlag)=1,Transactions[[#This Row],[CalCashImpact]]+Transactions[[#This Row],[CostImpact]],0)</f>
        <v>2987.7960000000021</v>
      </c>
      <c r="W1143" s="167">
        <f>Transactions[[#This Row],[Amount]]*INDEX(TransTypes[],Transactions[[#This Row],[TTR]],TT_COL_AmntSign)</f>
        <v>106223.08</v>
      </c>
      <c r="X1143" s="167">
        <f>IF(INDEX(TransTypes[],Transactions[[#This Row],[TTR]],TT_COL_LONGORSHORT)="S",
      IF( OR(INDEX(TransTypes[],Transactions[[#This Row],[TTR]],TT_COL_GLFlag)=1, INDEX(TransTypes[], Transactions[[#This Row],[TTR]], TT_COL_ShareTransferFlag)=1),
            Transactions[[#This Row],[CostImpact]]*-1,
            Transactions[[#This Row],[CalCashImpact]]
      ),
     0
)</f>
        <v>0</v>
      </c>
      <c r="Y1143" s="168" t="str">
        <f>VLOOKUP(Transactions[[#This Row],[Symbol]],Symbols[], COLUMN(Symbols[Currency])-COLUMN(Symbols[])+1,FALSE)</f>
        <v>CNY</v>
      </c>
    </row>
    <row r="1144" spans="1:25">
      <c r="A1144" s="155" t="s">
        <v>82</v>
      </c>
      <c r="B1144" s="156">
        <v>42495</v>
      </c>
      <c r="C1144" s="155" t="s">
        <v>152</v>
      </c>
      <c r="D1144" s="155"/>
      <c r="E1144" s="155" t="s">
        <v>210</v>
      </c>
      <c r="F1144" s="157"/>
      <c r="G1144" s="158"/>
      <c r="H1144" s="157"/>
      <c r="I1144" s="157"/>
      <c r="J1144" s="159">
        <v>77216.13</v>
      </c>
      <c r="K1144" s="6" t="s">
        <v>701</v>
      </c>
      <c r="L1144" s="20">
        <f>IF(ISNA(MATCH(Transactions[[#This Row],[TransType]],TransTypes[TransType],0)),1,MATCH(Transactions[[#This Row],[TransType]],TransTypes[TransType],0))</f>
        <v>15</v>
      </c>
      <c r="M1144" s="160">
        <f>IF( AND( INDEX(TransTypes[],Transactions[[#This Row],[TTR]],TT_COL_GLFlag)=1, INDEX(TransTypes[],Transactions[[#This Row],[TTR]],TT_COL_LONGORSHORT)="S" ),
      Transactions[[#This Row],[PL]],
      IF(INDEX(TransTypes[],Transactions[[#This Row],[TTR]],TT_COL_LONGORSHORT)="S",0,Transactions[[#This Row],[CalCashImpact]])
)</f>
        <v>77216.13</v>
      </c>
      <c r="N1144" s="161">
        <f>IF(VLOOKUP(Transactions[[#This Row],[Symbol]],Symbols[],COLUMN(Symbols[Currency])-COLUMN(Symbols[])+1,FALSE)=
       VLOOKUP(Transactions[[#This Row],[Account]],Accounts[],COLUMN(Accounts[Currency])-COLUMN(Accounts[])+1,FALSE),
     Transactions[[#This Row],[OrigCashImpact]],
     0
)</f>
        <v>0</v>
      </c>
      <c r="O11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204580.03999999902</v>
      </c>
      <c r="P11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44" s="41">
        <f>ROW()</f>
        <v>1144</v>
      </c>
      <c r="S11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44" s="166">
        <f>IF(INDEX(TransTypes[],Transactions[[#This Row],[TTR]],TT_COL_GLFlag)=1,Transactions[[#This Row],[CalCashImpact]]+Transactions[[#This Row],[CostImpact]],0)</f>
        <v>0</v>
      </c>
      <c r="W1144" s="167">
        <f>Transactions[[#This Row],[Amount]]*INDEX(TransTypes[],Transactions[[#This Row],[TTR]],TT_COL_AmntSign)</f>
        <v>77216.13</v>
      </c>
      <c r="X1144" s="167">
        <f>IF(INDEX(TransTypes[],Transactions[[#This Row],[TTR]],TT_COL_LONGORSHORT)="S",
      IF( OR(INDEX(TransTypes[],Transactions[[#This Row],[TTR]],TT_COL_GLFlag)=1, INDEX(TransTypes[], Transactions[[#This Row],[TTR]], TT_COL_ShareTransferFlag)=1),
            Transactions[[#This Row],[CostImpact]]*-1,
            Transactions[[#This Row],[CalCashImpact]]
      ),
     0
)</f>
        <v>0</v>
      </c>
      <c r="Y1144" s="168" t="str">
        <f>VLOOKUP(Transactions[[#This Row],[Symbol]],Symbols[], COLUMN(Symbols[Currency])-COLUMN(Symbols[])+1,FALSE)</f>
        <v>HKD</v>
      </c>
    </row>
    <row r="1145" spans="1:25">
      <c r="A1145" s="155" t="s">
        <v>82</v>
      </c>
      <c r="B1145" s="156">
        <v>42495</v>
      </c>
      <c r="C1145" s="155" t="s">
        <v>238</v>
      </c>
      <c r="D1145" s="155"/>
      <c r="E1145" s="155" t="s">
        <v>211</v>
      </c>
      <c r="F1145" s="157"/>
      <c r="G1145" s="158"/>
      <c r="H1145" s="157"/>
      <c r="I1145" s="157"/>
      <c r="J1145" s="159">
        <v>64788.959999999999</v>
      </c>
      <c r="K1145" s="6" t="s">
        <v>702</v>
      </c>
      <c r="L1145" s="20">
        <f>IF(ISNA(MATCH(Transactions[[#This Row],[TransType]],TransTypes[TransType],0)),1,MATCH(Transactions[[#This Row],[TransType]],TransTypes[TransType],0))</f>
        <v>16</v>
      </c>
      <c r="M1145" s="160">
        <f>IF( AND( INDEX(TransTypes[],Transactions[[#This Row],[TTR]],TT_COL_GLFlag)=1, INDEX(TransTypes[],Transactions[[#This Row],[TTR]],TT_COL_LONGORSHORT)="S" ),
      Transactions[[#This Row],[PL]],
      IF(INDEX(TransTypes[],Transactions[[#This Row],[TTR]],TT_COL_LONGORSHORT)="S",0,Transactions[[#This Row],[CalCashImpact]])
)</f>
        <v>-64788.959999999999</v>
      </c>
      <c r="N1145" s="161">
        <f>IF(VLOOKUP(Transactions[[#This Row],[Symbol]],Symbols[],COLUMN(Symbols[Currency])-COLUMN(Symbols[])+1,FALSE)=
       VLOOKUP(Transactions[[#This Row],[Account]],Accounts[],COLUMN(Accounts[Currency])-COLUMN(Accounts[])+1,FALSE),
     Transactions[[#This Row],[OrigCashImpact]],
     0
)</f>
        <v>-64788.959999999999</v>
      </c>
      <c r="O11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139791.07999999903</v>
      </c>
      <c r="P11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45" s="41">
        <f>ROW()</f>
        <v>1145</v>
      </c>
      <c r="S11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45" s="166">
        <f>IF(INDEX(TransTypes[],Transactions[[#This Row],[TTR]],TT_COL_GLFlag)=1,Transactions[[#This Row],[CalCashImpact]]+Transactions[[#This Row],[CostImpact]],0)</f>
        <v>0</v>
      </c>
      <c r="W1145" s="167">
        <f>Transactions[[#This Row],[Amount]]*INDEX(TransTypes[],Transactions[[#This Row],[TTR]],TT_COL_AmntSign)</f>
        <v>-64788.959999999999</v>
      </c>
      <c r="X1145" s="167">
        <f>IF(INDEX(TransTypes[],Transactions[[#This Row],[TTR]],TT_COL_LONGORSHORT)="S",
      IF( OR(INDEX(TransTypes[],Transactions[[#This Row],[TTR]],TT_COL_GLFlag)=1, INDEX(TransTypes[], Transactions[[#This Row],[TTR]], TT_COL_ShareTransferFlag)=1),
            Transactions[[#This Row],[CostImpact]]*-1,
            Transactions[[#This Row],[CalCashImpact]]
      ),
     0
)</f>
        <v>0</v>
      </c>
      <c r="Y1145" s="168" t="str">
        <f>VLOOKUP(Transactions[[#This Row],[Symbol]],Symbols[], COLUMN(Symbols[Currency])-COLUMN(Symbols[])+1,FALSE)</f>
        <v>CNY</v>
      </c>
    </row>
    <row r="1146" spans="1:25">
      <c r="A1146" s="155" t="s">
        <v>82</v>
      </c>
      <c r="B1146" s="156">
        <v>42495</v>
      </c>
      <c r="C1146" s="155" t="s">
        <v>113</v>
      </c>
      <c r="D1146" s="155"/>
      <c r="E1146" s="155" t="s">
        <v>646</v>
      </c>
      <c r="F1146" s="157">
        <v>500</v>
      </c>
      <c r="G1146" s="158">
        <v>153.80000000000001</v>
      </c>
      <c r="H1146" s="157">
        <v>316.13</v>
      </c>
      <c r="I1146" s="157"/>
      <c r="J1146" s="159">
        <v>77216.13</v>
      </c>
      <c r="K1146" s="6" t="s">
        <v>641</v>
      </c>
      <c r="L1146" s="20">
        <f>IF(ISNA(MATCH(Transactions[[#This Row],[TransType]],TransTypes[TransType],0)),1,MATCH(Transactions[[#This Row],[TransType]],TransTypes[TransType],0))</f>
        <v>2</v>
      </c>
      <c r="M1146" s="160">
        <f>IF( AND( INDEX(TransTypes[],Transactions[[#This Row],[TTR]],TT_COL_GLFlag)=1, INDEX(TransTypes[],Transactions[[#This Row],[TTR]],TT_COL_LONGORSHORT)="S" ),
      Transactions[[#This Row],[PL]],
      IF(INDEX(TransTypes[],Transactions[[#This Row],[TTR]],TT_COL_LONGORSHORT)="S",0,Transactions[[#This Row],[CalCashImpact]])
)</f>
        <v>-77216.13</v>
      </c>
      <c r="N1146" s="161">
        <f>IF(VLOOKUP(Transactions[[#This Row],[Symbol]],Symbols[],COLUMN(Symbols[Currency])-COLUMN(Symbols[])+1,FALSE)=
       VLOOKUP(Transactions[[#This Row],[Account]],Accounts[],COLUMN(Accounts[Currency])-COLUMN(Accounts[])+1,FALSE),
     Transactions[[#This Row],[OrigCashImpact]],
     0
)</f>
        <v>0</v>
      </c>
      <c r="O11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139791.07999999903</v>
      </c>
      <c r="P11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1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1146" s="41">
        <f>ROW()</f>
        <v>1146</v>
      </c>
      <c r="S11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77216.13</v>
      </c>
      <c r="T11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491708.08</v>
      </c>
      <c r="U11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146" s="166">
        <f>IF(INDEX(TransTypes[],Transactions[[#This Row],[TTR]],TT_COL_GLFlag)=1,Transactions[[#This Row],[CalCashImpact]]+Transactions[[#This Row],[CostImpact]],0)</f>
        <v>0</v>
      </c>
      <c r="W1146" s="167">
        <f>Transactions[[#This Row],[Amount]]*INDEX(TransTypes[],Transactions[[#This Row],[TTR]],TT_COL_AmntSign)</f>
        <v>-77216.13</v>
      </c>
      <c r="X1146" s="167">
        <f>IF(INDEX(TransTypes[],Transactions[[#This Row],[TTR]],TT_COL_LONGORSHORT)="S",
      IF( OR(INDEX(TransTypes[],Transactions[[#This Row],[TTR]],TT_COL_GLFlag)=1, INDEX(TransTypes[], Transactions[[#This Row],[TTR]], TT_COL_ShareTransferFlag)=1),
            Transactions[[#This Row],[CostImpact]]*-1,
            Transactions[[#This Row],[CalCashImpact]]
      ),
     0
)</f>
        <v>0</v>
      </c>
      <c r="Y1146" s="168" t="str">
        <f>VLOOKUP(Transactions[[#This Row],[Symbol]],Symbols[], COLUMN(Symbols[Currency])-COLUMN(Symbols[])+1,FALSE)</f>
        <v>HKD</v>
      </c>
    </row>
    <row r="1147" spans="1:25">
      <c r="A1147" s="155" t="s">
        <v>82</v>
      </c>
      <c r="B1147" s="156">
        <v>42496</v>
      </c>
      <c r="C1147" s="155" t="s">
        <v>118</v>
      </c>
      <c r="D1147" s="155"/>
      <c r="E1147" s="155" t="s">
        <v>685</v>
      </c>
      <c r="F1147" s="157"/>
      <c r="G1147" s="158"/>
      <c r="H1147" s="157"/>
      <c r="I1147" s="157"/>
      <c r="J1147" s="159">
        <v>1230</v>
      </c>
      <c r="K1147" s="6" t="s">
        <v>641</v>
      </c>
      <c r="L1147" s="20">
        <f>IF(ISNA(MATCH(Transactions[[#This Row],[TransType]],TransTypes[TransType],0)),1,MATCH(Transactions[[#This Row],[TransType]],TransTypes[TransType],0))</f>
        <v>4</v>
      </c>
      <c r="M1147" s="160">
        <f>IF( AND( INDEX(TransTypes[],Transactions[[#This Row],[TTR]],TT_COL_GLFlag)=1, INDEX(TransTypes[],Transactions[[#This Row],[TTR]],TT_COL_LONGORSHORT)="S" ),
      Transactions[[#This Row],[PL]],
      IF(INDEX(TransTypes[],Transactions[[#This Row],[TTR]],TT_COL_LONGORSHORT)="S",0,Transactions[[#This Row],[CalCashImpact]])
)</f>
        <v>1230</v>
      </c>
      <c r="N1147" s="161">
        <f>IF(VLOOKUP(Transactions[[#This Row],[Symbol]],Symbols[],COLUMN(Symbols[Currency])-COLUMN(Symbols[])+1,FALSE)=
       VLOOKUP(Transactions[[#This Row],[Account]],Accounts[],COLUMN(Accounts[Currency])-COLUMN(Accounts[])+1,FALSE),
     Transactions[[#This Row],[OrigCashImpact]],
     0
)</f>
        <v>1230</v>
      </c>
      <c r="O11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141021.07999999906</v>
      </c>
      <c r="P11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47" s="41">
        <f>ROW()</f>
        <v>1147</v>
      </c>
      <c r="S11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81504.013199999987</v>
      </c>
      <c r="U11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147" s="166">
        <f>IF(INDEX(TransTypes[],Transactions[[#This Row],[TTR]],TT_COL_GLFlag)=1,Transactions[[#This Row],[CalCashImpact]]+Transactions[[#This Row],[CostImpact]],0)</f>
        <v>0</v>
      </c>
      <c r="W1147" s="167">
        <f>Transactions[[#This Row],[Amount]]*INDEX(TransTypes[],Transactions[[#This Row],[TTR]],TT_COL_AmntSign)</f>
        <v>1230</v>
      </c>
      <c r="X1147" s="167">
        <f>IF(INDEX(TransTypes[],Transactions[[#This Row],[TTR]],TT_COL_LONGORSHORT)="S",
      IF( OR(INDEX(TransTypes[],Transactions[[#This Row],[TTR]],TT_COL_GLFlag)=1, INDEX(TransTypes[], Transactions[[#This Row],[TTR]], TT_COL_ShareTransferFlag)=1),
            Transactions[[#This Row],[CostImpact]]*-1,
            Transactions[[#This Row],[CalCashImpact]]
      ),
     0
)</f>
        <v>0</v>
      </c>
      <c r="Y1147" s="168" t="str">
        <f>VLOOKUP(Transactions[[#This Row],[Symbol]],Symbols[], COLUMN(Symbols[Currency])-COLUMN(Symbols[])+1,FALSE)</f>
        <v>CNY</v>
      </c>
    </row>
    <row r="1148" spans="1:25">
      <c r="A1148" s="155" t="s">
        <v>82</v>
      </c>
      <c r="B1148" s="156">
        <v>42496</v>
      </c>
      <c r="C1148" s="155" t="s">
        <v>115</v>
      </c>
      <c r="D1148" s="155"/>
      <c r="E1148" s="155" t="s">
        <v>700</v>
      </c>
      <c r="F1148" s="157">
        <v>4000</v>
      </c>
      <c r="G1148" s="158">
        <v>16.78</v>
      </c>
      <c r="H1148" s="157">
        <v>93.97</v>
      </c>
      <c r="I1148" s="157"/>
      <c r="J1148" s="159">
        <v>67026.03</v>
      </c>
      <c r="K1148" s="6" t="s">
        <v>641</v>
      </c>
      <c r="L1148" s="20">
        <f>IF(ISNA(MATCH(Transactions[[#This Row],[TransType]],TransTypes[TransType],0)),1,MATCH(Transactions[[#This Row],[TransType]],TransTypes[TransType],0))</f>
        <v>3</v>
      </c>
      <c r="M1148" s="160">
        <f>IF( AND( INDEX(TransTypes[],Transactions[[#This Row],[TTR]],TT_COL_GLFlag)=1, INDEX(TransTypes[],Transactions[[#This Row],[TTR]],TT_COL_LONGORSHORT)="S" ),
      Transactions[[#This Row],[PL]],
      IF(INDEX(TransTypes[],Transactions[[#This Row],[TTR]],TT_COL_LONGORSHORT)="S",0,Transactions[[#This Row],[CalCashImpact]])
)</f>
        <v>67026.03</v>
      </c>
      <c r="N1148" s="161">
        <f>IF(VLOOKUP(Transactions[[#This Row],[Symbol]],Symbols[],COLUMN(Symbols[Currency])-COLUMN(Symbols[])+1,FALSE)=
       VLOOKUP(Transactions[[#This Row],[Account]],Accounts[],COLUMN(Accounts[Currency])-COLUMN(Accounts[])+1,FALSE),
     Transactions[[#This Row],[OrigCashImpact]],
     0
)</f>
        <v>67026.03</v>
      </c>
      <c r="O11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208047.10999999905</v>
      </c>
      <c r="P11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1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148" s="41">
        <f>ROW()</f>
        <v>1148</v>
      </c>
      <c r="S11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-69443.768000000011</v>
      </c>
      <c r="T11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17360.941999999995</v>
      </c>
      <c r="U11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48" s="166">
        <f>IF(INDEX(TransTypes[],Transactions[[#This Row],[TTR]],TT_COL_GLFlag)=1,Transactions[[#This Row],[CalCashImpact]]+Transactions[[#This Row],[CostImpact]],0)</f>
        <v>-2417.7380000000121</v>
      </c>
      <c r="W1148" s="167">
        <f>Transactions[[#This Row],[Amount]]*INDEX(TransTypes[],Transactions[[#This Row],[TTR]],TT_COL_AmntSign)</f>
        <v>67026.03</v>
      </c>
      <c r="X1148" s="167">
        <f>IF(INDEX(TransTypes[],Transactions[[#This Row],[TTR]],TT_COL_LONGORSHORT)="S",
      IF( OR(INDEX(TransTypes[],Transactions[[#This Row],[TTR]],TT_COL_GLFlag)=1, INDEX(TransTypes[], Transactions[[#This Row],[TTR]], TT_COL_ShareTransferFlag)=1),
            Transactions[[#This Row],[CostImpact]]*-1,
            Transactions[[#This Row],[CalCashImpact]]
      ),
     0
)</f>
        <v>0</v>
      </c>
      <c r="Y1148" s="168" t="str">
        <f>VLOOKUP(Transactions[[#This Row],[Symbol]],Symbols[], COLUMN(Symbols[Currency])-COLUMN(Symbols[])+1,FALSE)</f>
        <v>CNY</v>
      </c>
    </row>
    <row r="1149" spans="1:25">
      <c r="A1149" s="155" t="s">
        <v>82</v>
      </c>
      <c r="B1149" s="156">
        <v>42499</v>
      </c>
      <c r="C1149" s="155" t="s">
        <v>113</v>
      </c>
      <c r="D1149" s="155" t="s">
        <v>531</v>
      </c>
      <c r="E1149" s="155" t="s">
        <v>685</v>
      </c>
      <c r="F1149" s="157">
        <v>3000</v>
      </c>
      <c r="G1149" s="158">
        <v>0</v>
      </c>
      <c r="H1149" s="157"/>
      <c r="I1149" s="157"/>
      <c r="J1149" s="159">
        <v>0</v>
      </c>
      <c r="K1149" s="6" t="s">
        <v>694</v>
      </c>
      <c r="L1149" s="20">
        <f>IF(ISNA(MATCH(Transactions[[#This Row],[TransType]],TransTypes[TransType],0)),1,MATCH(Transactions[[#This Row],[TransType]],TransTypes[TransType],0))</f>
        <v>2</v>
      </c>
      <c r="M1149" s="160">
        <f>IF( AND( INDEX(TransTypes[],Transactions[[#This Row],[TTR]],TT_COL_GLFlag)=1, INDEX(TransTypes[],Transactions[[#This Row],[TTR]],TT_COL_LONGORSHORT)="S" ),
      Transactions[[#This Row],[PL]],
      IF(INDEX(TransTypes[],Transactions[[#This Row],[TTR]],TT_COL_LONGORSHORT)="S",0,Transactions[[#This Row],[CalCashImpact]])
)</f>
        <v>0</v>
      </c>
      <c r="N1149" s="161">
        <f>IF(VLOOKUP(Transactions[[#This Row],[Symbol]],Symbols[],COLUMN(Symbols[Currency])-COLUMN(Symbols[])+1,FALSE)=
       VLOOKUP(Transactions[[#This Row],[Account]],Accounts[],COLUMN(Accounts[Currency])-COLUMN(Accounts[])+1,FALSE),
     Transactions[[#This Row],[OrigCashImpact]],
     0
)</f>
        <v>0</v>
      </c>
      <c r="O11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208047.10999999905</v>
      </c>
      <c r="P11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1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149" s="41">
        <f>ROW()</f>
        <v>1149</v>
      </c>
      <c r="S11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81504.013199999987</v>
      </c>
      <c r="U11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149" s="166">
        <f>IF(INDEX(TransTypes[],Transactions[[#This Row],[TTR]],TT_COL_GLFlag)=1,Transactions[[#This Row],[CalCashImpact]]+Transactions[[#This Row],[CostImpact]],0)</f>
        <v>0</v>
      </c>
      <c r="W1149" s="167">
        <f>Transactions[[#This Row],[Amount]]*INDEX(TransTypes[],Transactions[[#This Row],[TTR]],TT_COL_AmntSign)</f>
        <v>0</v>
      </c>
      <c r="X1149" s="167">
        <f>IF(INDEX(TransTypes[],Transactions[[#This Row],[TTR]],TT_COL_LONGORSHORT)="S",
      IF( OR(INDEX(TransTypes[],Transactions[[#This Row],[TTR]],TT_COL_GLFlag)=1, INDEX(TransTypes[], Transactions[[#This Row],[TTR]], TT_COL_ShareTransferFlag)=1),
            Transactions[[#This Row],[CostImpact]]*-1,
            Transactions[[#This Row],[CalCashImpact]]
      ),
     0
)</f>
        <v>0</v>
      </c>
      <c r="Y1149" s="168" t="str">
        <f>VLOOKUP(Transactions[[#This Row],[Symbol]],Symbols[], COLUMN(Symbols[Currency])-COLUMN(Symbols[])+1,FALSE)</f>
        <v>CNY</v>
      </c>
    </row>
    <row r="1150" spans="1:25">
      <c r="A1150" s="155" t="s">
        <v>82</v>
      </c>
      <c r="B1150" s="156">
        <v>42499</v>
      </c>
      <c r="C1150" s="155" t="s">
        <v>115</v>
      </c>
      <c r="D1150" s="155"/>
      <c r="E1150" s="155" t="s">
        <v>644</v>
      </c>
      <c r="F1150" s="157">
        <v>1000</v>
      </c>
      <c r="G1150" s="158">
        <v>62.18</v>
      </c>
      <c r="H1150" s="157">
        <v>87.05</v>
      </c>
      <c r="I1150" s="157"/>
      <c r="J1150" s="159">
        <v>62092.95</v>
      </c>
      <c r="K1150" s="6" t="s">
        <v>641</v>
      </c>
      <c r="L1150" s="20">
        <f>IF(ISNA(MATCH(Transactions[[#This Row],[TransType]],TransTypes[TransType],0)),1,MATCH(Transactions[[#This Row],[TransType]],TransTypes[TransType],0))</f>
        <v>3</v>
      </c>
      <c r="M1150" s="160">
        <f>IF( AND( INDEX(TransTypes[],Transactions[[#This Row],[TTR]],TT_COL_GLFlag)=1, INDEX(TransTypes[],Transactions[[#This Row],[TTR]],TT_COL_LONGORSHORT)="S" ),
      Transactions[[#This Row],[PL]],
      IF(INDEX(TransTypes[],Transactions[[#This Row],[TTR]],TT_COL_LONGORSHORT)="S",0,Transactions[[#This Row],[CalCashImpact]])
)</f>
        <v>62092.95</v>
      </c>
      <c r="N1150" s="161">
        <f>IF(VLOOKUP(Transactions[[#This Row],[Symbol]],Symbols[],COLUMN(Symbols[Currency])-COLUMN(Symbols[])+1,FALSE)=
       VLOOKUP(Transactions[[#This Row],[Account]],Accounts[],COLUMN(Accounts[Currency])-COLUMN(Accounts[])+1,FALSE),
     Transactions[[#This Row],[OrigCashImpact]],
     0
)</f>
        <v>62092.95</v>
      </c>
      <c r="O11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270140.05999999907</v>
      </c>
      <c r="P11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50" s="41">
        <f>ROW()</f>
        <v>1150</v>
      </c>
      <c r="S11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-59772.759944444442</v>
      </c>
      <c r="T11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179318.27983333333</v>
      </c>
      <c r="U11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150" s="166">
        <f>IF(INDEX(TransTypes[],Transactions[[#This Row],[TTR]],TT_COL_GLFlag)=1,Transactions[[#This Row],[CalCashImpact]]+Transactions[[#This Row],[CostImpact]],0)</f>
        <v>2320.1900555555549</v>
      </c>
      <c r="W1150" s="167">
        <f>Transactions[[#This Row],[Amount]]*INDEX(TransTypes[],Transactions[[#This Row],[TTR]],TT_COL_AmntSign)</f>
        <v>62092.95</v>
      </c>
      <c r="X1150" s="167">
        <f>IF(INDEX(TransTypes[],Transactions[[#This Row],[TTR]],TT_COL_LONGORSHORT)="S",
      IF( OR(INDEX(TransTypes[],Transactions[[#This Row],[TTR]],TT_COL_GLFlag)=1, INDEX(TransTypes[], Transactions[[#This Row],[TTR]], TT_COL_ShareTransferFlag)=1),
            Transactions[[#This Row],[CostImpact]]*-1,
            Transactions[[#This Row],[CalCashImpact]]
      ),
     0
)</f>
        <v>0</v>
      </c>
      <c r="Y1150" s="168" t="str">
        <f>VLOOKUP(Transactions[[#This Row],[Symbol]],Symbols[], COLUMN(Symbols[Currency])-COLUMN(Symbols[])+1,FALSE)</f>
        <v>CNY</v>
      </c>
    </row>
    <row r="1151" spans="1:25">
      <c r="A1151" s="155" t="s">
        <v>82</v>
      </c>
      <c r="B1151" s="156">
        <v>42499</v>
      </c>
      <c r="C1151" s="155" t="s">
        <v>115</v>
      </c>
      <c r="D1151" s="155"/>
      <c r="E1151" s="155" t="s">
        <v>467</v>
      </c>
      <c r="F1151" s="157">
        <v>2000</v>
      </c>
      <c r="G1151" s="158">
        <v>20.53</v>
      </c>
      <c r="H1151" s="157">
        <v>57.48</v>
      </c>
      <c r="I1151" s="157"/>
      <c r="J1151" s="159">
        <v>41002.519999999997</v>
      </c>
      <c r="K1151" s="6" t="s">
        <v>641</v>
      </c>
      <c r="L1151" s="20">
        <f>IF(ISNA(MATCH(Transactions[[#This Row],[TransType]],TransTypes[TransType],0)),1,MATCH(Transactions[[#This Row],[TransType]],TransTypes[TransType],0))</f>
        <v>3</v>
      </c>
      <c r="M1151" s="160">
        <f>IF( AND( INDEX(TransTypes[],Transactions[[#This Row],[TTR]],TT_COL_GLFlag)=1, INDEX(TransTypes[],Transactions[[#This Row],[TTR]],TT_COL_LONGORSHORT)="S" ),
      Transactions[[#This Row],[PL]],
      IF(INDEX(TransTypes[],Transactions[[#This Row],[TTR]],TT_COL_LONGORSHORT)="S",0,Transactions[[#This Row],[CalCashImpact]])
)</f>
        <v>41002.519999999997</v>
      </c>
      <c r="N1151" s="161">
        <f>IF(VLOOKUP(Transactions[[#This Row],[Symbol]],Symbols[],COLUMN(Symbols[Currency])-COLUMN(Symbols[])+1,FALSE)=
       VLOOKUP(Transactions[[#This Row],[Account]],Accounts[],COLUMN(Accounts[Currency])-COLUMN(Accounts[])+1,FALSE),
     Transactions[[#This Row],[OrigCashImpact]],
     0
)</f>
        <v>41002.519999999997</v>
      </c>
      <c r="O11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311142.57999999903</v>
      </c>
      <c r="P11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1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151" s="41">
        <f>ROW()</f>
        <v>1151</v>
      </c>
      <c r="S11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-45680.376656378598</v>
      </c>
      <c r="T11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22840.188328189302</v>
      </c>
      <c r="U11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151" s="166">
        <f>IF(INDEX(TransTypes[],Transactions[[#This Row],[TTR]],TT_COL_GLFlag)=1,Transactions[[#This Row],[CalCashImpact]]+Transactions[[#This Row],[CostImpact]],0)</f>
        <v>-4677.8566563786007</v>
      </c>
      <c r="W1151" s="167">
        <f>Transactions[[#This Row],[Amount]]*INDEX(TransTypes[],Transactions[[#This Row],[TTR]],TT_COL_AmntSign)</f>
        <v>41002.519999999997</v>
      </c>
      <c r="X1151" s="167">
        <f>IF(INDEX(TransTypes[],Transactions[[#This Row],[TTR]],TT_COL_LONGORSHORT)="S",
      IF( OR(INDEX(TransTypes[],Transactions[[#This Row],[TTR]],TT_COL_GLFlag)=1, INDEX(TransTypes[], Transactions[[#This Row],[TTR]], TT_COL_ShareTransferFlag)=1),
            Transactions[[#This Row],[CostImpact]]*-1,
            Transactions[[#This Row],[CalCashImpact]]
      ),
     0
)</f>
        <v>0</v>
      </c>
      <c r="Y1151" s="168" t="str">
        <f>VLOOKUP(Transactions[[#This Row],[Symbol]],Symbols[], COLUMN(Symbols[Currency])-COLUMN(Symbols[])+1,FALSE)</f>
        <v>CNY</v>
      </c>
    </row>
    <row r="1152" spans="1:25">
      <c r="A1152" s="155" t="s">
        <v>82</v>
      </c>
      <c r="B1152" s="156">
        <v>42499</v>
      </c>
      <c r="C1152" s="155" t="s">
        <v>115</v>
      </c>
      <c r="D1152" s="155"/>
      <c r="E1152" s="155" t="s">
        <v>700</v>
      </c>
      <c r="F1152" s="157">
        <v>1000</v>
      </c>
      <c r="G1152" s="158">
        <v>16.22</v>
      </c>
      <c r="H1152" s="157">
        <v>22.7</v>
      </c>
      <c r="I1152" s="157"/>
      <c r="J1152" s="159">
        <v>16197.3</v>
      </c>
      <c r="K1152" s="6" t="s">
        <v>641</v>
      </c>
      <c r="L1152" s="20">
        <f>IF(ISNA(MATCH(Transactions[[#This Row],[TransType]],TransTypes[TransType],0)),1,MATCH(Transactions[[#This Row],[TransType]],TransTypes[TransType],0))</f>
        <v>3</v>
      </c>
      <c r="M1152" s="160">
        <f>IF( AND( INDEX(TransTypes[],Transactions[[#This Row],[TTR]],TT_COL_GLFlag)=1, INDEX(TransTypes[],Transactions[[#This Row],[TTR]],TT_COL_LONGORSHORT)="S" ),
      Transactions[[#This Row],[PL]],
      IF(INDEX(TransTypes[],Transactions[[#This Row],[TTR]],TT_COL_LONGORSHORT)="S",0,Transactions[[#This Row],[CalCashImpact]])
)</f>
        <v>16197.3</v>
      </c>
      <c r="N1152" s="161">
        <f>IF(VLOOKUP(Transactions[[#This Row],[Symbol]],Symbols[],COLUMN(Symbols[Currency])-COLUMN(Symbols[])+1,FALSE)=
       VLOOKUP(Transactions[[#This Row],[Account]],Accounts[],COLUMN(Accounts[Currency])-COLUMN(Accounts[])+1,FALSE),
     Transactions[[#This Row],[OrigCashImpact]],
     0
)</f>
        <v>16197.3</v>
      </c>
      <c r="O11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327339.87999999907</v>
      </c>
      <c r="P11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52" s="41">
        <f>ROW()</f>
        <v>1152</v>
      </c>
      <c r="S11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-17360.941999999995</v>
      </c>
      <c r="T11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152" s="166">
        <f>IF(INDEX(TransTypes[],Transactions[[#This Row],[TTR]],TT_COL_GLFlag)=1,Transactions[[#This Row],[CalCashImpact]]+Transactions[[#This Row],[CostImpact]],0)</f>
        <v>-1163.6419999999962</v>
      </c>
      <c r="W1152" s="167">
        <f>Transactions[[#This Row],[Amount]]*INDEX(TransTypes[],Transactions[[#This Row],[TTR]],TT_COL_AmntSign)</f>
        <v>16197.3</v>
      </c>
      <c r="X1152" s="167">
        <f>IF(INDEX(TransTypes[],Transactions[[#This Row],[TTR]],TT_COL_LONGORSHORT)="S",
      IF( OR(INDEX(TransTypes[],Transactions[[#This Row],[TTR]],TT_COL_GLFlag)=1, INDEX(TransTypes[], Transactions[[#This Row],[TTR]], TT_COL_ShareTransferFlag)=1),
            Transactions[[#This Row],[CostImpact]]*-1,
            Transactions[[#This Row],[CalCashImpact]]
      ),
     0
)</f>
        <v>0</v>
      </c>
      <c r="Y1152" s="168" t="str">
        <f>VLOOKUP(Transactions[[#This Row],[Symbol]],Symbols[], COLUMN(Symbols[Currency])-COLUMN(Symbols[])+1,FALSE)</f>
        <v>CNY</v>
      </c>
    </row>
    <row r="1153" spans="1:25">
      <c r="A1153" s="155" t="s">
        <v>82</v>
      </c>
      <c r="B1153" s="156">
        <v>42499</v>
      </c>
      <c r="C1153" s="155" t="s">
        <v>115</v>
      </c>
      <c r="D1153" s="155"/>
      <c r="E1153" s="155" t="s">
        <v>644</v>
      </c>
      <c r="F1153" s="157">
        <v>1000</v>
      </c>
      <c r="G1153" s="158">
        <v>62.6</v>
      </c>
      <c r="H1153" s="157">
        <v>87.64</v>
      </c>
      <c r="I1153" s="157"/>
      <c r="J1153" s="159">
        <v>62512.36</v>
      </c>
      <c r="K1153" s="6" t="s">
        <v>641</v>
      </c>
      <c r="L1153" s="20">
        <f>IF(ISNA(MATCH(Transactions[[#This Row],[TransType]],TransTypes[TransType],0)),1,MATCH(Transactions[[#This Row],[TransType]],TransTypes[TransType],0))</f>
        <v>3</v>
      </c>
      <c r="M1153" s="160">
        <f>IF( AND( INDEX(TransTypes[],Transactions[[#This Row],[TTR]],TT_COL_GLFlag)=1, INDEX(TransTypes[],Transactions[[#This Row],[TTR]],TT_COL_LONGORSHORT)="S" ),
      Transactions[[#This Row],[PL]],
      IF(INDEX(TransTypes[],Transactions[[#This Row],[TTR]],TT_COL_LONGORSHORT)="S",0,Transactions[[#This Row],[CalCashImpact]])
)</f>
        <v>62512.36</v>
      </c>
      <c r="N1153" s="161">
        <f>IF(VLOOKUP(Transactions[[#This Row],[Symbol]],Symbols[],COLUMN(Symbols[Currency])-COLUMN(Symbols[])+1,FALSE)=
       VLOOKUP(Transactions[[#This Row],[Account]],Accounts[],COLUMN(Accounts[Currency])-COLUMN(Accounts[])+1,FALSE),
     Transactions[[#This Row],[OrigCashImpact]],
     0
)</f>
        <v>62512.36</v>
      </c>
      <c r="O11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389852.23999999906</v>
      </c>
      <c r="P11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53" s="41">
        <f>ROW()</f>
        <v>1153</v>
      </c>
      <c r="S11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-59772.759944444442</v>
      </c>
      <c r="T11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119545.51988888888</v>
      </c>
      <c r="U11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153" s="166">
        <f>IF(INDEX(TransTypes[],Transactions[[#This Row],[TTR]],TT_COL_GLFlag)=1,Transactions[[#This Row],[CalCashImpact]]+Transactions[[#This Row],[CostImpact]],0)</f>
        <v>2739.6000555555584</v>
      </c>
      <c r="W1153" s="167">
        <f>Transactions[[#This Row],[Amount]]*INDEX(TransTypes[],Transactions[[#This Row],[TTR]],TT_COL_AmntSign)</f>
        <v>62512.36</v>
      </c>
      <c r="X1153" s="167">
        <f>IF(INDEX(TransTypes[],Transactions[[#This Row],[TTR]],TT_COL_LONGORSHORT)="S",
      IF( OR(INDEX(TransTypes[],Transactions[[#This Row],[TTR]],TT_COL_GLFlag)=1, INDEX(TransTypes[], Transactions[[#This Row],[TTR]], TT_COL_ShareTransferFlag)=1),
            Transactions[[#This Row],[CostImpact]]*-1,
            Transactions[[#This Row],[CalCashImpact]]
      ),
     0
)</f>
        <v>0</v>
      </c>
      <c r="Y1153" s="168" t="str">
        <f>VLOOKUP(Transactions[[#This Row],[Symbol]],Symbols[], COLUMN(Symbols[Currency])-COLUMN(Symbols[])+1,FALSE)</f>
        <v>CNY</v>
      </c>
    </row>
    <row r="1154" spans="1:25">
      <c r="A1154" s="155" t="s">
        <v>82</v>
      </c>
      <c r="B1154" s="156">
        <v>42499</v>
      </c>
      <c r="C1154" s="155" t="s">
        <v>115</v>
      </c>
      <c r="D1154" s="155"/>
      <c r="E1154" s="155" t="s">
        <v>647</v>
      </c>
      <c r="F1154" s="157">
        <v>5000</v>
      </c>
      <c r="G1154" s="158">
        <v>24.9</v>
      </c>
      <c r="H1154" s="157">
        <v>174.3</v>
      </c>
      <c r="I1154" s="157"/>
      <c r="J1154" s="159">
        <v>124325.7</v>
      </c>
      <c r="K1154" s="6" t="s">
        <v>641</v>
      </c>
      <c r="L1154" s="20">
        <f>IF(ISNA(MATCH(Transactions[[#This Row],[TransType]],TransTypes[TransType],0)),1,MATCH(Transactions[[#This Row],[TransType]],TransTypes[TransType],0))</f>
        <v>3</v>
      </c>
      <c r="M1154" s="160">
        <f>IF( AND( INDEX(TransTypes[],Transactions[[#This Row],[TTR]],TT_COL_GLFlag)=1, INDEX(TransTypes[],Transactions[[#This Row],[TTR]],TT_COL_LONGORSHORT)="S" ),
      Transactions[[#This Row],[PL]],
      IF(INDEX(TransTypes[],Transactions[[#This Row],[TTR]],TT_COL_LONGORSHORT)="S",0,Transactions[[#This Row],[CalCashImpact]])
)</f>
        <v>124325.7</v>
      </c>
      <c r="N1154" s="161">
        <f>IF(VLOOKUP(Transactions[[#This Row],[Symbol]],Symbols[],COLUMN(Symbols[Currency])-COLUMN(Symbols[])+1,FALSE)=
       VLOOKUP(Transactions[[#This Row],[Account]],Accounts[],COLUMN(Accounts[Currency])-COLUMN(Accounts[])+1,FALSE),
     Transactions[[#This Row],[OrigCashImpact]],
     0
)</f>
        <v>124325.7</v>
      </c>
      <c r="O11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514177.93999999907</v>
      </c>
      <c r="P11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1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54" s="41">
        <f>ROW()</f>
        <v>1154</v>
      </c>
      <c r="S11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-124171.4091556097</v>
      </c>
      <c r="T11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74502.845493365807</v>
      </c>
      <c r="U11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154" s="166">
        <f>IF(INDEX(TransTypes[],Transactions[[#This Row],[TTR]],TT_COL_GLFlag)=1,Transactions[[#This Row],[CalCashImpact]]+Transactions[[#This Row],[CostImpact]],0)</f>
        <v>154.29084439029975</v>
      </c>
      <c r="W1154" s="167">
        <f>Transactions[[#This Row],[Amount]]*INDEX(TransTypes[],Transactions[[#This Row],[TTR]],TT_COL_AmntSign)</f>
        <v>124325.7</v>
      </c>
      <c r="X1154" s="167">
        <f>IF(INDEX(TransTypes[],Transactions[[#This Row],[TTR]],TT_COL_LONGORSHORT)="S",
      IF( OR(INDEX(TransTypes[],Transactions[[#This Row],[TTR]],TT_COL_GLFlag)=1, INDEX(TransTypes[], Transactions[[#This Row],[TTR]], TT_COL_ShareTransferFlag)=1),
            Transactions[[#This Row],[CostImpact]]*-1,
            Transactions[[#This Row],[CalCashImpact]]
      ),
     0
)</f>
        <v>0</v>
      </c>
      <c r="Y1154" s="168" t="str">
        <f>VLOOKUP(Transactions[[#This Row],[Symbol]],Symbols[], COLUMN(Symbols[Currency])-COLUMN(Symbols[])+1,FALSE)</f>
        <v>CNY</v>
      </c>
    </row>
    <row r="1155" spans="1:25">
      <c r="A1155" s="155" t="s">
        <v>82</v>
      </c>
      <c r="B1155" s="156">
        <v>42499</v>
      </c>
      <c r="C1155" s="155" t="s">
        <v>115</v>
      </c>
      <c r="D1155" s="155"/>
      <c r="E1155" s="155" t="s">
        <v>480</v>
      </c>
      <c r="F1155" s="157">
        <v>1000</v>
      </c>
      <c r="G1155" s="158">
        <v>46.46</v>
      </c>
      <c r="H1155" s="157">
        <v>65.97</v>
      </c>
      <c r="I1155" s="157"/>
      <c r="J1155" s="159">
        <v>46394.03</v>
      </c>
      <c r="K1155" s="6" t="s">
        <v>641</v>
      </c>
      <c r="L1155" s="20">
        <f>IF(ISNA(MATCH(Transactions[[#This Row],[TransType]],TransTypes[TransType],0)),1,MATCH(Transactions[[#This Row],[TransType]],TransTypes[TransType],0))</f>
        <v>3</v>
      </c>
      <c r="M1155" s="160">
        <f>IF( AND( INDEX(TransTypes[],Transactions[[#This Row],[TTR]],TT_COL_GLFlag)=1, INDEX(TransTypes[],Transactions[[#This Row],[TTR]],TT_COL_LONGORSHORT)="S" ),
      Transactions[[#This Row],[PL]],
      IF(INDEX(TransTypes[],Transactions[[#This Row],[TTR]],TT_COL_LONGORSHORT)="S",0,Transactions[[#This Row],[CalCashImpact]])
)</f>
        <v>46394.03</v>
      </c>
      <c r="N1155" s="161">
        <f>IF(VLOOKUP(Transactions[[#This Row],[Symbol]],Symbols[],COLUMN(Symbols[Currency])-COLUMN(Symbols[])+1,FALSE)=
       VLOOKUP(Transactions[[#This Row],[Account]],Accounts[],COLUMN(Accounts[Currency])-COLUMN(Accounts[])+1,FALSE),
     Transactions[[#This Row],[OrigCashImpact]],
     0
)</f>
        <v>46394.03</v>
      </c>
      <c r="O11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560571.96999999904</v>
      </c>
      <c r="P11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155" s="41">
        <f>ROW()</f>
        <v>1155</v>
      </c>
      <c r="S11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-47209.82</v>
      </c>
      <c r="T11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47209.82</v>
      </c>
      <c r="U11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155" s="166">
        <f>IF(INDEX(TransTypes[],Transactions[[#This Row],[TTR]],TT_COL_GLFlag)=1,Transactions[[#This Row],[CalCashImpact]]+Transactions[[#This Row],[CostImpact]],0)</f>
        <v>-815.79000000000087</v>
      </c>
      <c r="W1155" s="167">
        <f>Transactions[[#This Row],[Amount]]*INDEX(TransTypes[],Transactions[[#This Row],[TTR]],TT_COL_AmntSign)</f>
        <v>46394.03</v>
      </c>
      <c r="X1155" s="167">
        <f>IF(INDEX(TransTypes[],Transactions[[#This Row],[TTR]],TT_COL_LONGORSHORT)="S",
      IF( OR(INDEX(TransTypes[],Transactions[[#This Row],[TTR]],TT_COL_GLFlag)=1, INDEX(TransTypes[], Transactions[[#This Row],[TTR]], TT_COL_ShareTransferFlag)=1),
            Transactions[[#This Row],[CostImpact]]*-1,
            Transactions[[#This Row],[CalCashImpact]]
      ),
     0
)</f>
        <v>0</v>
      </c>
      <c r="Y1155" s="168" t="str">
        <f>VLOOKUP(Transactions[[#This Row],[Symbol]],Symbols[], COLUMN(Symbols[Currency])-COLUMN(Symbols[])+1,FALSE)</f>
        <v>CNY</v>
      </c>
    </row>
    <row r="1156" spans="1:25">
      <c r="A1156" s="155" t="s">
        <v>82</v>
      </c>
      <c r="B1156" s="156">
        <v>42499</v>
      </c>
      <c r="C1156" s="155" t="s">
        <v>113</v>
      </c>
      <c r="D1156" s="155"/>
      <c r="E1156" s="155" t="s">
        <v>699</v>
      </c>
      <c r="F1156" s="157">
        <v>30000</v>
      </c>
      <c r="G1156" s="158">
        <v>2.6880000000000002</v>
      </c>
      <c r="H1156" s="157">
        <v>32.26</v>
      </c>
      <c r="I1156" s="157"/>
      <c r="J1156" s="159">
        <v>80672.259999999995</v>
      </c>
      <c r="K1156" s="6" t="s">
        <v>641</v>
      </c>
      <c r="L1156" s="20">
        <f>IF(ISNA(MATCH(Transactions[[#This Row],[TransType]],TransTypes[TransType],0)),1,MATCH(Transactions[[#This Row],[TransType]],TransTypes[TransType],0))</f>
        <v>2</v>
      </c>
      <c r="M1156" s="160">
        <f>IF( AND( INDEX(TransTypes[],Transactions[[#This Row],[TTR]],TT_COL_GLFlag)=1, INDEX(TransTypes[],Transactions[[#This Row],[TTR]],TT_COL_LONGORSHORT)="S" ),
      Transactions[[#This Row],[PL]],
      IF(INDEX(TransTypes[],Transactions[[#This Row],[TTR]],TT_COL_LONGORSHORT)="S",0,Transactions[[#This Row],[CalCashImpact]])
)</f>
        <v>-80672.259999999995</v>
      </c>
      <c r="N1156" s="161">
        <f>IF(VLOOKUP(Transactions[[#This Row],[Symbol]],Symbols[],COLUMN(Symbols[Currency])-COLUMN(Symbols[])+1,FALSE)=
       VLOOKUP(Transactions[[#This Row],[Account]],Accounts[],COLUMN(Accounts[Currency])-COLUMN(Accounts[])+1,FALSE),
     Transactions[[#This Row],[OrigCashImpact]],
     0
)</f>
        <v>-80672.259999999995</v>
      </c>
      <c r="O11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479899.70999999903</v>
      </c>
      <c r="P11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v>
      </c>
      <c r="Q11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60000</v>
      </c>
      <c r="R1156" s="41">
        <f>ROW()</f>
        <v>1156</v>
      </c>
      <c r="S11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80672.259999999995</v>
      </c>
      <c r="T11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160294.09999999998</v>
      </c>
      <c r="U11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60000</v>
      </c>
      <c r="V1156" s="166">
        <f>IF(INDEX(TransTypes[],Transactions[[#This Row],[TTR]],TT_COL_GLFlag)=1,Transactions[[#This Row],[CalCashImpact]]+Transactions[[#This Row],[CostImpact]],0)</f>
        <v>0</v>
      </c>
      <c r="W1156" s="167">
        <f>Transactions[[#This Row],[Amount]]*INDEX(TransTypes[],Transactions[[#This Row],[TTR]],TT_COL_AmntSign)</f>
        <v>-80672.259999999995</v>
      </c>
      <c r="X1156" s="167">
        <f>IF(INDEX(TransTypes[],Transactions[[#This Row],[TTR]],TT_COL_LONGORSHORT)="S",
      IF( OR(INDEX(TransTypes[],Transactions[[#This Row],[TTR]],TT_COL_GLFlag)=1, INDEX(TransTypes[], Transactions[[#This Row],[TTR]], TT_COL_ShareTransferFlag)=1),
            Transactions[[#This Row],[CostImpact]]*-1,
            Transactions[[#This Row],[CalCashImpact]]
      ),
     0
)</f>
        <v>0</v>
      </c>
      <c r="Y1156" s="168" t="str">
        <f>VLOOKUP(Transactions[[#This Row],[Symbol]],Symbols[], COLUMN(Symbols[Currency])-COLUMN(Symbols[])+1,FALSE)</f>
        <v>CNY</v>
      </c>
    </row>
    <row r="1157" spans="1:25">
      <c r="A1157" s="155" t="s">
        <v>82</v>
      </c>
      <c r="B1157" s="156">
        <v>42499</v>
      </c>
      <c r="C1157" s="155" t="s">
        <v>113</v>
      </c>
      <c r="D1157" s="155"/>
      <c r="E1157" s="155" t="s">
        <v>699</v>
      </c>
      <c r="F1157" s="157">
        <v>3000</v>
      </c>
      <c r="G1157" s="158">
        <v>2.6880000000000002</v>
      </c>
      <c r="H1157" s="157">
        <v>5</v>
      </c>
      <c r="I1157" s="157"/>
      <c r="J1157" s="159">
        <v>8069</v>
      </c>
      <c r="K1157" s="6" t="s">
        <v>641</v>
      </c>
      <c r="L1157" s="20">
        <f>IF(ISNA(MATCH(Transactions[[#This Row],[TransType]],TransTypes[TransType],0)),1,MATCH(Transactions[[#This Row],[TransType]],TransTypes[TransType],0))</f>
        <v>2</v>
      </c>
      <c r="M1157" s="160">
        <f>IF( AND( INDEX(TransTypes[],Transactions[[#This Row],[TTR]],TT_COL_GLFlag)=1, INDEX(TransTypes[],Transactions[[#This Row],[TTR]],TT_COL_LONGORSHORT)="S" ),
      Transactions[[#This Row],[PL]],
      IF(INDEX(TransTypes[],Transactions[[#This Row],[TTR]],TT_COL_LONGORSHORT)="S",0,Transactions[[#This Row],[CalCashImpact]])
)</f>
        <v>-8069</v>
      </c>
      <c r="N1157" s="161">
        <f>IF(VLOOKUP(Transactions[[#This Row],[Symbol]],Symbols[],COLUMN(Symbols[Currency])-COLUMN(Symbols[])+1,FALSE)=
       VLOOKUP(Transactions[[#This Row],[Account]],Accounts[],COLUMN(Accounts[Currency])-COLUMN(Accounts[])+1,FALSE),
     Transactions[[#This Row],[OrigCashImpact]],
     0
)</f>
        <v>-8069</v>
      </c>
      <c r="O11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471830.70999999903</v>
      </c>
      <c r="P11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1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63000</v>
      </c>
      <c r="R1157" s="41">
        <f>ROW()</f>
        <v>1157</v>
      </c>
      <c r="S11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8069</v>
      </c>
      <c r="T11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168363.09999999998</v>
      </c>
      <c r="U11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63000</v>
      </c>
      <c r="V1157" s="166">
        <f>IF(INDEX(TransTypes[],Transactions[[#This Row],[TTR]],TT_COL_GLFlag)=1,Transactions[[#This Row],[CalCashImpact]]+Transactions[[#This Row],[CostImpact]],0)</f>
        <v>0</v>
      </c>
      <c r="W1157" s="167">
        <f>Transactions[[#This Row],[Amount]]*INDEX(TransTypes[],Transactions[[#This Row],[TTR]],TT_COL_AmntSign)</f>
        <v>-8069</v>
      </c>
      <c r="X1157" s="167">
        <f>IF(INDEX(TransTypes[],Transactions[[#This Row],[TTR]],TT_COL_LONGORSHORT)="S",
      IF( OR(INDEX(TransTypes[],Transactions[[#This Row],[TTR]],TT_COL_GLFlag)=1, INDEX(TransTypes[], Transactions[[#This Row],[TTR]], TT_COL_ShareTransferFlag)=1),
            Transactions[[#This Row],[CostImpact]]*-1,
            Transactions[[#This Row],[CalCashImpact]]
      ),
     0
)</f>
        <v>0</v>
      </c>
      <c r="Y1157" s="168" t="str">
        <f>VLOOKUP(Transactions[[#This Row],[Symbol]],Symbols[], COLUMN(Symbols[Currency])-COLUMN(Symbols[])+1,FALSE)</f>
        <v>CNY</v>
      </c>
    </row>
    <row r="1158" spans="1:25">
      <c r="A1158" s="155" t="s">
        <v>82</v>
      </c>
      <c r="B1158" s="156">
        <v>42499</v>
      </c>
      <c r="C1158" s="155" t="s">
        <v>115</v>
      </c>
      <c r="D1158" s="155"/>
      <c r="E1158" s="155" t="s">
        <v>464</v>
      </c>
      <c r="F1158" s="157">
        <v>200</v>
      </c>
      <c r="G1158" s="158">
        <v>249.32</v>
      </c>
      <c r="H1158" s="157">
        <v>70.81</v>
      </c>
      <c r="I1158" s="157"/>
      <c r="J1158" s="159">
        <v>49793.19</v>
      </c>
      <c r="K1158" s="6" t="s">
        <v>641</v>
      </c>
      <c r="L1158" s="20">
        <f>IF(ISNA(MATCH(Transactions[[#This Row],[TransType]],TransTypes[TransType],0)),1,MATCH(Transactions[[#This Row],[TransType]],TransTypes[TransType],0))</f>
        <v>3</v>
      </c>
      <c r="M1158" s="160">
        <f>IF( AND( INDEX(TransTypes[],Transactions[[#This Row],[TTR]],TT_COL_GLFlag)=1, INDEX(TransTypes[],Transactions[[#This Row],[TTR]],TT_COL_LONGORSHORT)="S" ),
      Transactions[[#This Row],[PL]],
      IF(INDEX(TransTypes[],Transactions[[#This Row],[TTR]],TT_COL_LONGORSHORT)="S",0,Transactions[[#This Row],[CalCashImpact]])
)</f>
        <v>49793.19</v>
      </c>
      <c r="N1158" s="161">
        <f>IF(VLOOKUP(Transactions[[#This Row],[Symbol]],Symbols[],COLUMN(Symbols[Currency])-COLUMN(Symbols[])+1,FALSE)=
       VLOOKUP(Transactions[[#This Row],[Account]],Accounts[],COLUMN(Accounts[Currency])-COLUMN(Accounts[])+1,FALSE),
     Transactions[[#This Row],[OrigCashImpact]],
     0
)</f>
        <v>49793.19</v>
      </c>
      <c r="O11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521623.89999999903</v>
      </c>
      <c r="P11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1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158" s="41">
        <f>ROW()</f>
        <v>1158</v>
      </c>
      <c r="S11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-43436.397599999997</v>
      </c>
      <c r="T11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43436.397599999997</v>
      </c>
      <c r="U11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1158" s="166">
        <f>IF(INDEX(TransTypes[],Transactions[[#This Row],[TTR]],TT_COL_GLFlag)=1,Transactions[[#This Row],[CalCashImpact]]+Transactions[[#This Row],[CostImpact]],0)</f>
        <v>6356.7924000000057</v>
      </c>
      <c r="W1158" s="167">
        <f>Transactions[[#This Row],[Amount]]*INDEX(TransTypes[],Transactions[[#This Row],[TTR]],TT_COL_AmntSign)</f>
        <v>49793.19</v>
      </c>
      <c r="X1158" s="167">
        <f>IF(INDEX(TransTypes[],Transactions[[#This Row],[TTR]],TT_COL_LONGORSHORT)="S",
      IF( OR(INDEX(TransTypes[],Transactions[[#This Row],[TTR]],TT_COL_GLFlag)=1, INDEX(TransTypes[], Transactions[[#This Row],[TTR]], TT_COL_ShareTransferFlag)=1),
            Transactions[[#This Row],[CostImpact]]*-1,
            Transactions[[#This Row],[CalCashImpact]]
      ),
     0
)</f>
        <v>0</v>
      </c>
      <c r="Y1158" s="168" t="str">
        <f>VLOOKUP(Transactions[[#This Row],[Symbol]],Symbols[], COLUMN(Symbols[Currency])-COLUMN(Symbols[])+1,FALSE)</f>
        <v>CNY</v>
      </c>
    </row>
    <row r="1159" spans="1:25">
      <c r="A1159" s="155" t="s">
        <v>82</v>
      </c>
      <c r="B1159" s="156">
        <v>42501</v>
      </c>
      <c r="C1159" s="155" t="s">
        <v>113</v>
      </c>
      <c r="D1159" s="155"/>
      <c r="E1159" s="155" t="s">
        <v>703</v>
      </c>
      <c r="F1159" s="157">
        <v>2000</v>
      </c>
      <c r="G1159" s="158">
        <v>21.31</v>
      </c>
      <c r="H1159" s="157">
        <v>17.05</v>
      </c>
      <c r="I1159" s="157"/>
      <c r="J1159" s="159">
        <v>42637.05</v>
      </c>
      <c r="K1159" s="6" t="s">
        <v>641</v>
      </c>
      <c r="L1159" s="20">
        <f>IF(ISNA(MATCH(Transactions[[#This Row],[TransType]],TransTypes[TransType],0)),1,MATCH(Transactions[[#This Row],[TransType]],TransTypes[TransType],0))</f>
        <v>2</v>
      </c>
      <c r="M1159" s="160">
        <f>IF( AND( INDEX(TransTypes[],Transactions[[#This Row],[TTR]],TT_COL_GLFlag)=1, INDEX(TransTypes[],Transactions[[#This Row],[TTR]],TT_COL_LONGORSHORT)="S" ),
      Transactions[[#This Row],[PL]],
      IF(INDEX(TransTypes[],Transactions[[#This Row],[TTR]],TT_COL_LONGORSHORT)="S",0,Transactions[[#This Row],[CalCashImpact]])
)</f>
        <v>-42637.05</v>
      </c>
      <c r="N1159" s="161">
        <f>IF(VLOOKUP(Transactions[[#This Row],[Symbol]],Symbols[],COLUMN(Symbols[Currency])-COLUMN(Symbols[])+1,FALSE)=
       VLOOKUP(Transactions[[#This Row],[Account]],Accounts[],COLUMN(Accounts[Currency])-COLUMN(Accounts[])+1,FALSE),
     Transactions[[#This Row],[OrigCashImpact]],
     0
)</f>
        <v>-42637.05</v>
      </c>
      <c r="O11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478986.84999999905</v>
      </c>
      <c r="P11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1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59" s="41">
        <f>ROW()</f>
        <v>1159</v>
      </c>
      <c r="S11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42637.05</v>
      </c>
      <c r="T11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42637.05</v>
      </c>
      <c r="U11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159" s="166">
        <f>IF(INDEX(TransTypes[],Transactions[[#This Row],[TTR]],TT_COL_GLFlag)=1,Transactions[[#This Row],[CalCashImpact]]+Transactions[[#This Row],[CostImpact]],0)</f>
        <v>0</v>
      </c>
      <c r="W1159" s="167">
        <f>Transactions[[#This Row],[Amount]]*INDEX(TransTypes[],Transactions[[#This Row],[TTR]],TT_COL_AmntSign)</f>
        <v>-42637.05</v>
      </c>
      <c r="X1159" s="167">
        <f>IF(INDEX(TransTypes[],Transactions[[#This Row],[TTR]],TT_COL_LONGORSHORT)="S",
      IF( OR(INDEX(TransTypes[],Transactions[[#This Row],[TTR]],TT_COL_GLFlag)=1, INDEX(TransTypes[], Transactions[[#This Row],[TTR]], TT_COL_ShareTransferFlag)=1),
            Transactions[[#This Row],[CostImpact]]*-1,
            Transactions[[#This Row],[CalCashImpact]]
      ),
     0
)</f>
        <v>0</v>
      </c>
      <c r="Y1159" s="168" t="str">
        <f>VLOOKUP(Transactions[[#This Row],[Symbol]],Symbols[], COLUMN(Symbols[Currency])-COLUMN(Symbols[])+1,FALSE)</f>
        <v>CNY</v>
      </c>
    </row>
    <row r="1160" spans="1:25">
      <c r="A1160" s="155" t="s">
        <v>82</v>
      </c>
      <c r="B1160" s="156">
        <v>42501</v>
      </c>
      <c r="C1160" s="155" t="s">
        <v>113</v>
      </c>
      <c r="D1160" s="155"/>
      <c r="E1160" s="155" t="s">
        <v>642</v>
      </c>
      <c r="F1160" s="157">
        <v>2000</v>
      </c>
      <c r="G1160" s="158">
        <v>26.34</v>
      </c>
      <c r="H1160" s="157">
        <v>21.07</v>
      </c>
      <c r="I1160" s="157"/>
      <c r="J1160" s="159">
        <v>52701.07</v>
      </c>
      <c r="K1160" s="6" t="s">
        <v>641</v>
      </c>
      <c r="L1160" s="20">
        <f>IF(ISNA(MATCH(Transactions[[#This Row],[TransType]],TransTypes[TransType],0)),1,MATCH(Transactions[[#This Row],[TransType]],TransTypes[TransType],0))</f>
        <v>2</v>
      </c>
      <c r="M1160" s="160">
        <f>IF( AND( INDEX(TransTypes[],Transactions[[#This Row],[TTR]],TT_COL_GLFlag)=1, INDEX(TransTypes[],Transactions[[#This Row],[TTR]],TT_COL_LONGORSHORT)="S" ),
      Transactions[[#This Row],[PL]],
      IF(INDEX(TransTypes[],Transactions[[#This Row],[TTR]],TT_COL_LONGORSHORT)="S",0,Transactions[[#This Row],[CalCashImpact]])
)</f>
        <v>-52701.07</v>
      </c>
      <c r="N1160" s="161">
        <f>IF(VLOOKUP(Transactions[[#This Row],[Symbol]],Symbols[],COLUMN(Symbols[Currency])-COLUMN(Symbols[])+1,FALSE)=
       VLOOKUP(Transactions[[#This Row],[Account]],Accounts[],COLUMN(Accounts[Currency])-COLUMN(Accounts[])+1,FALSE),
     Transactions[[#This Row],[OrigCashImpact]],
     0
)</f>
        <v>-52701.07</v>
      </c>
      <c r="O11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426285.77999999904</v>
      </c>
      <c r="P11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1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160" s="41">
        <f>ROW()</f>
        <v>1160</v>
      </c>
      <c r="S11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52701.07</v>
      </c>
      <c r="T11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103788.16142857142</v>
      </c>
      <c r="U11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160" s="166">
        <f>IF(INDEX(TransTypes[],Transactions[[#This Row],[TTR]],TT_COL_GLFlag)=1,Transactions[[#This Row],[CalCashImpact]]+Transactions[[#This Row],[CostImpact]],0)</f>
        <v>0</v>
      </c>
      <c r="W1160" s="167">
        <f>Transactions[[#This Row],[Amount]]*INDEX(TransTypes[],Transactions[[#This Row],[TTR]],TT_COL_AmntSign)</f>
        <v>-52701.07</v>
      </c>
      <c r="X1160" s="167">
        <f>IF(INDEX(TransTypes[],Transactions[[#This Row],[TTR]],TT_COL_LONGORSHORT)="S",
      IF( OR(INDEX(TransTypes[],Transactions[[#This Row],[TTR]],TT_COL_GLFlag)=1, INDEX(TransTypes[], Transactions[[#This Row],[TTR]], TT_COL_ShareTransferFlag)=1),
            Transactions[[#This Row],[CostImpact]]*-1,
            Transactions[[#This Row],[CalCashImpact]]
      ),
     0
)</f>
        <v>0</v>
      </c>
      <c r="Y1160" s="168" t="str">
        <f>VLOOKUP(Transactions[[#This Row],[Symbol]],Symbols[], COLUMN(Symbols[Currency])-COLUMN(Symbols[])+1,FALSE)</f>
        <v>CNY</v>
      </c>
    </row>
    <row r="1161" spans="1:25">
      <c r="A1161" s="155" t="s">
        <v>82</v>
      </c>
      <c r="B1161" s="156">
        <v>42501</v>
      </c>
      <c r="C1161" s="155" t="s">
        <v>113</v>
      </c>
      <c r="D1161" s="155"/>
      <c r="E1161" s="155" t="s">
        <v>692</v>
      </c>
      <c r="F1161" s="157">
        <v>200000</v>
      </c>
      <c r="G1161" s="158">
        <v>0.75700000000000001</v>
      </c>
      <c r="H1161" s="157">
        <v>60.56</v>
      </c>
      <c r="I1161" s="157"/>
      <c r="J1161" s="159">
        <v>151460.56</v>
      </c>
      <c r="K1161" s="6" t="s">
        <v>641</v>
      </c>
      <c r="L1161" s="20">
        <f>IF(ISNA(MATCH(Transactions[[#This Row],[TransType]],TransTypes[TransType],0)),1,MATCH(Transactions[[#This Row],[TransType]],TransTypes[TransType],0))</f>
        <v>2</v>
      </c>
      <c r="M1161" s="160">
        <f>IF( AND( INDEX(TransTypes[],Transactions[[#This Row],[TTR]],TT_COL_GLFlag)=1, INDEX(TransTypes[],Transactions[[#This Row],[TTR]],TT_COL_LONGORSHORT)="S" ),
      Transactions[[#This Row],[PL]],
      IF(INDEX(TransTypes[],Transactions[[#This Row],[TTR]],TT_COL_LONGORSHORT)="S",0,Transactions[[#This Row],[CalCashImpact]])
)</f>
        <v>-151460.56</v>
      </c>
      <c r="N1161" s="161">
        <f>IF(VLOOKUP(Transactions[[#This Row],[Symbol]],Symbols[],COLUMN(Symbols[Currency])-COLUMN(Symbols[])+1,FALSE)=
       VLOOKUP(Transactions[[#This Row],[Account]],Accounts[],COLUMN(Accounts[Currency])-COLUMN(Accounts[])+1,FALSE),
     Transactions[[#This Row],[OrigCashImpact]],
     0
)</f>
        <v>-151460.56</v>
      </c>
      <c r="O11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274825.21999999904</v>
      </c>
      <c r="P11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11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706900</v>
      </c>
      <c r="R1161" s="41">
        <f>ROW()</f>
        <v>1161</v>
      </c>
      <c r="S11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151460.56</v>
      </c>
      <c r="T11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552071.74</v>
      </c>
      <c r="U11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706900</v>
      </c>
      <c r="V1161" s="166">
        <f>IF(INDEX(TransTypes[],Transactions[[#This Row],[TTR]],TT_COL_GLFlag)=1,Transactions[[#This Row],[CalCashImpact]]+Transactions[[#This Row],[CostImpact]],0)</f>
        <v>0</v>
      </c>
      <c r="W1161" s="167">
        <f>Transactions[[#This Row],[Amount]]*INDEX(TransTypes[],Transactions[[#This Row],[TTR]],TT_COL_AmntSign)</f>
        <v>-151460.56</v>
      </c>
      <c r="X1161" s="167">
        <f>IF(INDEX(TransTypes[],Transactions[[#This Row],[TTR]],TT_COL_LONGORSHORT)="S",
      IF( OR(INDEX(TransTypes[],Transactions[[#This Row],[TTR]],TT_COL_GLFlag)=1, INDEX(TransTypes[], Transactions[[#This Row],[TTR]], TT_COL_ShareTransferFlag)=1),
            Transactions[[#This Row],[CostImpact]]*-1,
            Transactions[[#This Row],[CalCashImpact]]
      ),
     0
)</f>
        <v>0</v>
      </c>
      <c r="Y1161" s="168" t="str">
        <f>VLOOKUP(Transactions[[#This Row],[Symbol]],Symbols[], COLUMN(Symbols[Currency])-COLUMN(Symbols[])+1,FALSE)</f>
        <v>CNY</v>
      </c>
    </row>
    <row r="1162" spans="1:25">
      <c r="A1162" s="155" t="s">
        <v>82</v>
      </c>
      <c r="B1162" s="156">
        <v>42501</v>
      </c>
      <c r="C1162" s="155" t="s">
        <v>113</v>
      </c>
      <c r="D1162" s="155"/>
      <c r="E1162" s="155" t="s">
        <v>677</v>
      </c>
      <c r="F1162" s="157">
        <v>1000</v>
      </c>
      <c r="G1162" s="158">
        <v>8.25</v>
      </c>
      <c r="H1162" s="157">
        <v>5.17</v>
      </c>
      <c r="I1162" s="157"/>
      <c r="J1162" s="159">
        <v>8255.17</v>
      </c>
      <c r="K1162" s="6" t="s">
        <v>641</v>
      </c>
      <c r="L1162" s="20">
        <f>IF(ISNA(MATCH(Transactions[[#This Row],[TransType]],TransTypes[TransType],0)),1,MATCH(Transactions[[#This Row],[TransType]],TransTypes[TransType],0))</f>
        <v>2</v>
      </c>
      <c r="M1162" s="160">
        <f>IF( AND( INDEX(TransTypes[],Transactions[[#This Row],[TTR]],TT_COL_GLFlag)=1, INDEX(TransTypes[],Transactions[[#This Row],[TTR]],TT_COL_LONGORSHORT)="S" ),
      Transactions[[#This Row],[PL]],
      IF(INDEX(TransTypes[],Transactions[[#This Row],[TTR]],TT_COL_LONGORSHORT)="S",0,Transactions[[#This Row],[CalCashImpact]])
)</f>
        <v>-8255.17</v>
      </c>
      <c r="N1162" s="161">
        <f>IF(VLOOKUP(Transactions[[#This Row],[Symbol]],Symbols[],COLUMN(Symbols[Currency])-COLUMN(Symbols[])+1,FALSE)=
       VLOOKUP(Transactions[[#This Row],[Account]],Accounts[],COLUMN(Accounts[Currency])-COLUMN(Accounts[])+1,FALSE),
     Transactions[[#This Row],[OrigCashImpact]],
     0
)</f>
        <v>-8255.17</v>
      </c>
      <c r="O11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266570.049999999</v>
      </c>
      <c r="P11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162" s="41">
        <f>ROW()</f>
        <v>1162</v>
      </c>
      <c r="S11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8255.17</v>
      </c>
      <c r="T11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41829.266000000003</v>
      </c>
      <c r="U11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62" s="166">
        <f>IF(INDEX(TransTypes[],Transactions[[#This Row],[TTR]],TT_COL_GLFlag)=1,Transactions[[#This Row],[CalCashImpact]]+Transactions[[#This Row],[CostImpact]],0)</f>
        <v>0</v>
      </c>
      <c r="W1162" s="167">
        <f>Transactions[[#This Row],[Amount]]*INDEX(TransTypes[],Transactions[[#This Row],[TTR]],TT_COL_AmntSign)</f>
        <v>-8255.17</v>
      </c>
      <c r="X1162" s="167">
        <f>IF(INDEX(TransTypes[],Transactions[[#This Row],[TTR]],TT_COL_LONGORSHORT)="S",
      IF( OR(INDEX(TransTypes[],Transactions[[#This Row],[TTR]],TT_COL_GLFlag)=1, INDEX(TransTypes[], Transactions[[#This Row],[TTR]], TT_COL_ShareTransferFlag)=1),
            Transactions[[#This Row],[CostImpact]]*-1,
            Transactions[[#This Row],[CalCashImpact]]
      ),
     0
)</f>
        <v>0</v>
      </c>
      <c r="Y1162" s="168" t="str">
        <f>VLOOKUP(Transactions[[#This Row],[Symbol]],Symbols[], COLUMN(Symbols[Currency])-COLUMN(Symbols[])+1,FALSE)</f>
        <v>CNY</v>
      </c>
    </row>
    <row r="1163" spans="1:25">
      <c r="A1163" s="155" t="s">
        <v>82</v>
      </c>
      <c r="B1163" s="156">
        <v>42501</v>
      </c>
      <c r="C1163" s="155" t="s">
        <v>113</v>
      </c>
      <c r="D1163" s="155"/>
      <c r="E1163" s="155" t="s">
        <v>464</v>
      </c>
      <c r="F1163" s="157">
        <v>300</v>
      </c>
      <c r="G1163" s="158">
        <v>257.02</v>
      </c>
      <c r="H1163" s="157">
        <v>32.380000000000003</v>
      </c>
      <c r="I1163" s="157"/>
      <c r="J1163" s="159">
        <v>77138.38</v>
      </c>
      <c r="K1163" s="6" t="s">
        <v>641</v>
      </c>
      <c r="L1163" s="20">
        <f>IF(ISNA(MATCH(Transactions[[#This Row],[TransType]],TransTypes[TransType],0)),1,MATCH(Transactions[[#This Row],[TransType]],TransTypes[TransType],0))</f>
        <v>2</v>
      </c>
      <c r="M1163" s="160">
        <f>IF( AND( INDEX(TransTypes[],Transactions[[#This Row],[TTR]],TT_COL_GLFlag)=1, INDEX(TransTypes[],Transactions[[#This Row],[TTR]],TT_COL_LONGORSHORT)="S" ),
      Transactions[[#This Row],[PL]],
      IF(INDEX(TransTypes[],Transactions[[#This Row],[TTR]],TT_COL_LONGORSHORT)="S",0,Transactions[[#This Row],[CalCashImpact]])
)</f>
        <v>-77138.38</v>
      </c>
      <c r="N1163" s="161">
        <f>IF(VLOOKUP(Transactions[[#This Row],[Symbol]],Symbols[],COLUMN(Symbols[Currency])-COLUMN(Symbols[])+1,FALSE)=
       VLOOKUP(Transactions[[#This Row],[Account]],Accounts[],COLUMN(Accounts[Currency])-COLUMN(Accounts[])+1,FALSE),
     Transactions[[#This Row],[OrigCashImpact]],
     0
)</f>
        <v>-77138.38</v>
      </c>
      <c r="O11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189431.66999999905</v>
      </c>
      <c r="P11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11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163" s="41">
        <f>ROW()</f>
        <v>1163</v>
      </c>
      <c r="S11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77138.38</v>
      </c>
      <c r="T11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120574.7776</v>
      </c>
      <c r="U11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163" s="166">
        <f>IF(INDEX(TransTypes[],Transactions[[#This Row],[TTR]],TT_COL_GLFlag)=1,Transactions[[#This Row],[CalCashImpact]]+Transactions[[#This Row],[CostImpact]],0)</f>
        <v>0</v>
      </c>
      <c r="W1163" s="167">
        <f>Transactions[[#This Row],[Amount]]*INDEX(TransTypes[],Transactions[[#This Row],[TTR]],TT_COL_AmntSign)</f>
        <v>-77138.38</v>
      </c>
      <c r="X1163" s="167">
        <f>IF(INDEX(TransTypes[],Transactions[[#This Row],[TTR]],TT_COL_LONGORSHORT)="S",
      IF( OR(INDEX(TransTypes[],Transactions[[#This Row],[TTR]],TT_COL_GLFlag)=1, INDEX(TransTypes[], Transactions[[#This Row],[TTR]], TT_COL_ShareTransferFlag)=1),
            Transactions[[#This Row],[CostImpact]]*-1,
            Transactions[[#This Row],[CalCashImpact]]
      ),
     0
)</f>
        <v>0</v>
      </c>
      <c r="Y1163" s="168" t="str">
        <f>VLOOKUP(Transactions[[#This Row],[Symbol]],Symbols[], COLUMN(Symbols[Currency])-COLUMN(Symbols[])+1,FALSE)</f>
        <v>CNY</v>
      </c>
    </row>
    <row r="1164" spans="1:25">
      <c r="A1164" s="155" t="s">
        <v>82</v>
      </c>
      <c r="B1164" s="156">
        <v>42503</v>
      </c>
      <c r="C1164" s="155" t="s">
        <v>113</v>
      </c>
      <c r="D1164" s="155"/>
      <c r="E1164" s="155" t="s">
        <v>704</v>
      </c>
      <c r="F1164" s="157">
        <v>2000</v>
      </c>
      <c r="G1164" s="158">
        <v>21.74</v>
      </c>
      <c r="H1164" s="157">
        <v>17.39</v>
      </c>
      <c r="I1164" s="157"/>
      <c r="J1164" s="159">
        <v>43497.39</v>
      </c>
      <c r="K1164" s="6" t="s">
        <v>641</v>
      </c>
      <c r="L1164" s="20">
        <f>IF(ISNA(MATCH(Transactions[[#This Row],[TransType]],TransTypes[TransType],0)),1,MATCH(Transactions[[#This Row],[TransType]],TransTypes[TransType],0))</f>
        <v>2</v>
      </c>
      <c r="M1164" s="160">
        <f>IF( AND( INDEX(TransTypes[],Transactions[[#This Row],[TTR]],TT_COL_GLFlag)=1, INDEX(TransTypes[],Transactions[[#This Row],[TTR]],TT_COL_LONGORSHORT)="S" ),
      Transactions[[#This Row],[PL]],
      IF(INDEX(TransTypes[],Transactions[[#This Row],[TTR]],TT_COL_LONGORSHORT)="S",0,Transactions[[#This Row],[CalCashImpact]])
)</f>
        <v>-43497.39</v>
      </c>
      <c r="N1164" s="161">
        <f>IF(VLOOKUP(Transactions[[#This Row],[Symbol]],Symbols[],COLUMN(Symbols[Currency])-COLUMN(Symbols[])+1,FALSE)=
       VLOOKUP(Transactions[[#This Row],[Account]],Accounts[],COLUMN(Accounts[Currency])-COLUMN(Accounts[])+1,FALSE),
     Transactions[[#This Row],[OrigCashImpact]],
     0
)</f>
        <v>-43497.39</v>
      </c>
      <c r="O11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145934.27999999904</v>
      </c>
      <c r="P11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1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64" s="41">
        <f>ROW()</f>
        <v>1164</v>
      </c>
      <c r="S11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43497.39</v>
      </c>
      <c r="T11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43497.39</v>
      </c>
      <c r="U11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164" s="166">
        <f>IF(INDEX(TransTypes[],Transactions[[#This Row],[TTR]],TT_COL_GLFlag)=1,Transactions[[#This Row],[CalCashImpact]]+Transactions[[#This Row],[CostImpact]],0)</f>
        <v>0</v>
      </c>
      <c r="W1164" s="167">
        <f>Transactions[[#This Row],[Amount]]*INDEX(TransTypes[],Transactions[[#This Row],[TTR]],TT_COL_AmntSign)</f>
        <v>-43497.39</v>
      </c>
      <c r="X1164" s="167">
        <f>IF(INDEX(TransTypes[],Transactions[[#This Row],[TTR]],TT_COL_LONGORSHORT)="S",
      IF( OR(INDEX(TransTypes[],Transactions[[#This Row],[TTR]],TT_COL_GLFlag)=1, INDEX(TransTypes[], Transactions[[#This Row],[TTR]], TT_COL_ShareTransferFlag)=1),
            Transactions[[#This Row],[CostImpact]]*-1,
            Transactions[[#This Row],[CalCashImpact]]
      ),
     0
)</f>
        <v>0</v>
      </c>
      <c r="Y1164" s="168" t="str">
        <f>VLOOKUP(Transactions[[#This Row],[Symbol]],Symbols[], COLUMN(Symbols[Currency])-COLUMN(Symbols[])+1,FALSE)</f>
        <v>CNY</v>
      </c>
    </row>
    <row r="1165" spans="1:25">
      <c r="A1165" s="155" t="s">
        <v>82</v>
      </c>
      <c r="B1165" s="156">
        <v>42503</v>
      </c>
      <c r="C1165" s="155" t="s">
        <v>113</v>
      </c>
      <c r="D1165" s="155"/>
      <c r="E1165" s="155" t="s">
        <v>705</v>
      </c>
      <c r="F1165" s="157">
        <v>2000</v>
      </c>
      <c r="G1165" s="158">
        <v>17.97</v>
      </c>
      <c r="H1165" s="157">
        <v>15.1</v>
      </c>
      <c r="I1165" s="157"/>
      <c r="J1165" s="159">
        <v>35955.1</v>
      </c>
      <c r="K1165" s="6" t="s">
        <v>641</v>
      </c>
      <c r="L1165" s="20">
        <f>IF(ISNA(MATCH(Transactions[[#This Row],[TransType]],TransTypes[TransType],0)),1,MATCH(Transactions[[#This Row],[TransType]],TransTypes[TransType],0))</f>
        <v>2</v>
      </c>
      <c r="M1165" s="160">
        <f>IF( AND( INDEX(TransTypes[],Transactions[[#This Row],[TTR]],TT_COL_GLFlag)=1, INDEX(TransTypes[],Transactions[[#This Row],[TTR]],TT_COL_LONGORSHORT)="S" ),
      Transactions[[#This Row],[PL]],
      IF(INDEX(TransTypes[],Transactions[[#This Row],[TTR]],TT_COL_LONGORSHORT)="S",0,Transactions[[#This Row],[CalCashImpact]])
)</f>
        <v>-35955.1</v>
      </c>
      <c r="N1165" s="161">
        <f>IF(VLOOKUP(Transactions[[#This Row],[Symbol]],Symbols[],COLUMN(Symbols[Currency])-COLUMN(Symbols[])+1,FALSE)=
       VLOOKUP(Transactions[[#This Row],[Account]],Accounts[],COLUMN(Accounts[Currency])-COLUMN(Accounts[])+1,FALSE),
     Transactions[[#This Row],[OrigCashImpact]],
     0
)</f>
        <v>-35955.1</v>
      </c>
      <c r="O11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109979.17999999906</v>
      </c>
      <c r="P11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1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65" s="41">
        <f>ROW()</f>
        <v>1165</v>
      </c>
      <c r="S11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35955.1</v>
      </c>
      <c r="T11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35955.1</v>
      </c>
      <c r="U11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165" s="166">
        <f>IF(INDEX(TransTypes[],Transactions[[#This Row],[TTR]],TT_COL_GLFlag)=1,Transactions[[#This Row],[CalCashImpact]]+Transactions[[#This Row],[CostImpact]],0)</f>
        <v>0</v>
      </c>
      <c r="W1165" s="167">
        <f>Transactions[[#This Row],[Amount]]*INDEX(TransTypes[],Transactions[[#This Row],[TTR]],TT_COL_AmntSign)</f>
        <v>-35955.1</v>
      </c>
      <c r="X1165" s="167">
        <f>IF(INDEX(TransTypes[],Transactions[[#This Row],[TTR]],TT_COL_LONGORSHORT)="S",
      IF( OR(INDEX(TransTypes[],Transactions[[#This Row],[TTR]],TT_COL_GLFlag)=1, INDEX(TransTypes[], Transactions[[#This Row],[TTR]], TT_COL_ShareTransferFlag)=1),
            Transactions[[#This Row],[CostImpact]]*-1,
            Transactions[[#This Row],[CalCashImpact]]
      ),
     0
)</f>
        <v>0</v>
      </c>
      <c r="Y1165" s="168" t="str">
        <f>VLOOKUP(Transactions[[#This Row],[Symbol]],Symbols[], COLUMN(Symbols[Currency])-COLUMN(Symbols[])+1,FALSE)</f>
        <v>CNY</v>
      </c>
    </row>
    <row r="1166" spans="1:25">
      <c r="A1166" s="155" t="s">
        <v>82</v>
      </c>
      <c r="B1166" s="156">
        <v>42508</v>
      </c>
      <c r="C1166" s="155" t="s">
        <v>113</v>
      </c>
      <c r="D1166" s="155"/>
      <c r="E1166" s="155" t="s">
        <v>704</v>
      </c>
      <c r="F1166" s="157">
        <v>1000</v>
      </c>
      <c r="G1166" s="158">
        <v>20.8</v>
      </c>
      <c r="H1166" s="157">
        <v>8.32</v>
      </c>
      <c r="I1166" s="157"/>
      <c r="J1166" s="159">
        <v>20808.32</v>
      </c>
      <c r="K1166" s="6" t="s">
        <v>641</v>
      </c>
      <c r="L1166" s="20">
        <f>IF(ISNA(MATCH(Transactions[[#This Row],[TransType]],TransTypes[TransType],0)),1,MATCH(Transactions[[#This Row],[TransType]],TransTypes[TransType],0))</f>
        <v>2</v>
      </c>
      <c r="M1166" s="160">
        <f>IF( AND( INDEX(TransTypes[],Transactions[[#This Row],[TTR]],TT_COL_GLFlag)=1, INDEX(TransTypes[],Transactions[[#This Row],[TTR]],TT_COL_LONGORSHORT)="S" ),
      Transactions[[#This Row],[PL]],
      IF(INDEX(TransTypes[],Transactions[[#This Row],[TTR]],TT_COL_LONGORSHORT)="S",0,Transactions[[#This Row],[CalCashImpact]])
)</f>
        <v>-20808.32</v>
      </c>
      <c r="N1166" s="161">
        <f>IF(VLOOKUP(Transactions[[#This Row],[Symbol]],Symbols[],COLUMN(Symbols[Currency])-COLUMN(Symbols[])+1,FALSE)=
       VLOOKUP(Transactions[[#This Row],[Account]],Accounts[],COLUMN(Accounts[Currency])-COLUMN(Accounts[])+1,FALSE),
     Transactions[[#This Row],[OrigCashImpact]],
     0
)</f>
        <v>-20808.32</v>
      </c>
      <c r="O11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89170.859999999026</v>
      </c>
      <c r="P11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66" s="41">
        <f>ROW()</f>
        <v>1166</v>
      </c>
      <c r="S11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20808.32</v>
      </c>
      <c r="T11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64305.71</v>
      </c>
      <c r="U11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166" s="166">
        <f>IF(INDEX(TransTypes[],Transactions[[#This Row],[TTR]],TT_COL_GLFlag)=1,Transactions[[#This Row],[CalCashImpact]]+Transactions[[#This Row],[CostImpact]],0)</f>
        <v>0</v>
      </c>
      <c r="W1166" s="167">
        <f>Transactions[[#This Row],[Amount]]*INDEX(TransTypes[],Transactions[[#This Row],[TTR]],TT_COL_AmntSign)</f>
        <v>-20808.32</v>
      </c>
      <c r="X1166" s="167">
        <f>IF(INDEX(TransTypes[],Transactions[[#This Row],[TTR]],TT_COL_LONGORSHORT)="S",
      IF( OR(INDEX(TransTypes[],Transactions[[#This Row],[TTR]],TT_COL_GLFlag)=1, INDEX(TransTypes[], Transactions[[#This Row],[TTR]], TT_COL_ShareTransferFlag)=1),
            Transactions[[#This Row],[CostImpact]]*-1,
            Transactions[[#This Row],[CalCashImpact]]
      ),
     0
)</f>
        <v>0</v>
      </c>
      <c r="Y1166" s="168" t="str">
        <f>VLOOKUP(Transactions[[#This Row],[Symbol]],Symbols[], COLUMN(Symbols[Currency])-COLUMN(Symbols[])+1,FALSE)</f>
        <v>CNY</v>
      </c>
    </row>
    <row r="1167" spans="1:25">
      <c r="A1167" s="155" t="s">
        <v>82</v>
      </c>
      <c r="B1167" s="156">
        <v>42513</v>
      </c>
      <c r="C1167" s="155" t="s">
        <v>118</v>
      </c>
      <c r="D1167" s="155"/>
      <c r="E1167" s="155" t="s">
        <v>705</v>
      </c>
      <c r="F1167" s="157"/>
      <c r="G1167" s="158"/>
      <c r="H1167" s="157"/>
      <c r="I1167" s="157"/>
      <c r="J1167" s="159">
        <v>400</v>
      </c>
      <c r="K1167" s="6" t="s">
        <v>641</v>
      </c>
      <c r="L1167" s="20">
        <f>IF(ISNA(MATCH(Transactions[[#This Row],[TransType]],TransTypes[TransType],0)),1,MATCH(Transactions[[#This Row],[TransType]],TransTypes[TransType],0))</f>
        <v>4</v>
      </c>
      <c r="M1167" s="160">
        <f>IF( AND( INDEX(TransTypes[],Transactions[[#This Row],[TTR]],TT_COL_GLFlag)=1, INDEX(TransTypes[],Transactions[[#This Row],[TTR]],TT_COL_LONGORSHORT)="S" ),
      Transactions[[#This Row],[PL]],
      IF(INDEX(TransTypes[],Transactions[[#This Row],[TTR]],TT_COL_LONGORSHORT)="S",0,Transactions[[#This Row],[CalCashImpact]])
)</f>
        <v>400</v>
      </c>
      <c r="N1167" s="161">
        <f>IF(VLOOKUP(Transactions[[#This Row],[Symbol]],Symbols[],COLUMN(Symbols[Currency])-COLUMN(Symbols[])+1,FALSE)=
       VLOOKUP(Transactions[[#This Row],[Account]],Accounts[],COLUMN(Accounts[Currency])-COLUMN(Accounts[])+1,FALSE),
     Transactions[[#This Row],[OrigCashImpact]],
     0
)</f>
        <v>400</v>
      </c>
      <c r="O11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89570.859999999026</v>
      </c>
      <c r="P11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167" s="41">
        <f>ROW()</f>
        <v>1167</v>
      </c>
      <c r="S11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35955.1</v>
      </c>
      <c r="U11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167" s="166">
        <f>IF(INDEX(TransTypes[],Transactions[[#This Row],[TTR]],TT_COL_GLFlag)=1,Transactions[[#This Row],[CalCashImpact]]+Transactions[[#This Row],[CostImpact]],0)</f>
        <v>0</v>
      </c>
      <c r="W1167" s="167">
        <f>Transactions[[#This Row],[Amount]]*INDEX(TransTypes[],Transactions[[#This Row],[TTR]],TT_COL_AmntSign)</f>
        <v>400</v>
      </c>
      <c r="X1167" s="167">
        <f>IF(INDEX(TransTypes[],Transactions[[#This Row],[TTR]],TT_COL_LONGORSHORT)="S",
      IF( OR(INDEX(TransTypes[],Transactions[[#This Row],[TTR]],TT_COL_GLFlag)=1, INDEX(TransTypes[], Transactions[[#This Row],[TTR]], TT_COL_ShareTransferFlag)=1),
            Transactions[[#This Row],[CostImpact]]*-1,
            Transactions[[#This Row],[CalCashImpact]]
      ),
     0
)</f>
        <v>0</v>
      </c>
      <c r="Y1167" s="168" t="str">
        <f>VLOOKUP(Transactions[[#This Row],[Symbol]],Symbols[], COLUMN(Symbols[Currency])-COLUMN(Symbols[])+1,FALSE)</f>
        <v>CNY</v>
      </c>
    </row>
    <row r="1168" spans="1:25">
      <c r="A1168" s="155" t="s">
        <v>82</v>
      </c>
      <c r="B1168" s="156">
        <v>42517</v>
      </c>
      <c r="C1168" s="155" t="s">
        <v>115</v>
      </c>
      <c r="D1168" s="155"/>
      <c r="E1168" s="155" t="s">
        <v>692</v>
      </c>
      <c r="F1168" s="157">
        <v>60000</v>
      </c>
      <c r="G1168" s="158">
        <v>0.75800000000000001</v>
      </c>
      <c r="H1168" s="157">
        <v>18.190000000000001</v>
      </c>
      <c r="I1168" s="157"/>
      <c r="J1168" s="159">
        <v>45461.81</v>
      </c>
      <c r="K1168" s="6" t="s">
        <v>641</v>
      </c>
      <c r="L1168" s="20">
        <f>IF(ISNA(MATCH(Transactions[[#This Row],[TransType]],TransTypes[TransType],0)),1,MATCH(Transactions[[#This Row],[TransType]],TransTypes[TransType],0))</f>
        <v>3</v>
      </c>
      <c r="M1168" s="160">
        <f>IF( AND( INDEX(TransTypes[],Transactions[[#This Row],[TTR]],TT_COL_GLFlag)=1, INDEX(TransTypes[],Transactions[[#This Row],[TTR]],TT_COL_LONGORSHORT)="S" ),
      Transactions[[#This Row],[PL]],
      IF(INDEX(TransTypes[],Transactions[[#This Row],[TTR]],TT_COL_LONGORSHORT)="S",0,Transactions[[#This Row],[CalCashImpact]])
)</f>
        <v>45461.81</v>
      </c>
      <c r="N1168" s="161">
        <f>IF(VLOOKUP(Transactions[[#This Row],[Symbol]],Symbols[],COLUMN(Symbols[Currency])-COLUMN(Symbols[])+1,FALSE)=
       VLOOKUP(Transactions[[#This Row],[Account]],Accounts[],COLUMN(Accounts[Currency])-COLUMN(Accounts[])+1,FALSE),
     Transactions[[#This Row],[OrigCashImpact]],
     0
)</f>
        <v>45461.81</v>
      </c>
      <c r="O11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135032.66999999902</v>
      </c>
      <c r="P11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11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646900</v>
      </c>
      <c r="R1168" s="41">
        <f>ROW()</f>
        <v>1168</v>
      </c>
      <c r="S11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-46858.543499787804</v>
      </c>
      <c r="T11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505213.19650021219</v>
      </c>
      <c r="U11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706900</v>
      </c>
      <c r="V1168" s="166">
        <f>IF(INDEX(TransTypes[],Transactions[[#This Row],[TTR]],TT_COL_GLFlag)=1,Transactions[[#This Row],[CalCashImpact]]+Transactions[[#This Row],[CostImpact]],0)</f>
        <v>-1396.7334997878061</v>
      </c>
      <c r="W1168" s="167">
        <f>Transactions[[#This Row],[Amount]]*INDEX(TransTypes[],Transactions[[#This Row],[TTR]],TT_COL_AmntSign)</f>
        <v>45461.81</v>
      </c>
      <c r="X1168" s="167">
        <f>IF(INDEX(TransTypes[],Transactions[[#This Row],[TTR]],TT_COL_LONGORSHORT)="S",
      IF( OR(INDEX(TransTypes[],Transactions[[#This Row],[TTR]],TT_COL_GLFlag)=1, INDEX(TransTypes[], Transactions[[#This Row],[TTR]], TT_COL_ShareTransferFlag)=1),
            Transactions[[#This Row],[CostImpact]]*-1,
            Transactions[[#This Row],[CalCashImpact]]
      ),
     0
)</f>
        <v>0</v>
      </c>
      <c r="Y1168" s="168" t="str">
        <f>VLOOKUP(Transactions[[#This Row],[Symbol]],Symbols[], COLUMN(Symbols[Currency])-COLUMN(Symbols[])+1,FALSE)</f>
        <v>CNY</v>
      </c>
    </row>
    <row r="1169" spans="1:25">
      <c r="A1169" s="155" t="s">
        <v>82</v>
      </c>
      <c r="B1169" s="156">
        <v>42517</v>
      </c>
      <c r="C1169" s="155" t="s">
        <v>113</v>
      </c>
      <c r="D1169" s="155"/>
      <c r="E1169" s="155" t="s">
        <v>699</v>
      </c>
      <c r="F1169" s="157">
        <v>16000</v>
      </c>
      <c r="G1169" s="158">
        <v>2.5720000000000001</v>
      </c>
      <c r="H1169" s="157">
        <v>16.46</v>
      </c>
      <c r="I1169" s="157"/>
      <c r="J1169" s="159">
        <v>41168.46</v>
      </c>
      <c r="K1169" s="6" t="s">
        <v>641</v>
      </c>
      <c r="L1169" s="20">
        <f>IF(ISNA(MATCH(Transactions[[#This Row],[TransType]],TransTypes[TransType],0)),1,MATCH(Transactions[[#This Row],[TransType]],TransTypes[TransType],0))</f>
        <v>2</v>
      </c>
      <c r="M1169" s="160">
        <f>IF( AND( INDEX(TransTypes[],Transactions[[#This Row],[TTR]],TT_COL_GLFlag)=1, INDEX(TransTypes[],Transactions[[#This Row],[TTR]],TT_COL_LONGORSHORT)="S" ),
      Transactions[[#This Row],[PL]],
      IF(INDEX(TransTypes[],Transactions[[#This Row],[TTR]],TT_COL_LONGORSHORT)="S",0,Transactions[[#This Row],[CalCashImpact]])
)</f>
        <v>-41168.46</v>
      </c>
      <c r="N1169" s="161">
        <f>IF(VLOOKUP(Transactions[[#This Row],[Symbol]],Symbols[],COLUMN(Symbols[Currency])-COLUMN(Symbols[])+1,FALSE)=
       VLOOKUP(Transactions[[#This Row],[Account]],Accounts[],COLUMN(Accounts[Currency])-COLUMN(Accounts[])+1,FALSE),
     Transactions[[#This Row],[OrigCashImpact]],
     0
)</f>
        <v>-41168.46</v>
      </c>
      <c r="O11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93864.209999999031</v>
      </c>
      <c r="P11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16000</v>
      </c>
      <c r="Q11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79000</v>
      </c>
      <c r="R1169" s="41">
        <f>ROW()</f>
        <v>1169</v>
      </c>
      <c r="S11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41168.46</v>
      </c>
      <c r="T11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209531.55999999997</v>
      </c>
      <c r="U11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79000</v>
      </c>
      <c r="V1169" s="166">
        <f>IF(INDEX(TransTypes[],Transactions[[#This Row],[TTR]],TT_COL_GLFlag)=1,Transactions[[#This Row],[CalCashImpact]]+Transactions[[#This Row],[CostImpact]],0)</f>
        <v>0</v>
      </c>
      <c r="W1169" s="167">
        <f>Transactions[[#This Row],[Amount]]*INDEX(TransTypes[],Transactions[[#This Row],[TTR]],TT_COL_AmntSign)</f>
        <v>-41168.46</v>
      </c>
      <c r="X1169" s="167">
        <f>IF(INDEX(TransTypes[],Transactions[[#This Row],[TTR]],TT_COL_LONGORSHORT)="S",
      IF( OR(INDEX(TransTypes[],Transactions[[#This Row],[TTR]],TT_COL_GLFlag)=1, INDEX(TransTypes[], Transactions[[#This Row],[TTR]], TT_COL_ShareTransferFlag)=1),
            Transactions[[#This Row],[CostImpact]]*-1,
            Transactions[[#This Row],[CalCashImpact]]
      ),
     0
)</f>
        <v>0</v>
      </c>
      <c r="Y1169" s="168" t="str">
        <f>VLOOKUP(Transactions[[#This Row],[Symbol]],Symbols[], COLUMN(Symbols[Currency])-COLUMN(Symbols[])+1,FALSE)</f>
        <v>CNY</v>
      </c>
    </row>
    <row r="1170" spans="1:25">
      <c r="A1170" s="155" t="s">
        <v>82</v>
      </c>
      <c r="B1170" s="156">
        <v>42517</v>
      </c>
      <c r="C1170" s="155" t="s">
        <v>113</v>
      </c>
      <c r="D1170" s="155"/>
      <c r="E1170" s="155" t="s">
        <v>488</v>
      </c>
      <c r="F1170" s="157">
        <v>5000</v>
      </c>
      <c r="G1170" s="158">
        <v>14.21</v>
      </c>
      <c r="H1170" s="157">
        <v>29.84</v>
      </c>
      <c r="I1170" s="157"/>
      <c r="J1170" s="159">
        <v>71079.839999999997</v>
      </c>
      <c r="K1170" s="6" t="s">
        <v>641</v>
      </c>
      <c r="L1170" s="20">
        <f>IF(ISNA(MATCH(Transactions[[#This Row],[TransType]],TransTypes[TransType],0)),1,MATCH(Transactions[[#This Row],[TransType]],TransTypes[TransType],0))</f>
        <v>2</v>
      </c>
      <c r="M1170" s="160">
        <f>IF( AND( INDEX(TransTypes[],Transactions[[#This Row],[TTR]],TT_COL_GLFlag)=1, INDEX(TransTypes[],Transactions[[#This Row],[TTR]],TT_COL_LONGORSHORT)="S" ),
      Transactions[[#This Row],[PL]],
      IF(INDEX(TransTypes[],Transactions[[#This Row],[TTR]],TT_COL_LONGORSHORT)="S",0,Transactions[[#This Row],[CalCashImpact]])
)</f>
        <v>-71079.839999999997</v>
      </c>
      <c r="N1170" s="161">
        <f>IF(VLOOKUP(Transactions[[#This Row],[Symbol]],Symbols[],COLUMN(Symbols[Currency])-COLUMN(Symbols[])+1,FALSE)=
       VLOOKUP(Transactions[[#This Row],[Account]],Accounts[],COLUMN(Accounts[Currency])-COLUMN(Accounts[])+1,FALSE),
     Transactions[[#This Row],[OrigCashImpact]],
     0
)</f>
        <v>-71079.839999999997</v>
      </c>
      <c r="O11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22784.369999999035</v>
      </c>
      <c r="P11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1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170" s="41">
        <f>ROW()</f>
        <v>1170</v>
      </c>
      <c r="S11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71079.839999999997</v>
      </c>
      <c r="T11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71079.839999999997</v>
      </c>
      <c r="U11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70" s="166">
        <f>IF(INDEX(TransTypes[],Transactions[[#This Row],[TTR]],TT_COL_GLFlag)=1,Transactions[[#This Row],[CalCashImpact]]+Transactions[[#This Row],[CostImpact]],0)</f>
        <v>0</v>
      </c>
      <c r="W1170" s="167">
        <f>Transactions[[#This Row],[Amount]]*INDEX(TransTypes[],Transactions[[#This Row],[TTR]],TT_COL_AmntSign)</f>
        <v>-71079.839999999997</v>
      </c>
      <c r="X1170" s="167">
        <f>IF(INDEX(TransTypes[],Transactions[[#This Row],[TTR]],TT_COL_LONGORSHORT)="S",
      IF( OR(INDEX(TransTypes[],Transactions[[#This Row],[TTR]],TT_COL_GLFlag)=1, INDEX(TransTypes[], Transactions[[#This Row],[TTR]], TT_COL_ShareTransferFlag)=1),
            Transactions[[#This Row],[CostImpact]]*-1,
            Transactions[[#This Row],[CalCashImpact]]
      ),
     0
)</f>
        <v>0</v>
      </c>
      <c r="Y1170" s="168" t="str">
        <f>VLOOKUP(Transactions[[#This Row],[Symbol]],Symbols[], COLUMN(Symbols[Currency])-COLUMN(Symbols[])+1,FALSE)</f>
        <v>CNY</v>
      </c>
    </row>
    <row r="1171" spans="1:25">
      <c r="A1171" s="155" t="s">
        <v>82</v>
      </c>
      <c r="B1171" s="156">
        <v>42520</v>
      </c>
      <c r="C1171" s="155" t="s">
        <v>115</v>
      </c>
      <c r="D1171" s="155"/>
      <c r="E1171" s="155" t="s">
        <v>692</v>
      </c>
      <c r="F1171" s="157">
        <v>100000</v>
      </c>
      <c r="G1171" s="158">
        <v>0.76200000000000001</v>
      </c>
      <c r="H1171" s="157">
        <v>30.48</v>
      </c>
      <c r="I1171" s="157"/>
      <c r="J1171" s="159">
        <v>76169.52</v>
      </c>
      <c r="K1171" s="6" t="s">
        <v>641</v>
      </c>
      <c r="L1171" s="20">
        <f>IF(ISNA(MATCH(Transactions[[#This Row],[TransType]],TransTypes[TransType],0)),1,MATCH(Transactions[[#This Row],[TransType]],TransTypes[TransType],0))</f>
        <v>3</v>
      </c>
      <c r="M1171" s="160">
        <f>IF( AND( INDEX(TransTypes[],Transactions[[#This Row],[TTR]],TT_COL_GLFlag)=1, INDEX(TransTypes[],Transactions[[#This Row],[TTR]],TT_COL_LONGORSHORT)="S" ),
      Transactions[[#This Row],[PL]],
      IF(INDEX(TransTypes[],Transactions[[#This Row],[TTR]],TT_COL_LONGORSHORT)="S",0,Transactions[[#This Row],[CalCashImpact]])
)</f>
        <v>76169.52</v>
      </c>
      <c r="N1171" s="161">
        <f>IF(VLOOKUP(Transactions[[#This Row],[Symbol]],Symbols[],COLUMN(Symbols[Currency])-COLUMN(Symbols[])+1,FALSE)=
       VLOOKUP(Transactions[[#This Row],[Account]],Accounts[],COLUMN(Accounts[Currency])-COLUMN(Accounts[])+1,FALSE),
     Transactions[[#This Row],[OrigCashImpact]],
     0
)</f>
        <v>76169.52</v>
      </c>
      <c r="O11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98953.889999999039</v>
      </c>
      <c r="P11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11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546900</v>
      </c>
      <c r="R1171" s="41">
        <f>ROW()</f>
        <v>1171</v>
      </c>
      <c r="S11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-78097.57249964634</v>
      </c>
      <c r="T11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427115.62400056585</v>
      </c>
      <c r="U11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646900</v>
      </c>
      <c r="V1171" s="166">
        <f>IF(INDEX(TransTypes[],Transactions[[#This Row],[TTR]],TT_COL_GLFlag)=1,Transactions[[#This Row],[CalCashImpact]]+Transactions[[#This Row],[CostImpact]],0)</f>
        <v>-1928.0524996463355</v>
      </c>
      <c r="W1171" s="167">
        <f>Transactions[[#This Row],[Amount]]*INDEX(TransTypes[],Transactions[[#This Row],[TTR]],TT_COL_AmntSign)</f>
        <v>76169.52</v>
      </c>
      <c r="X1171" s="167">
        <f>IF(INDEX(TransTypes[],Transactions[[#This Row],[TTR]],TT_COL_LONGORSHORT)="S",
      IF( OR(INDEX(TransTypes[],Transactions[[#This Row],[TTR]],TT_COL_GLFlag)=1, INDEX(TransTypes[], Transactions[[#This Row],[TTR]], TT_COL_ShareTransferFlag)=1),
            Transactions[[#This Row],[CostImpact]]*-1,
            Transactions[[#This Row],[CalCashImpact]]
      ),
     0
)</f>
        <v>0</v>
      </c>
      <c r="Y1171" s="168" t="str">
        <f>VLOOKUP(Transactions[[#This Row],[Symbol]],Symbols[], COLUMN(Symbols[Currency])-COLUMN(Symbols[])+1,FALSE)</f>
        <v>CNY</v>
      </c>
    </row>
    <row r="1172" spans="1:25">
      <c r="A1172" s="155" t="s">
        <v>82</v>
      </c>
      <c r="B1172" s="156">
        <v>42521</v>
      </c>
      <c r="C1172" s="155" t="s">
        <v>113</v>
      </c>
      <c r="D1172" s="155"/>
      <c r="E1172" s="155" t="s">
        <v>703</v>
      </c>
      <c r="F1172" s="157">
        <v>4000</v>
      </c>
      <c r="G1172" s="158">
        <v>21.44</v>
      </c>
      <c r="H1172" s="157">
        <v>34.299999999999997</v>
      </c>
      <c r="I1172" s="157"/>
      <c r="J1172" s="159">
        <v>85794.3</v>
      </c>
      <c r="K1172" s="6" t="s">
        <v>641</v>
      </c>
      <c r="L1172" s="20">
        <f>IF(ISNA(MATCH(Transactions[[#This Row],[TransType]],TransTypes[TransType],0)),1,MATCH(Transactions[[#This Row],[TransType]],TransTypes[TransType],0))</f>
        <v>2</v>
      </c>
      <c r="M1172" s="160">
        <f>IF( AND( INDEX(TransTypes[],Transactions[[#This Row],[TTR]],TT_COL_GLFlag)=1, INDEX(TransTypes[],Transactions[[#This Row],[TTR]],TT_COL_LONGORSHORT)="S" ),
      Transactions[[#This Row],[PL]],
      IF(INDEX(TransTypes[],Transactions[[#This Row],[TTR]],TT_COL_LONGORSHORT)="S",0,Transactions[[#This Row],[CalCashImpact]])
)</f>
        <v>-85794.3</v>
      </c>
      <c r="N1172" s="161">
        <f>IF(VLOOKUP(Transactions[[#This Row],[Symbol]],Symbols[],COLUMN(Symbols[Currency])-COLUMN(Symbols[])+1,FALSE)=
       VLOOKUP(Transactions[[#This Row],[Account]],Accounts[],COLUMN(Accounts[Currency])-COLUMN(Accounts[])+1,FALSE),
     Transactions[[#This Row],[OrigCashImpact]],
     0
)</f>
        <v>-85794.3</v>
      </c>
      <c r="O11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13159.589999999036</v>
      </c>
      <c r="P11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1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172" s="41">
        <f>ROW()</f>
        <v>1172</v>
      </c>
      <c r="S11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85794.3</v>
      </c>
      <c r="T11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128431.35</v>
      </c>
      <c r="U11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172" s="166">
        <f>IF(INDEX(TransTypes[],Transactions[[#This Row],[TTR]],TT_COL_GLFlag)=1,Transactions[[#This Row],[CalCashImpact]]+Transactions[[#This Row],[CostImpact]],0)</f>
        <v>0</v>
      </c>
      <c r="W1172" s="167">
        <f>Transactions[[#This Row],[Amount]]*INDEX(TransTypes[],Transactions[[#This Row],[TTR]],TT_COL_AmntSign)</f>
        <v>-85794.3</v>
      </c>
      <c r="X1172" s="167">
        <f>IF(INDEX(TransTypes[],Transactions[[#This Row],[TTR]],TT_COL_LONGORSHORT)="S",
      IF( OR(INDEX(TransTypes[],Transactions[[#This Row],[TTR]],TT_COL_GLFlag)=1, INDEX(TransTypes[], Transactions[[#This Row],[TTR]], TT_COL_ShareTransferFlag)=1),
            Transactions[[#This Row],[CostImpact]]*-1,
            Transactions[[#This Row],[CalCashImpact]]
      ),
     0
)</f>
        <v>0</v>
      </c>
      <c r="Y1172" s="168" t="str">
        <f>VLOOKUP(Transactions[[#This Row],[Symbol]],Symbols[], COLUMN(Symbols[Currency])-COLUMN(Symbols[])+1,FALSE)</f>
        <v>CNY</v>
      </c>
    </row>
    <row r="1173" spans="1:25">
      <c r="A1173" s="155" t="s">
        <v>82</v>
      </c>
      <c r="B1173" s="156">
        <v>42522</v>
      </c>
      <c r="C1173" s="155" t="s">
        <v>113</v>
      </c>
      <c r="D1173" s="155"/>
      <c r="E1173" s="155" t="s">
        <v>698</v>
      </c>
      <c r="F1173" s="157">
        <v>8000</v>
      </c>
      <c r="G1173" s="158">
        <v>39.74</v>
      </c>
      <c r="H1173" s="157">
        <v>127.17</v>
      </c>
      <c r="I1173" s="157"/>
      <c r="J1173" s="159">
        <v>318047.17</v>
      </c>
      <c r="K1173" s="6" t="s">
        <v>641</v>
      </c>
      <c r="L1173" s="20">
        <f>IF(ISNA(MATCH(Transactions[[#This Row],[TransType]],TransTypes[TransType],0)),1,MATCH(Transactions[[#This Row],[TransType]],TransTypes[TransType],0))</f>
        <v>2</v>
      </c>
      <c r="M1173" s="160">
        <f>IF( AND( INDEX(TransTypes[],Transactions[[#This Row],[TTR]],TT_COL_GLFlag)=1, INDEX(TransTypes[],Transactions[[#This Row],[TTR]],TT_COL_LONGORSHORT)="S" ),
      Transactions[[#This Row],[PL]],
      IF(INDEX(TransTypes[],Transactions[[#This Row],[TTR]],TT_COL_LONGORSHORT)="S",0,Transactions[[#This Row],[CalCashImpact]])
)</f>
        <v>-318047.17</v>
      </c>
      <c r="N1173" s="161">
        <f>IF(VLOOKUP(Transactions[[#This Row],[Symbol]],Symbols[],COLUMN(Symbols[Currency])-COLUMN(Symbols[])+1,FALSE)=
       VLOOKUP(Transactions[[#This Row],[Account]],Accounts[],COLUMN(Accounts[Currency])-COLUMN(Accounts[])+1,FALSE),
     Transactions[[#This Row],[OrigCashImpact]],
     0
)</f>
        <v>-318047.17</v>
      </c>
      <c r="O11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-304887.58000000095</v>
      </c>
      <c r="P11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1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173" s="41">
        <f>ROW()</f>
        <v>1173</v>
      </c>
      <c r="S11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318047.17</v>
      </c>
      <c r="T11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318047.17</v>
      </c>
      <c r="U11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173" s="166">
        <f>IF(INDEX(TransTypes[],Transactions[[#This Row],[TTR]],TT_COL_GLFlag)=1,Transactions[[#This Row],[CalCashImpact]]+Transactions[[#This Row],[CostImpact]],0)</f>
        <v>0</v>
      </c>
      <c r="W1173" s="167">
        <f>Transactions[[#This Row],[Amount]]*INDEX(TransTypes[],Transactions[[#This Row],[TTR]],TT_COL_AmntSign)</f>
        <v>-318047.17</v>
      </c>
      <c r="X1173" s="167">
        <f>IF(INDEX(TransTypes[],Transactions[[#This Row],[TTR]],TT_COL_LONGORSHORT)="S",
      IF( OR(INDEX(TransTypes[],Transactions[[#This Row],[TTR]],TT_COL_GLFlag)=1, INDEX(TransTypes[], Transactions[[#This Row],[TTR]], TT_COL_ShareTransferFlag)=1),
            Transactions[[#This Row],[CostImpact]]*-1,
            Transactions[[#This Row],[CalCashImpact]]
      ),
     0
)</f>
        <v>0</v>
      </c>
      <c r="Y1173" s="168" t="str">
        <f>VLOOKUP(Transactions[[#This Row],[Symbol]],Symbols[], COLUMN(Symbols[Currency])-COLUMN(Symbols[])+1,FALSE)</f>
        <v>CNY</v>
      </c>
    </row>
    <row r="1174" spans="1:25">
      <c r="A1174" s="155" t="s">
        <v>82</v>
      </c>
      <c r="B1174" s="156">
        <v>42522</v>
      </c>
      <c r="C1174" s="155" t="s">
        <v>115</v>
      </c>
      <c r="D1174" s="155"/>
      <c r="E1174" s="155" t="s">
        <v>692</v>
      </c>
      <c r="F1174" s="157">
        <v>546900</v>
      </c>
      <c r="G1174" s="158">
        <v>0.77200000000000002</v>
      </c>
      <c r="H1174" s="157">
        <v>168.92</v>
      </c>
      <c r="I1174" s="157"/>
      <c r="J1174" s="159">
        <v>422037.88</v>
      </c>
      <c r="K1174" s="6" t="s">
        <v>641</v>
      </c>
      <c r="L1174" s="20">
        <f>IF(ISNA(MATCH(Transactions[[#This Row],[TransType]],TransTypes[TransType],0)),1,MATCH(Transactions[[#This Row],[TransType]],TransTypes[TransType],0))</f>
        <v>3</v>
      </c>
      <c r="M1174" s="160">
        <f>IF( AND( INDEX(TransTypes[],Transactions[[#This Row],[TTR]],TT_COL_GLFlag)=1, INDEX(TransTypes[],Transactions[[#This Row],[TTR]],TT_COL_LONGORSHORT)="S" ),
      Transactions[[#This Row],[PL]],
      IF(INDEX(TransTypes[],Transactions[[#This Row],[TTR]],TT_COL_LONGORSHORT)="S",0,Transactions[[#This Row],[CalCashImpact]])
)</f>
        <v>422037.88</v>
      </c>
      <c r="N1174" s="161">
        <f>IF(VLOOKUP(Transactions[[#This Row],[Symbol]],Symbols[],COLUMN(Symbols[Currency])-COLUMN(Symbols[])+1,FALSE)=
       VLOOKUP(Transactions[[#This Row],[Account]],Accounts[],COLUMN(Accounts[Currency])-COLUMN(Accounts[])+1,FALSE),
     Transactions[[#This Row],[OrigCashImpact]],
     0
)</f>
        <v>422037.88</v>
      </c>
      <c r="O11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117150.29999999906</v>
      </c>
      <c r="P11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-546900</v>
      </c>
      <c r="Q11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74" s="41">
        <f>ROW()</f>
        <v>1174</v>
      </c>
      <c r="S11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-427115.62400056585</v>
      </c>
      <c r="T11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546900</v>
      </c>
      <c r="V1174" s="166">
        <f>IF(INDEX(TransTypes[],Transactions[[#This Row],[TTR]],TT_COL_GLFlag)=1,Transactions[[#This Row],[CalCashImpact]]+Transactions[[#This Row],[CostImpact]],0)</f>
        <v>-5077.7440005658427</v>
      </c>
      <c r="W1174" s="167">
        <f>Transactions[[#This Row],[Amount]]*INDEX(TransTypes[],Transactions[[#This Row],[TTR]],TT_COL_AmntSign)</f>
        <v>422037.88</v>
      </c>
      <c r="X1174" s="167">
        <f>IF(INDEX(TransTypes[],Transactions[[#This Row],[TTR]],TT_COL_LONGORSHORT)="S",
      IF( OR(INDEX(TransTypes[],Transactions[[#This Row],[TTR]],TT_COL_GLFlag)=1, INDEX(TransTypes[], Transactions[[#This Row],[TTR]], TT_COL_ShareTransferFlag)=1),
            Transactions[[#This Row],[CostImpact]]*-1,
            Transactions[[#This Row],[CalCashImpact]]
      ),
     0
)</f>
        <v>0</v>
      </c>
      <c r="Y1174" s="168" t="str">
        <f>VLOOKUP(Transactions[[#This Row],[Symbol]],Symbols[], COLUMN(Symbols[Currency])-COLUMN(Symbols[])+1,FALSE)</f>
        <v>CNY</v>
      </c>
    </row>
    <row r="1175" spans="1:25">
      <c r="A1175" s="155" t="s">
        <v>82</v>
      </c>
      <c r="B1175" s="156">
        <v>42527</v>
      </c>
      <c r="C1175" s="155" t="s">
        <v>115</v>
      </c>
      <c r="D1175" s="155"/>
      <c r="E1175" s="155" t="s">
        <v>675</v>
      </c>
      <c r="F1175" s="157">
        <v>50000</v>
      </c>
      <c r="G1175" s="158">
        <v>1.073</v>
      </c>
      <c r="H1175" s="157">
        <v>21.46</v>
      </c>
      <c r="I1175" s="157"/>
      <c r="J1175" s="159">
        <v>53628.54</v>
      </c>
      <c r="K1175" s="6" t="s">
        <v>641</v>
      </c>
      <c r="L1175" s="20">
        <f>IF(ISNA(MATCH(Transactions[[#This Row],[TransType]],TransTypes[TransType],0)),1,MATCH(Transactions[[#This Row],[TransType]],TransTypes[TransType],0))</f>
        <v>3</v>
      </c>
      <c r="M1175" s="160">
        <f>IF( AND( INDEX(TransTypes[],Transactions[[#This Row],[TTR]],TT_COL_GLFlag)=1, INDEX(TransTypes[],Transactions[[#This Row],[TTR]],TT_COL_LONGORSHORT)="S" ),
      Transactions[[#This Row],[PL]],
      IF(INDEX(TransTypes[],Transactions[[#This Row],[TTR]],TT_COL_LONGORSHORT)="S",0,Transactions[[#This Row],[CalCashImpact]])
)</f>
        <v>53628.54</v>
      </c>
      <c r="N1175" s="161">
        <f>IF(VLOOKUP(Transactions[[#This Row],[Symbol]],Symbols[],COLUMN(Symbols[Currency])-COLUMN(Symbols[])+1,FALSE)=
       VLOOKUP(Transactions[[#This Row],[Account]],Accounts[],COLUMN(Accounts[Currency])-COLUMN(Accounts[])+1,FALSE),
     Transactions[[#This Row],[OrigCashImpact]],
     0
)</f>
        <v>53628.54</v>
      </c>
      <c r="O11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170778.83999999907</v>
      </c>
      <c r="P11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1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320000</v>
      </c>
      <c r="R1175" s="41">
        <f>ROW()</f>
        <v>1175</v>
      </c>
      <c r="S11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-48949.30112612612</v>
      </c>
      <c r="T11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313275.52720720717</v>
      </c>
      <c r="U11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370000</v>
      </c>
      <c r="V1175" s="166">
        <f>IF(INDEX(TransTypes[],Transactions[[#This Row],[TTR]],TT_COL_GLFlag)=1,Transactions[[#This Row],[CalCashImpact]]+Transactions[[#This Row],[CostImpact]],0)</f>
        <v>4679.2388738738809</v>
      </c>
      <c r="W1175" s="167">
        <f>Transactions[[#This Row],[Amount]]*INDEX(TransTypes[],Transactions[[#This Row],[TTR]],TT_COL_AmntSign)</f>
        <v>53628.54</v>
      </c>
      <c r="X1175" s="167">
        <f>IF(INDEX(TransTypes[],Transactions[[#This Row],[TTR]],TT_COL_LONGORSHORT)="S",
      IF( OR(INDEX(TransTypes[],Transactions[[#This Row],[TTR]],TT_COL_GLFlag)=1, INDEX(TransTypes[], Transactions[[#This Row],[TTR]], TT_COL_ShareTransferFlag)=1),
            Transactions[[#This Row],[CostImpact]]*-1,
            Transactions[[#This Row],[CalCashImpact]]
      ),
     0
)</f>
        <v>0</v>
      </c>
      <c r="Y1175" s="168" t="str">
        <f>VLOOKUP(Transactions[[#This Row],[Symbol]],Symbols[], COLUMN(Symbols[Currency])-COLUMN(Symbols[])+1,FALSE)</f>
        <v>CNY</v>
      </c>
    </row>
    <row r="1176" spans="1:25">
      <c r="A1176" s="155" t="s">
        <v>82</v>
      </c>
      <c r="B1176" s="156">
        <v>42527</v>
      </c>
      <c r="C1176" s="155" t="s">
        <v>115</v>
      </c>
      <c r="D1176" s="155"/>
      <c r="E1176" s="155" t="s">
        <v>464</v>
      </c>
      <c r="F1176" s="157">
        <v>200</v>
      </c>
      <c r="G1176" s="158">
        <v>277.95</v>
      </c>
      <c r="H1176" s="157">
        <v>78.94</v>
      </c>
      <c r="I1176" s="157"/>
      <c r="J1176" s="159">
        <v>55511.06</v>
      </c>
      <c r="K1176" s="6" t="s">
        <v>641</v>
      </c>
      <c r="L1176" s="20">
        <f>IF(ISNA(MATCH(Transactions[[#This Row],[TransType]],TransTypes[TransType],0)),1,MATCH(Transactions[[#This Row],[TransType]],TransTypes[TransType],0))</f>
        <v>3</v>
      </c>
      <c r="M1176" s="160">
        <f>IF( AND( INDEX(TransTypes[],Transactions[[#This Row],[TTR]],TT_COL_GLFlag)=1, INDEX(TransTypes[],Transactions[[#This Row],[TTR]],TT_COL_LONGORSHORT)="S" ),
      Transactions[[#This Row],[PL]],
      IF(INDEX(TransTypes[],Transactions[[#This Row],[TTR]],TT_COL_LONGORSHORT)="S",0,Transactions[[#This Row],[CalCashImpact]])
)</f>
        <v>55511.06</v>
      </c>
      <c r="N1176" s="161">
        <f>IF(VLOOKUP(Transactions[[#This Row],[Symbol]],Symbols[],COLUMN(Symbols[Currency])-COLUMN(Symbols[])+1,FALSE)=
       VLOOKUP(Transactions[[#This Row],[Account]],Accounts[],COLUMN(Accounts[Currency])-COLUMN(Accounts[])+1,FALSE),
     Transactions[[#This Row],[OrigCashImpact]],
     0
)</f>
        <v>55511.06</v>
      </c>
      <c r="O11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226289.89999999906</v>
      </c>
      <c r="P11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1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1176" s="41">
        <f>ROW()</f>
        <v>1176</v>
      </c>
      <c r="S11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-48229.911039999999</v>
      </c>
      <c r="T11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72344.866559999995</v>
      </c>
      <c r="U11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176" s="166">
        <f>IF(INDEX(TransTypes[],Transactions[[#This Row],[TTR]],TT_COL_GLFlag)=1,Transactions[[#This Row],[CalCashImpact]]+Transactions[[#This Row],[CostImpact]],0)</f>
        <v>7281.1489599999986</v>
      </c>
      <c r="W1176" s="167">
        <f>Transactions[[#This Row],[Amount]]*INDEX(TransTypes[],Transactions[[#This Row],[TTR]],TT_COL_AmntSign)</f>
        <v>55511.06</v>
      </c>
      <c r="X1176" s="167">
        <f>IF(INDEX(TransTypes[],Transactions[[#This Row],[TTR]],TT_COL_LONGORSHORT)="S",
      IF( OR(INDEX(TransTypes[],Transactions[[#This Row],[TTR]],TT_COL_GLFlag)=1, INDEX(TransTypes[], Transactions[[#This Row],[TTR]], TT_COL_ShareTransferFlag)=1),
            Transactions[[#This Row],[CostImpact]]*-1,
            Transactions[[#This Row],[CalCashImpact]]
      ),
     0
)</f>
        <v>0</v>
      </c>
      <c r="Y1176" s="168" t="str">
        <f>VLOOKUP(Transactions[[#This Row],[Symbol]],Symbols[], COLUMN(Symbols[Currency])-COLUMN(Symbols[])+1,FALSE)</f>
        <v>CNY</v>
      </c>
    </row>
    <row r="1177" spans="1:25">
      <c r="A1177" s="155" t="s">
        <v>82</v>
      </c>
      <c r="B1177" s="156">
        <v>42527</v>
      </c>
      <c r="C1177" s="155" t="s">
        <v>115</v>
      </c>
      <c r="D1177" s="155"/>
      <c r="E1177" s="155" t="s">
        <v>665</v>
      </c>
      <c r="F1177" s="157">
        <v>130000</v>
      </c>
      <c r="G1177" s="158">
        <v>0.90400000000000003</v>
      </c>
      <c r="H1177" s="157">
        <v>47.01</v>
      </c>
      <c r="I1177" s="157"/>
      <c r="J1177" s="159">
        <v>117472.99</v>
      </c>
      <c r="K1177" s="6" t="s">
        <v>641</v>
      </c>
      <c r="L1177" s="20">
        <f>IF(ISNA(MATCH(Transactions[[#This Row],[TransType]],TransTypes[TransType],0)),1,MATCH(Transactions[[#This Row],[TransType]],TransTypes[TransType],0))</f>
        <v>3</v>
      </c>
      <c r="M1177" s="160">
        <f>IF( AND( INDEX(TransTypes[],Transactions[[#This Row],[TTR]],TT_COL_GLFlag)=1, INDEX(TransTypes[],Transactions[[#This Row],[TTR]],TT_COL_LONGORSHORT)="S" ),
      Transactions[[#This Row],[PL]],
      IF(INDEX(TransTypes[],Transactions[[#This Row],[TTR]],TT_COL_LONGORSHORT)="S",0,Transactions[[#This Row],[CalCashImpact]])
)</f>
        <v>117472.99</v>
      </c>
      <c r="N1177" s="161">
        <f>IF(VLOOKUP(Transactions[[#This Row],[Symbol]],Symbols[],COLUMN(Symbols[Currency])-COLUMN(Symbols[])+1,FALSE)=
       VLOOKUP(Transactions[[#This Row],[Account]],Accounts[],COLUMN(Accounts[Currency])-COLUMN(Accounts[])+1,FALSE),
     Transactions[[#This Row],[OrigCashImpact]],
     0
)</f>
        <v>117472.99</v>
      </c>
      <c r="O11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343762.88999999908</v>
      </c>
      <c r="P11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-130000</v>
      </c>
      <c r="Q11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1177" s="41">
        <f>ROW()</f>
        <v>1177</v>
      </c>
      <c r="S11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-109208.84589532486</v>
      </c>
      <c r="T11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168013.60906973053</v>
      </c>
      <c r="U11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330000</v>
      </c>
      <c r="V1177" s="166">
        <f>IF(INDEX(TransTypes[],Transactions[[#This Row],[TTR]],TT_COL_GLFlag)=1,Transactions[[#This Row],[CalCashImpact]]+Transactions[[#This Row],[CostImpact]],0)</f>
        <v>8264.1441046751424</v>
      </c>
      <c r="W1177" s="167">
        <f>Transactions[[#This Row],[Amount]]*INDEX(TransTypes[],Transactions[[#This Row],[TTR]],TT_COL_AmntSign)</f>
        <v>117472.99</v>
      </c>
      <c r="X1177" s="167">
        <f>IF(INDEX(TransTypes[],Transactions[[#This Row],[TTR]],TT_COL_LONGORSHORT)="S",
      IF( OR(INDEX(TransTypes[],Transactions[[#This Row],[TTR]],TT_COL_GLFlag)=1, INDEX(TransTypes[], Transactions[[#This Row],[TTR]], TT_COL_ShareTransferFlag)=1),
            Transactions[[#This Row],[CostImpact]]*-1,
            Transactions[[#This Row],[CalCashImpact]]
      ),
     0
)</f>
        <v>0</v>
      </c>
      <c r="Y1177" s="168" t="str">
        <f>VLOOKUP(Transactions[[#This Row],[Symbol]],Symbols[], COLUMN(Symbols[Currency])-COLUMN(Symbols[])+1,FALSE)</f>
        <v>CNY</v>
      </c>
    </row>
    <row r="1178" spans="1:25">
      <c r="A1178" s="155" t="s">
        <v>82</v>
      </c>
      <c r="B1178" s="156">
        <v>42527</v>
      </c>
      <c r="C1178" s="155" t="s">
        <v>118</v>
      </c>
      <c r="D1178" s="155"/>
      <c r="E1178" s="155" t="s">
        <v>646</v>
      </c>
      <c r="F1178" s="157"/>
      <c r="G1178" s="158"/>
      <c r="H1178" s="157"/>
      <c r="I1178" s="157"/>
      <c r="J1178" s="159">
        <v>1316</v>
      </c>
      <c r="K1178" s="6" t="s">
        <v>641</v>
      </c>
      <c r="L1178" s="20">
        <f>IF(ISNA(MATCH(Transactions[[#This Row],[TransType]],TransTypes[TransType],0)),1,MATCH(Transactions[[#This Row],[TransType]],TransTypes[TransType],0))</f>
        <v>4</v>
      </c>
      <c r="M1178" s="160">
        <f>IF( AND( INDEX(TransTypes[],Transactions[[#This Row],[TTR]],TT_COL_GLFlag)=1, INDEX(TransTypes[],Transactions[[#This Row],[TTR]],TT_COL_LONGORSHORT)="S" ),
      Transactions[[#This Row],[PL]],
      IF(INDEX(TransTypes[],Transactions[[#This Row],[TTR]],TT_COL_LONGORSHORT)="S",0,Transactions[[#This Row],[CalCashImpact]])
)</f>
        <v>1316</v>
      </c>
      <c r="N1178" s="161">
        <f>IF(VLOOKUP(Transactions[[#This Row],[Symbol]],Symbols[],COLUMN(Symbols[Currency])-COLUMN(Symbols[])+1,FALSE)=
       VLOOKUP(Transactions[[#This Row],[Account]],Accounts[],COLUMN(Accounts[Currency])-COLUMN(Accounts[])+1,FALSE),
     Transactions[[#This Row],[OrigCashImpact]],
     0
)</f>
        <v>0</v>
      </c>
      <c r="O11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343762.88999999908</v>
      </c>
      <c r="P11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1178" s="41">
        <f>ROW()</f>
        <v>1178</v>
      </c>
      <c r="S11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491708.08</v>
      </c>
      <c r="U11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178" s="166">
        <f>IF(INDEX(TransTypes[],Transactions[[#This Row],[TTR]],TT_COL_GLFlag)=1,Transactions[[#This Row],[CalCashImpact]]+Transactions[[#This Row],[CostImpact]],0)</f>
        <v>0</v>
      </c>
      <c r="W1178" s="167">
        <f>Transactions[[#This Row],[Amount]]*INDEX(TransTypes[],Transactions[[#This Row],[TTR]],TT_COL_AmntSign)</f>
        <v>1316</v>
      </c>
      <c r="X1178" s="167">
        <f>IF(INDEX(TransTypes[],Transactions[[#This Row],[TTR]],TT_COL_LONGORSHORT)="S",
      IF( OR(INDEX(TransTypes[],Transactions[[#This Row],[TTR]],TT_COL_GLFlag)=1, INDEX(TransTypes[], Transactions[[#This Row],[TTR]], TT_COL_ShareTransferFlag)=1),
            Transactions[[#This Row],[CostImpact]]*-1,
            Transactions[[#This Row],[CalCashImpact]]
      ),
     0
)</f>
        <v>0</v>
      </c>
      <c r="Y1178" s="168" t="str">
        <f>VLOOKUP(Transactions[[#This Row],[Symbol]],Symbols[], COLUMN(Symbols[Currency])-COLUMN(Symbols[])+1,FALSE)</f>
        <v>HKD</v>
      </c>
    </row>
    <row r="1179" spans="1:25">
      <c r="A1179" s="155" t="s">
        <v>82</v>
      </c>
      <c r="B1179" s="156">
        <v>42527</v>
      </c>
      <c r="C1179" s="155" t="s">
        <v>156</v>
      </c>
      <c r="D1179" s="155"/>
      <c r="E1179" s="155" t="s">
        <v>210</v>
      </c>
      <c r="F1179" s="157"/>
      <c r="G1179" s="158"/>
      <c r="H1179" s="157"/>
      <c r="I1179" s="157"/>
      <c r="J1179" s="159">
        <v>1316</v>
      </c>
      <c r="K1179" s="6" t="s">
        <v>706</v>
      </c>
      <c r="L1179" s="20">
        <f>IF(ISNA(MATCH(Transactions[[#This Row],[TransType]],TransTypes[TransType],0)),1,MATCH(Transactions[[#This Row],[TransType]],TransTypes[TransType],0))</f>
        <v>17</v>
      </c>
      <c r="M1179" s="160">
        <f>IF( AND( INDEX(TransTypes[],Transactions[[#This Row],[TTR]],TT_COL_GLFlag)=1, INDEX(TransTypes[],Transactions[[#This Row],[TTR]],TT_COL_LONGORSHORT)="S" ),
      Transactions[[#This Row],[PL]],
      IF(INDEX(TransTypes[],Transactions[[#This Row],[TTR]],TT_COL_LONGORSHORT)="S",0,Transactions[[#This Row],[CalCashImpact]])
)</f>
        <v>-1316</v>
      </c>
      <c r="N1179" s="161">
        <f>IF(VLOOKUP(Transactions[[#This Row],[Symbol]],Symbols[],COLUMN(Symbols[Currency])-COLUMN(Symbols[])+1,FALSE)=
       VLOOKUP(Transactions[[#This Row],[Account]],Accounts[],COLUMN(Accounts[Currency])-COLUMN(Accounts[])+1,FALSE),
     Transactions[[#This Row],[OrigCashImpact]],
     0
)</f>
        <v>0</v>
      </c>
      <c r="O11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343762.88999999908</v>
      </c>
      <c r="P11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79" s="41">
        <f>ROW()</f>
        <v>1179</v>
      </c>
      <c r="S11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79" s="166">
        <f>IF(INDEX(TransTypes[],Transactions[[#This Row],[TTR]],TT_COL_GLFlag)=1,Transactions[[#This Row],[CalCashImpact]]+Transactions[[#This Row],[CostImpact]],0)</f>
        <v>0</v>
      </c>
      <c r="W1179" s="167">
        <f>Transactions[[#This Row],[Amount]]*INDEX(TransTypes[],Transactions[[#This Row],[TTR]],TT_COL_AmntSign)</f>
        <v>-1316</v>
      </c>
      <c r="X1179" s="167">
        <f>IF(INDEX(TransTypes[],Transactions[[#This Row],[TTR]],TT_COL_LONGORSHORT)="S",
      IF( OR(INDEX(TransTypes[],Transactions[[#This Row],[TTR]],TT_COL_GLFlag)=1, INDEX(TransTypes[], Transactions[[#This Row],[TTR]], TT_COL_ShareTransferFlag)=1),
            Transactions[[#This Row],[CostImpact]]*-1,
            Transactions[[#This Row],[CalCashImpact]]
      ),
     0
)</f>
        <v>0</v>
      </c>
      <c r="Y1179" s="168" t="str">
        <f>VLOOKUP(Transactions[[#This Row],[Symbol]],Symbols[], COLUMN(Symbols[Currency])-COLUMN(Symbols[])+1,FALSE)</f>
        <v>HKD</v>
      </c>
    </row>
    <row r="1180" spans="1:25">
      <c r="A1180" s="155" t="s">
        <v>82</v>
      </c>
      <c r="B1180" s="156">
        <v>42527</v>
      </c>
      <c r="C1180" s="155" t="s">
        <v>239</v>
      </c>
      <c r="D1180" s="155"/>
      <c r="E1180" s="155" t="s">
        <v>211</v>
      </c>
      <c r="F1180" s="157"/>
      <c r="G1180" s="158"/>
      <c r="H1180" s="157"/>
      <c r="I1180" s="157"/>
      <c r="J1180" s="159">
        <v>1115.17</v>
      </c>
      <c r="K1180" s="6" t="s">
        <v>707</v>
      </c>
      <c r="L1180" s="20">
        <f>IF(ISNA(MATCH(Transactions[[#This Row],[TransType]],TransTypes[TransType],0)),1,MATCH(Transactions[[#This Row],[TransType]],TransTypes[TransType],0))</f>
        <v>18</v>
      </c>
      <c r="M1180" s="160">
        <f>IF( AND( INDEX(TransTypes[],Transactions[[#This Row],[TTR]],TT_COL_GLFlag)=1, INDEX(TransTypes[],Transactions[[#This Row],[TTR]],TT_COL_LONGORSHORT)="S" ),
      Transactions[[#This Row],[PL]],
      IF(INDEX(TransTypes[],Transactions[[#This Row],[TTR]],TT_COL_LONGORSHORT)="S",0,Transactions[[#This Row],[CalCashImpact]])
)</f>
        <v>1115.17</v>
      </c>
      <c r="N1180" s="161">
        <f>IF(VLOOKUP(Transactions[[#This Row],[Symbol]],Symbols[],COLUMN(Symbols[Currency])-COLUMN(Symbols[])+1,FALSE)=
       VLOOKUP(Transactions[[#This Row],[Account]],Accounts[],COLUMN(Accounts[Currency])-COLUMN(Accounts[])+1,FALSE),
     Transactions[[#This Row],[OrigCashImpact]],
     0
)</f>
        <v>1115.17</v>
      </c>
      <c r="O11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344878.05999999912</v>
      </c>
      <c r="P11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80" s="41">
        <f>ROW()</f>
        <v>1180</v>
      </c>
      <c r="S11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80" s="166">
        <f>IF(INDEX(TransTypes[],Transactions[[#This Row],[TTR]],TT_COL_GLFlag)=1,Transactions[[#This Row],[CalCashImpact]]+Transactions[[#This Row],[CostImpact]],0)</f>
        <v>0</v>
      </c>
      <c r="W1180" s="167">
        <f>Transactions[[#This Row],[Amount]]*INDEX(TransTypes[],Transactions[[#This Row],[TTR]],TT_COL_AmntSign)</f>
        <v>1115.17</v>
      </c>
      <c r="X1180" s="167">
        <f>IF(INDEX(TransTypes[],Transactions[[#This Row],[TTR]],TT_COL_LONGORSHORT)="S",
      IF( OR(INDEX(TransTypes[],Transactions[[#This Row],[TTR]],TT_COL_GLFlag)=1, INDEX(TransTypes[], Transactions[[#This Row],[TTR]], TT_COL_ShareTransferFlag)=1),
            Transactions[[#This Row],[CostImpact]]*-1,
            Transactions[[#This Row],[CalCashImpact]]
      ),
     0
)</f>
        <v>0</v>
      </c>
      <c r="Y1180" s="168" t="str">
        <f>VLOOKUP(Transactions[[#This Row],[Symbol]],Symbols[], COLUMN(Symbols[Currency])-COLUMN(Symbols[])+1,FALSE)</f>
        <v>CNY</v>
      </c>
    </row>
    <row r="1181" spans="1:25">
      <c r="A1181" s="155" t="s">
        <v>82</v>
      </c>
      <c r="B1181" s="156">
        <v>42528</v>
      </c>
      <c r="C1181" s="155" t="s">
        <v>118</v>
      </c>
      <c r="D1181" s="155"/>
      <c r="E1181" s="155" t="s">
        <v>488</v>
      </c>
      <c r="F1181" s="157"/>
      <c r="G1181" s="158"/>
      <c r="H1181" s="157"/>
      <c r="I1181" s="157"/>
      <c r="J1181" s="159">
        <v>3750</v>
      </c>
      <c r="K1181" s="6" t="s">
        <v>641</v>
      </c>
      <c r="L1181" s="20">
        <f>IF(ISNA(MATCH(Transactions[[#This Row],[TransType]],TransTypes[TransType],0)),1,MATCH(Transactions[[#This Row],[TransType]],TransTypes[TransType],0))</f>
        <v>4</v>
      </c>
      <c r="M1181" s="160">
        <f>IF( AND( INDEX(TransTypes[],Transactions[[#This Row],[TTR]],TT_COL_GLFlag)=1, INDEX(TransTypes[],Transactions[[#This Row],[TTR]],TT_COL_LONGORSHORT)="S" ),
      Transactions[[#This Row],[PL]],
      IF(INDEX(TransTypes[],Transactions[[#This Row],[TTR]],TT_COL_LONGORSHORT)="S",0,Transactions[[#This Row],[CalCashImpact]])
)</f>
        <v>3750</v>
      </c>
      <c r="N1181" s="161">
        <f>IF(VLOOKUP(Transactions[[#This Row],[Symbol]],Symbols[],COLUMN(Symbols[Currency])-COLUMN(Symbols[])+1,FALSE)=
       VLOOKUP(Transactions[[#This Row],[Account]],Accounts[],COLUMN(Accounts[Currency])-COLUMN(Accounts[])+1,FALSE),
     Transactions[[#This Row],[OrigCashImpact]],
     0
)</f>
        <v>3750</v>
      </c>
      <c r="O11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348628.05999999907</v>
      </c>
      <c r="P11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181" s="41">
        <f>ROW()</f>
        <v>1181</v>
      </c>
      <c r="S11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71079.839999999997</v>
      </c>
      <c r="U11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81" s="166">
        <f>IF(INDEX(TransTypes[],Transactions[[#This Row],[TTR]],TT_COL_GLFlag)=1,Transactions[[#This Row],[CalCashImpact]]+Transactions[[#This Row],[CostImpact]],0)</f>
        <v>0</v>
      </c>
      <c r="W1181" s="167">
        <f>Transactions[[#This Row],[Amount]]*INDEX(TransTypes[],Transactions[[#This Row],[TTR]],TT_COL_AmntSign)</f>
        <v>3750</v>
      </c>
      <c r="X1181" s="167">
        <f>IF(INDEX(TransTypes[],Transactions[[#This Row],[TTR]],TT_COL_LONGORSHORT)="S",
      IF( OR(INDEX(TransTypes[],Transactions[[#This Row],[TTR]],TT_COL_GLFlag)=1, INDEX(TransTypes[], Transactions[[#This Row],[TTR]], TT_COL_ShareTransferFlag)=1),
            Transactions[[#This Row],[CostImpact]]*-1,
            Transactions[[#This Row],[CalCashImpact]]
      ),
     0
)</f>
        <v>0</v>
      </c>
      <c r="Y1181" s="168" t="str">
        <f>VLOOKUP(Transactions[[#This Row],[Symbol]],Symbols[], COLUMN(Symbols[Currency])-COLUMN(Symbols[])+1,FALSE)</f>
        <v>CNY</v>
      </c>
    </row>
    <row r="1182" spans="1:25">
      <c r="A1182" s="155" t="s">
        <v>82</v>
      </c>
      <c r="B1182" s="156">
        <v>42529</v>
      </c>
      <c r="C1182" s="155" t="s">
        <v>113</v>
      </c>
      <c r="D1182" s="155"/>
      <c r="E1182" s="155" t="s">
        <v>703</v>
      </c>
      <c r="F1182" s="157">
        <v>6000</v>
      </c>
      <c r="G1182" s="158">
        <v>23.74</v>
      </c>
      <c r="H1182" s="157">
        <v>56.98</v>
      </c>
      <c r="I1182" s="157"/>
      <c r="J1182" s="159">
        <v>142496.98000000001</v>
      </c>
      <c r="K1182" s="6" t="s">
        <v>641</v>
      </c>
      <c r="L1182" s="20">
        <f>IF(ISNA(MATCH(Transactions[[#This Row],[TransType]],TransTypes[TransType],0)),1,MATCH(Transactions[[#This Row],[TransType]],TransTypes[TransType],0))</f>
        <v>2</v>
      </c>
      <c r="M1182" s="160">
        <f>IF( AND( INDEX(TransTypes[],Transactions[[#This Row],[TTR]],TT_COL_GLFlag)=1, INDEX(TransTypes[],Transactions[[#This Row],[TTR]],TT_COL_LONGORSHORT)="S" ),
      Transactions[[#This Row],[PL]],
      IF(INDEX(TransTypes[],Transactions[[#This Row],[TTR]],TT_COL_LONGORSHORT)="S",0,Transactions[[#This Row],[CalCashImpact]])
)</f>
        <v>-142496.98000000001</v>
      </c>
      <c r="N1182" s="161">
        <f>IF(VLOOKUP(Transactions[[#This Row],[Symbol]],Symbols[],COLUMN(Symbols[Currency])-COLUMN(Symbols[])+1,FALSE)=
       VLOOKUP(Transactions[[#This Row],[Account]],Accounts[],COLUMN(Accounts[Currency])-COLUMN(Accounts[])+1,FALSE),
     Transactions[[#This Row],[OrigCashImpact]],
     0
)</f>
        <v>-142496.98000000001</v>
      </c>
      <c r="O11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206131.07999999906</v>
      </c>
      <c r="P11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1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182" s="41">
        <f>ROW()</f>
        <v>1182</v>
      </c>
      <c r="S11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142496.98000000001</v>
      </c>
      <c r="T11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270928.33</v>
      </c>
      <c r="U11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182" s="166">
        <f>IF(INDEX(TransTypes[],Transactions[[#This Row],[TTR]],TT_COL_GLFlag)=1,Transactions[[#This Row],[CalCashImpact]]+Transactions[[#This Row],[CostImpact]],0)</f>
        <v>0</v>
      </c>
      <c r="W1182" s="167">
        <f>Transactions[[#This Row],[Amount]]*INDEX(TransTypes[],Transactions[[#This Row],[TTR]],TT_COL_AmntSign)</f>
        <v>-142496.98000000001</v>
      </c>
      <c r="X1182" s="167">
        <f>IF(INDEX(TransTypes[],Transactions[[#This Row],[TTR]],TT_COL_LONGORSHORT)="S",
      IF( OR(INDEX(TransTypes[],Transactions[[#This Row],[TTR]],TT_COL_GLFlag)=1, INDEX(TransTypes[], Transactions[[#This Row],[TTR]], TT_COL_ShareTransferFlag)=1),
            Transactions[[#This Row],[CostImpact]]*-1,
            Transactions[[#This Row],[CalCashImpact]]
      ),
     0
)</f>
        <v>0</v>
      </c>
      <c r="Y1182" s="168" t="str">
        <f>VLOOKUP(Transactions[[#This Row],[Symbol]],Symbols[], COLUMN(Symbols[Currency])-COLUMN(Symbols[])+1,FALSE)</f>
        <v>CNY</v>
      </c>
    </row>
    <row r="1183" spans="1:25">
      <c r="A1183" s="155" t="s">
        <v>82</v>
      </c>
      <c r="B1183" s="156">
        <v>42534</v>
      </c>
      <c r="C1183" s="155" t="s">
        <v>113</v>
      </c>
      <c r="D1183" s="155"/>
      <c r="E1183" s="155" t="s">
        <v>644</v>
      </c>
      <c r="F1183" s="157">
        <v>500</v>
      </c>
      <c r="G1183" s="158">
        <v>68.14</v>
      </c>
      <c r="H1183" s="157">
        <v>13.63</v>
      </c>
      <c r="I1183" s="157"/>
      <c r="J1183" s="159">
        <v>34083.629999999997</v>
      </c>
      <c r="K1183" s="6" t="s">
        <v>641</v>
      </c>
      <c r="L1183" s="20">
        <f>IF(ISNA(MATCH(Transactions[[#This Row],[TransType]],TransTypes[TransType],0)),1,MATCH(Transactions[[#This Row],[TransType]],TransTypes[TransType],0))</f>
        <v>2</v>
      </c>
      <c r="M1183" s="160">
        <f>IF( AND( INDEX(TransTypes[],Transactions[[#This Row],[TTR]],TT_COL_GLFlag)=1, INDEX(TransTypes[],Transactions[[#This Row],[TTR]],TT_COL_LONGORSHORT)="S" ),
      Transactions[[#This Row],[PL]],
      IF(INDEX(TransTypes[],Transactions[[#This Row],[TTR]],TT_COL_LONGORSHORT)="S",0,Transactions[[#This Row],[CalCashImpact]])
)</f>
        <v>-34083.629999999997</v>
      </c>
      <c r="N1183" s="161">
        <f>IF(VLOOKUP(Transactions[[#This Row],[Symbol]],Symbols[],COLUMN(Symbols[Currency])-COLUMN(Symbols[])+1,FALSE)=
       VLOOKUP(Transactions[[#This Row],[Account]],Accounts[],COLUMN(Accounts[Currency])-COLUMN(Accounts[])+1,FALSE),
     Transactions[[#This Row],[OrigCashImpact]],
     0
)</f>
        <v>-34083.629999999997</v>
      </c>
      <c r="O11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172047.44999999905</v>
      </c>
      <c r="P11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1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1183" s="41">
        <f>ROW()</f>
        <v>1183</v>
      </c>
      <c r="S11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34083.629999999997</v>
      </c>
      <c r="T11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153629.1498888889</v>
      </c>
      <c r="U11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v>
      </c>
      <c r="V1183" s="166">
        <f>IF(INDEX(TransTypes[],Transactions[[#This Row],[TTR]],TT_COL_GLFlag)=1,Transactions[[#This Row],[CalCashImpact]]+Transactions[[#This Row],[CostImpact]],0)</f>
        <v>0</v>
      </c>
      <c r="W1183" s="167">
        <f>Transactions[[#This Row],[Amount]]*INDEX(TransTypes[],Transactions[[#This Row],[TTR]],TT_COL_AmntSign)</f>
        <v>-34083.629999999997</v>
      </c>
      <c r="X1183" s="167">
        <f>IF(INDEX(TransTypes[],Transactions[[#This Row],[TTR]],TT_COL_LONGORSHORT)="S",
      IF( OR(INDEX(TransTypes[],Transactions[[#This Row],[TTR]],TT_COL_GLFlag)=1, INDEX(TransTypes[], Transactions[[#This Row],[TTR]], TT_COL_ShareTransferFlag)=1),
            Transactions[[#This Row],[CostImpact]]*-1,
            Transactions[[#This Row],[CalCashImpact]]
      ),
     0
)</f>
        <v>0</v>
      </c>
      <c r="Y1183" s="168" t="str">
        <f>VLOOKUP(Transactions[[#This Row],[Symbol]],Symbols[], COLUMN(Symbols[Currency])-COLUMN(Symbols[])+1,FALSE)</f>
        <v>CNY</v>
      </c>
    </row>
    <row r="1184" spans="1:25">
      <c r="A1184" s="155" t="s">
        <v>82</v>
      </c>
      <c r="B1184" s="156">
        <v>42535</v>
      </c>
      <c r="C1184" s="155" t="s">
        <v>113</v>
      </c>
      <c r="D1184" s="155"/>
      <c r="E1184" s="155" t="s">
        <v>467</v>
      </c>
      <c r="F1184" s="157">
        <v>2000</v>
      </c>
      <c r="G1184" s="158">
        <v>20.54</v>
      </c>
      <c r="H1184" s="157">
        <v>16.43</v>
      </c>
      <c r="I1184" s="157"/>
      <c r="J1184" s="159">
        <v>41096.43</v>
      </c>
      <c r="K1184" s="6" t="s">
        <v>641</v>
      </c>
      <c r="L1184" s="20">
        <f>IF(ISNA(MATCH(Transactions[[#This Row],[TransType]],TransTypes[TransType],0)),1,MATCH(Transactions[[#This Row],[TransType]],TransTypes[TransType],0))</f>
        <v>2</v>
      </c>
      <c r="M1184" s="160">
        <f>IF( AND( INDEX(TransTypes[],Transactions[[#This Row],[TTR]],TT_COL_GLFlag)=1, INDEX(TransTypes[],Transactions[[#This Row],[TTR]],TT_COL_LONGORSHORT)="S" ),
      Transactions[[#This Row],[PL]],
      IF(INDEX(TransTypes[],Transactions[[#This Row],[TTR]],TT_COL_LONGORSHORT)="S",0,Transactions[[#This Row],[CalCashImpact]])
)</f>
        <v>-41096.43</v>
      </c>
      <c r="N1184" s="161">
        <f>IF(VLOOKUP(Transactions[[#This Row],[Symbol]],Symbols[],COLUMN(Symbols[Currency])-COLUMN(Symbols[])+1,FALSE)=
       VLOOKUP(Transactions[[#This Row],[Account]],Accounts[],COLUMN(Accounts[Currency])-COLUMN(Accounts[])+1,FALSE),
     Transactions[[#This Row],[OrigCashImpact]],
     0
)</f>
        <v>-41096.43</v>
      </c>
      <c r="O11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130951.01999999906</v>
      </c>
      <c r="P11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1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184" s="41">
        <f>ROW()</f>
        <v>1184</v>
      </c>
      <c r="S11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41096.43</v>
      </c>
      <c r="T11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63936.618328189303</v>
      </c>
      <c r="U11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184" s="166">
        <f>IF(INDEX(TransTypes[],Transactions[[#This Row],[TTR]],TT_COL_GLFlag)=1,Transactions[[#This Row],[CalCashImpact]]+Transactions[[#This Row],[CostImpact]],0)</f>
        <v>0</v>
      </c>
      <c r="W1184" s="167">
        <f>Transactions[[#This Row],[Amount]]*INDEX(TransTypes[],Transactions[[#This Row],[TTR]],TT_COL_AmntSign)</f>
        <v>-41096.43</v>
      </c>
      <c r="X1184" s="167">
        <f>IF(INDEX(TransTypes[],Transactions[[#This Row],[TTR]],TT_COL_LONGORSHORT)="S",
      IF( OR(INDEX(TransTypes[],Transactions[[#This Row],[TTR]],TT_COL_GLFlag)=1, INDEX(TransTypes[], Transactions[[#This Row],[TTR]], TT_COL_ShareTransferFlag)=1),
            Transactions[[#This Row],[CostImpact]]*-1,
            Transactions[[#This Row],[CalCashImpact]]
      ),
     0
)</f>
        <v>0</v>
      </c>
      <c r="Y1184" s="168" t="str">
        <f>VLOOKUP(Transactions[[#This Row],[Symbol]],Symbols[], COLUMN(Symbols[Currency])-COLUMN(Symbols[])+1,FALSE)</f>
        <v>CNY</v>
      </c>
    </row>
    <row r="1185" spans="1:25">
      <c r="A1185" s="155" t="s">
        <v>82</v>
      </c>
      <c r="B1185" s="156">
        <v>42535</v>
      </c>
      <c r="C1185" s="155" t="s">
        <v>115</v>
      </c>
      <c r="D1185" s="155"/>
      <c r="E1185" s="155" t="s">
        <v>698</v>
      </c>
      <c r="F1185" s="157">
        <v>8000</v>
      </c>
      <c r="G1185" s="158">
        <v>35.697000000000003</v>
      </c>
      <c r="H1185" s="157">
        <v>399.8</v>
      </c>
      <c r="I1185" s="157"/>
      <c r="J1185" s="159">
        <v>285176.2</v>
      </c>
      <c r="K1185" s="6" t="s">
        <v>641</v>
      </c>
      <c r="L1185" s="20">
        <f>IF(ISNA(MATCH(Transactions[[#This Row],[TransType]],TransTypes[TransType],0)),1,MATCH(Transactions[[#This Row],[TransType]],TransTypes[TransType],0))</f>
        <v>3</v>
      </c>
      <c r="M1185" s="160">
        <f>IF( AND( INDEX(TransTypes[],Transactions[[#This Row],[TTR]],TT_COL_GLFlag)=1, INDEX(TransTypes[],Transactions[[#This Row],[TTR]],TT_COL_LONGORSHORT)="S" ),
      Transactions[[#This Row],[PL]],
      IF(INDEX(TransTypes[],Transactions[[#This Row],[TTR]],TT_COL_LONGORSHORT)="S",0,Transactions[[#This Row],[CalCashImpact]])
)</f>
        <v>285176.2</v>
      </c>
      <c r="N1185" s="161">
        <f>IF(VLOOKUP(Transactions[[#This Row],[Symbol]],Symbols[],COLUMN(Symbols[Currency])-COLUMN(Symbols[])+1,FALSE)=
       VLOOKUP(Transactions[[#This Row],[Account]],Accounts[],COLUMN(Accounts[Currency])-COLUMN(Accounts[])+1,FALSE),
     Transactions[[#This Row],[OrigCashImpact]],
     0
)</f>
        <v>285176.2</v>
      </c>
      <c r="O11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416127.21999999904</v>
      </c>
      <c r="P11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1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85" s="41">
        <f>ROW()</f>
        <v>1185</v>
      </c>
      <c r="S11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-318047.17</v>
      </c>
      <c r="T11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185" s="166">
        <f>IF(INDEX(TransTypes[],Transactions[[#This Row],[TTR]],TT_COL_GLFlag)=1,Transactions[[#This Row],[CalCashImpact]]+Transactions[[#This Row],[CostImpact]],0)</f>
        <v>-32870.969999999972</v>
      </c>
      <c r="W1185" s="167">
        <f>Transactions[[#This Row],[Amount]]*INDEX(TransTypes[],Transactions[[#This Row],[TTR]],TT_COL_AmntSign)</f>
        <v>285176.2</v>
      </c>
      <c r="X1185" s="167">
        <f>IF(INDEX(TransTypes[],Transactions[[#This Row],[TTR]],TT_COL_LONGORSHORT)="S",
      IF( OR(INDEX(TransTypes[],Transactions[[#This Row],[TTR]],TT_COL_GLFlag)=1, INDEX(TransTypes[], Transactions[[#This Row],[TTR]], TT_COL_ShareTransferFlag)=1),
            Transactions[[#This Row],[CostImpact]]*-1,
            Transactions[[#This Row],[CalCashImpact]]
      ),
     0
)</f>
        <v>0</v>
      </c>
      <c r="Y1185" s="168" t="str">
        <f>VLOOKUP(Transactions[[#This Row],[Symbol]],Symbols[], COLUMN(Symbols[Currency])-COLUMN(Symbols[])+1,FALSE)</f>
        <v>CNY</v>
      </c>
    </row>
    <row r="1186" spans="1:25">
      <c r="A1186" s="155" t="s">
        <v>82</v>
      </c>
      <c r="B1186" s="156">
        <v>42535</v>
      </c>
      <c r="C1186" s="155" t="s">
        <v>115</v>
      </c>
      <c r="D1186" s="155"/>
      <c r="E1186" s="155" t="s">
        <v>699</v>
      </c>
      <c r="F1186" s="157">
        <v>19000</v>
      </c>
      <c r="G1186" s="158">
        <v>2.7120000000000002</v>
      </c>
      <c r="H1186" s="157">
        <v>20.61</v>
      </c>
      <c r="I1186" s="157"/>
      <c r="J1186" s="159">
        <v>51507.39</v>
      </c>
      <c r="K1186" s="6" t="s">
        <v>641</v>
      </c>
      <c r="L1186" s="20">
        <f>IF(ISNA(MATCH(Transactions[[#This Row],[TransType]],TransTypes[TransType],0)),1,MATCH(Transactions[[#This Row],[TransType]],TransTypes[TransType],0))</f>
        <v>3</v>
      </c>
      <c r="M1186" s="160">
        <f>IF( AND( INDEX(TransTypes[],Transactions[[#This Row],[TTR]],TT_COL_GLFlag)=1, INDEX(TransTypes[],Transactions[[#This Row],[TTR]],TT_COL_LONGORSHORT)="S" ),
      Transactions[[#This Row],[PL]],
      IF(INDEX(TransTypes[],Transactions[[#This Row],[TTR]],TT_COL_LONGORSHORT)="S",0,Transactions[[#This Row],[CalCashImpact]])
)</f>
        <v>51507.39</v>
      </c>
      <c r="N1186" s="161">
        <f>IF(VLOOKUP(Transactions[[#This Row],[Symbol]],Symbols[],COLUMN(Symbols[Currency])-COLUMN(Symbols[])+1,FALSE)=
       VLOOKUP(Transactions[[#This Row],[Account]],Accounts[],COLUMN(Accounts[Currency])-COLUMN(Accounts[])+1,FALSE),
     Transactions[[#This Row],[OrigCashImpact]],
     0
)</f>
        <v>51507.39</v>
      </c>
      <c r="O11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467634.60999999905</v>
      </c>
      <c r="P11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-19000</v>
      </c>
      <c r="Q11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60000</v>
      </c>
      <c r="R1186" s="41">
        <f>ROW()</f>
        <v>1186</v>
      </c>
      <c r="S11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-50393.666329113919</v>
      </c>
      <c r="T11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159137.89367088606</v>
      </c>
      <c r="U11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79000</v>
      </c>
      <c r="V1186" s="166">
        <f>IF(INDEX(TransTypes[],Transactions[[#This Row],[TTR]],TT_COL_GLFlag)=1,Transactions[[#This Row],[CalCashImpact]]+Transactions[[#This Row],[CostImpact]],0)</f>
        <v>1113.7236708860801</v>
      </c>
      <c r="W1186" s="167">
        <f>Transactions[[#This Row],[Amount]]*INDEX(TransTypes[],Transactions[[#This Row],[TTR]],TT_COL_AmntSign)</f>
        <v>51507.39</v>
      </c>
      <c r="X1186" s="167">
        <f>IF(INDEX(TransTypes[],Transactions[[#This Row],[TTR]],TT_COL_LONGORSHORT)="S",
      IF( OR(INDEX(TransTypes[],Transactions[[#This Row],[TTR]],TT_COL_GLFlag)=1, INDEX(TransTypes[], Transactions[[#This Row],[TTR]], TT_COL_ShareTransferFlag)=1),
            Transactions[[#This Row],[CostImpact]]*-1,
            Transactions[[#This Row],[CalCashImpact]]
      ),
     0
)</f>
        <v>0</v>
      </c>
      <c r="Y1186" s="168" t="str">
        <f>VLOOKUP(Transactions[[#This Row],[Symbol]],Symbols[], COLUMN(Symbols[Currency])-COLUMN(Symbols[])+1,FALSE)</f>
        <v>CNY</v>
      </c>
    </row>
    <row r="1187" spans="1:25">
      <c r="A1187" s="155" t="s">
        <v>82</v>
      </c>
      <c r="B1187" s="156">
        <v>42535</v>
      </c>
      <c r="C1187" s="155" t="s">
        <v>113</v>
      </c>
      <c r="D1187" s="155"/>
      <c r="E1187" s="155" t="s">
        <v>685</v>
      </c>
      <c r="F1187" s="157">
        <v>4000</v>
      </c>
      <c r="G1187" s="158">
        <v>12.488</v>
      </c>
      <c r="H1187" s="157">
        <v>19.98</v>
      </c>
      <c r="I1187" s="157"/>
      <c r="J1187" s="159">
        <v>49971.98</v>
      </c>
      <c r="K1187" s="6" t="s">
        <v>641</v>
      </c>
      <c r="L1187" s="20">
        <f>IF(ISNA(MATCH(Transactions[[#This Row],[TransType]],TransTypes[TransType],0)),1,MATCH(Transactions[[#This Row],[TransType]],TransTypes[TransType],0))</f>
        <v>2</v>
      </c>
      <c r="M1187" s="160">
        <f>IF( AND( INDEX(TransTypes[],Transactions[[#This Row],[TTR]],TT_COL_GLFlag)=1, INDEX(TransTypes[],Transactions[[#This Row],[TTR]],TT_COL_LONGORSHORT)="S" ),
      Transactions[[#This Row],[PL]],
      IF(INDEX(TransTypes[],Transactions[[#This Row],[TTR]],TT_COL_LONGORSHORT)="S",0,Transactions[[#This Row],[CalCashImpact]])
)</f>
        <v>-49971.98</v>
      </c>
      <c r="N1187" s="161">
        <f>IF(VLOOKUP(Transactions[[#This Row],[Symbol]],Symbols[],COLUMN(Symbols[Currency])-COLUMN(Symbols[])+1,FALSE)=
       VLOOKUP(Transactions[[#This Row],[Account]],Accounts[],COLUMN(Accounts[Currency])-COLUMN(Accounts[])+1,FALSE),
     Transactions[[#This Row],[OrigCashImpact]],
     0
)</f>
        <v>-49971.98</v>
      </c>
      <c r="O11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417662.62999999907</v>
      </c>
      <c r="P11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1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187" s="41">
        <f>ROW()</f>
        <v>1187</v>
      </c>
      <c r="S11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49971.98</v>
      </c>
      <c r="T11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131475.9932</v>
      </c>
      <c r="U11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187" s="166">
        <f>IF(INDEX(TransTypes[],Transactions[[#This Row],[TTR]],TT_COL_GLFlag)=1,Transactions[[#This Row],[CalCashImpact]]+Transactions[[#This Row],[CostImpact]],0)</f>
        <v>0</v>
      </c>
      <c r="W1187" s="167">
        <f>Transactions[[#This Row],[Amount]]*INDEX(TransTypes[],Transactions[[#This Row],[TTR]],TT_COL_AmntSign)</f>
        <v>-49971.98</v>
      </c>
      <c r="X1187" s="167">
        <f>IF(INDEX(TransTypes[],Transactions[[#This Row],[TTR]],TT_COL_LONGORSHORT)="S",
      IF( OR(INDEX(TransTypes[],Transactions[[#This Row],[TTR]],TT_COL_GLFlag)=1, INDEX(TransTypes[], Transactions[[#This Row],[TTR]], TT_COL_ShareTransferFlag)=1),
            Transactions[[#This Row],[CostImpact]]*-1,
            Transactions[[#This Row],[CalCashImpact]]
      ),
     0
)</f>
        <v>0</v>
      </c>
      <c r="Y1187" s="168" t="str">
        <f>VLOOKUP(Transactions[[#This Row],[Symbol]],Symbols[], COLUMN(Symbols[Currency])-COLUMN(Symbols[])+1,FALSE)</f>
        <v>CNY</v>
      </c>
    </row>
    <row r="1188" spans="1:25">
      <c r="A1188" s="155" t="s">
        <v>82</v>
      </c>
      <c r="B1188" s="156">
        <v>42536</v>
      </c>
      <c r="C1188" s="155" t="s">
        <v>113</v>
      </c>
      <c r="D1188" s="155" t="s">
        <v>531</v>
      </c>
      <c r="E1188" s="155" t="s">
        <v>480</v>
      </c>
      <c r="F1188" s="157">
        <v>400</v>
      </c>
      <c r="G1188" s="158">
        <v>0</v>
      </c>
      <c r="H1188" s="157"/>
      <c r="I1188" s="157"/>
      <c r="J1188" s="159">
        <v>0</v>
      </c>
      <c r="K1188" s="6" t="s">
        <v>694</v>
      </c>
      <c r="L1188" s="20">
        <f>IF(ISNA(MATCH(Transactions[[#This Row],[TransType]],TransTypes[TransType],0)),1,MATCH(Transactions[[#This Row],[TransType]],TransTypes[TransType],0))</f>
        <v>2</v>
      </c>
      <c r="M1188" s="160">
        <f>IF( AND( INDEX(TransTypes[],Transactions[[#This Row],[TTR]],TT_COL_GLFlag)=1, INDEX(TransTypes[],Transactions[[#This Row],[TTR]],TT_COL_LONGORSHORT)="S" ),
      Transactions[[#This Row],[PL]],
      IF(INDEX(TransTypes[],Transactions[[#This Row],[TTR]],TT_COL_LONGORSHORT)="S",0,Transactions[[#This Row],[CalCashImpact]])
)</f>
        <v>0</v>
      </c>
      <c r="N1188" s="161">
        <f>IF(VLOOKUP(Transactions[[#This Row],[Symbol]],Symbols[],COLUMN(Symbols[Currency])-COLUMN(Symbols[])+1,FALSE)=
       VLOOKUP(Transactions[[#This Row],[Account]],Accounts[],COLUMN(Accounts[Currency])-COLUMN(Accounts[])+1,FALSE),
     Transactions[[#This Row],[OrigCashImpact]],
     0
)</f>
        <v>0</v>
      </c>
      <c r="O11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417662.62999999907</v>
      </c>
      <c r="P11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1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v>
      </c>
      <c r="R1188" s="41">
        <f>ROW()</f>
        <v>1188</v>
      </c>
      <c r="S11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47209.82</v>
      </c>
      <c r="U11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v>
      </c>
      <c r="V1188" s="166">
        <f>IF(INDEX(TransTypes[],Transactions[[#This Row],[TTR]],TT_COL_GLFlag)=1,Transactions[[#This Row],[CalCashImpact]]+Transactions[[#This Row],[CostImpact]],0)</f>
        <v>0</v>
      </c>
      <c r="W1188" s="167">
        <f>Transactions[[#This Row],[Amount]]*INDEX(TransTypes[],Transactions[[#This Row],[TTR]],TT_COL_AmntSign)</f>
        <v>0</v>
      </c>
      <c r="X1188" s="167">
        <f>IF(INDEX(TransTypes[],Transactions[[#This Row],[TTR]],TT_COL_LONGORSHORT)="S",
      IF( OR(INDEX(TransTypes[],Transactions[[#This Row],[TTR]],TT_COL_GLFlag)=1, INDEX(TransTypes[], Transactions[[#This Row],[TTR]], TT_COL_ShareTransferFlag)=1),
            Transactions[[#This Row],[CostImpact]]*-1,
            Transactions[[#This Row],[CalCashImpact]]
      ),
     0
)</f>
        <v>0</v>
      </c>
      <c r="Y1188" s="168" t="str">
        <f>VLOOKUP(Transactions[[#This Row],[Symbol]],Symbols[], COLUMN(Symbols[Currency])-COLUMN(Symbols[])+1,FALSE)</f>
        <v>CNY</v>
      </c>
    </row>
    <row r="1189" spans="1:25">
      <c r="A1189" s="155" t="s">
        <v>82</v>
      </c>
      <c r="B1189" s="156">
        <v>42536</v>
      </c>
      <c r="C1189" s="155" t="s">
        <v>118</v>
      </c>
      <c r="D1189" s="155"/>
      <c r="E1189" s="155" t="s">
        <v>480</v>
      </c>
      <c r="F1189" s="157"/>
      <c r="G1189" s="158"/>
      <c r="H1189" s="157"/>
      <c r="I1189" s="157"/>
      <c r="J1189" s="159">
        <v>200</v>
      </c>
      <c r="K1189" s="6" t="s">
        <v>641</v>
      </c>
      <c r="L1189" s="20">
        <f>IF(ISNA(MATCH(Transactions[[#This Row],[TransType]],TransTypes[TransType],0)),1,MATCH(Transactions[[#This Row],[TransType]],TransTypes[TransType],0))</f>
        <v>4</v>
      </c>
      <c r="M1189" s="160">
        <f>IF( AND( INDEX(TransTypes[],Transactions[[#This Row],[TTR]],TT_COL_GLFlag)=1, INDEX(TransTypes[],Transactions[[#This Row],[TTR]],TT_COL_LONGORSHORT)="S" ),
      Transactions[[#This Row],[PL]],
      IF(INDEX(TransTypes[],Transactions[[#This Row],[TTR]],TT_COL_LONGORSHORT)="S",0,Transactions[[#This Row],[CalCashImpact]])
)</f>
        <v>200</v>
      </c>
      <c r="N1189" s="161">
        <f>IF(VLOOKUP(Transactions[[#This Row],[Symbol]],Symbols[],COLUMN(Symbols[Currency])-COLUMN(Symbols[])+1,FALSE)=
       VLOOKUP(Transactions[[#This Row],[Account]],Accounts[],COLUMN(Accounts[Currency])-COLUMN(Accounts[])+1,FALSE),
     Transactions[[#This Row],[OrigCashImpact]],
     0
)</f>
        <v>200</v>
      </c>
      <c r="O11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417862.62999999907</v>
      </c>
      <c r="P11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v>
      </c>
      <c r="R1189" s="41">
        <f>ROW()</f>
        <v>1189</v>
      </c>
      <c r="S11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47209.82</v>
      </c>
      <c r="U11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v>
      </c>
      <c r="V1189" s="166">
        <f>IF(INDEX(TransTypes[],Transactions[[#This Row],[TTR]],TT_COL_GLFlag)=1,Transactions[[#This Row],[CalCashImpact]]+Transactions[[#This Row],[CostImpact]],0)</f>
        <v>0</v>
      </c>
      <c r="W1189" s="167">
        <f>Transactions[[#This Row],[Amount]]*INDEX(TransTypes[],Transactions[[#This Row],[TTR]],TT_COL_AmntSign)</f>
        <v>200</v>
      </c>
      <c r="X1189" s="167">
        <f>IF(INDEX(TransTypes[],Transactions[[#This Row],[TTR]],TT_COL_LONGORSHORT)="S",
      IF( OR(INDEX(TransTypes[],Transactions[[#This Row],[TTR]],TT_COL_GLFlag)=1, INDEX(TransTypes[], Transactions[[#This Row],[TTR]], TT_COL_ShareTransferFlag)=1),
            Transactions[[#This Row],[CostImpact]]*-1,
            Transactions[[#This Row],[CalCashImpact]]
      ),
     0
)</f>
        <v>0</v>
      </c>
      <c r="Y1189" s="168" t="str">
        <f>VLOOKUP(Transactions[[#This Row],[Symbol]],Symbols[], COLUMN(Symbols[Currency])-COLUMN(Symbols[])+1,FALSE)</f>
        <v>CNY</v>
      </c>
    </row>
    <row r="1190" spans="1:25">
      <c r="A1190" s="155" t="s">
        <v>82</v>
      </c>
      <c r="B1190" s="156">
        <v>42536</v>
      </c>
      <c r="C1190" s="155" t="s">
        <v>113</v>
      </c>
      <c r="D1190" s="155"/>
      <c r="E1190" s="155" t="s">
        <v>480</v>
      </c>
      <c r="F1190" s="157">
        <v>1000</v>
      </c>
      <c r="G1190" s="158">
        <v>46.12</v>
      </c>
      <c r="H1190" s="157">
        <v>19.37</v>
      </c>
      <c r="I1190" s="157"/>
      <c r="J1190" s="159">
        <v>46139.37</v>
      </c>
      <c r="K1190" s="6" t="s">
        <v>641</v>
      </c>
      <c r="L1190" s="20">
        <f>IF(ISNA(MATCH(Transactions[[#This Row],[TransType]],TransTypes[TransType],0)),1,MATCH(Transactions[[#This Row],[TransType]],TransTypes[TransType],0))</f>
        <v>2</v>
      </c>
      <c r="M1190" s="160">
        <f>IF( AND( INDEX(TransTypes[],Transactions[[#This Row],[TTR]],TT_COL_GLFlag)=1, INDEX(TransTypes[],Transactions[[#This Row],[TTR]],TT_COL_LONGORSHORT)="S" ),
      Transactions[[#This Row],[PL]],
      IF(INDEX(TransTypes[],Transactions[[#This Row],[TTR]],TT_COL_LONGORSHORT)="S",0,Transactions[[#This Row],[CalCashImpact]])
)</f>
        <v>-46139.37</v>
      </c>
      <c r="N1190" s="161">
        <f>IF(VLOOKUP(Transactions[[#This Row],[Symbol]],Symbols[],COLUMN(Symbols[Currency])-COLUMN(Symbols[])+1,FALSE)=
       VLOOKUP(Transactions[[#This Row],[Account]],Accounts[],COLUMN(Accounts[Currency])-COLUMN(Accounts[])+1,FALSE),
     Transactions[[#This Row],[OrigCashImpact]],
     0
)</f>
        <v>-46139.37</v>
      </c>
      <c r="O11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371723.25999999908</v>
      </c>
      <c r="P11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1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2400</v>
      </c>
      <c r="R1190" s="41">
        <f>ROW()</f>
        <v>1190</v>
      </c>
      <c r="S11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46139.37</v>
      </c>
      <c r="T11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93349.19</v>
      </c>
      <c r="U11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2400</v>
      </c>
      <c r="V1190" s="166">
        <f>IF(INDEX(TransTypes[],Transactions[[#This Row],[TTR]],TT_COL_GLFlag)=1,Transactions[[#This Row],[CalCashImpact]]+Transactions[[#This Row],[CostImpact]],0)</f>
        <v>0</v>
      </c>
      <c r="W1190" s="167">
        <f>Transactions[[#This Row],[Amount]]*INDEX(TransTypes[],Transactions[[#This Row],[TTR]],TT_COL_AmntSign)</f>
        <v>-46139.37</v>
      </c>
      <c r="X1190" s="167">
        <f>IF(INDEX(TransTypes[],Transactions[[#This Row],[TTR]],TT_COL_LONGORSHORT)="S",
      IF( OR(INDEX(TransTypes[],Transactions[[#This Row],[TTR]],TT_COL_GLFlag)=1, INDEX(TransTypes[], Transactions[[#This Row],[TTR]], TT_COL_ShareTransferFlag)=1),
            Transactions[[#This Row],[CostImpact]]*-1,
            Transactions[[#This Row],[CalCashImpact]]
      ),
     0
)</f>
        <v>0</v>
      </c>
      <c r="Y1190" s="168" t="str">
        <f>VLOOKUP(Transactions[[#This Row],[Symbol]],Symbols[], COLUMN(Symbols[Currency])-COLUMN(Symbols[])+1,FALSE)</f>
        <v>CNY</v>
      </c>
    </row>
    <row r="1191" spans="1:25">
      <c r="A1191" s="155" t="s">
        <v>82</v>
      </c>
      <c r="B1191" s="156">
        <v>42537</v>
      </c>
      <c r="C1191" s="155" t="s">
        <v>113</v>
      </c>
      <c r="D1191" s="155"/>
      <c r="E1191" s="155" t="s">
        <v>698</v>
      </c>
      <c r="F1191" s="157">
        <v>4000</v>
      </c>
      <c r="G1191" s="158">
        <v>39.091000000000001</v>
      </c>
      <c r="H1191" s="157">
        <v>62.55</v>
      </c>
      <c r="I1191" s="157"/>
      <c r="J1191" s="159">
        <v>156426.54999999999</v>
      </c>
      <c r="K1191" s="6" t="s">
        <v>641</v>
      </c>
      <c r="L1191" s="20">
        <f>IF(ISNA(MATCH(Transactions[[#This Row],[TransType]],TransTypes[TransType],0)),1,MATCH(Transactions[[#This Row],[TransType]],TransTypes[TransType],0))</f>
        <v>2</v>
      </c>
      <c r="M1191" s="160">
        <f>IF( AND( INDEX(TransTypes[],Transactions[[#This Row],[TTR]],TT_COL_GLFlag)=1, INDEX(TransTypes[],Transactions[[#This Row],[TTR]],TT_COL_LONGORSHORT)="S" ),
      Transactions[[#This Row],[PL]],
      IF(INDEX(TransTypes[],Transactions[[#This Row],[TTR]],TT_COL_LONGORSHORT)="S",0,Transactions[[#This Row],[CalCashImpact]])
)</f>
        <v>-156426.54999999999</v>
      </c>
      <c r="N1191" s="161">
        <f>IF(VLOOKUP(Transactions[[#This Row],[Symbol]],Symbols[],COLUMN(Symbols[Currency])-COLUMN(Symbols[])+1,FALSE)=
       VLOOKUP(Transactions[[#This Row],[Account]],Accounts[],COLUMN(Accounts[Currency])-COLUMN(Accounts[])+1,FALSE),
     Transactions[[#This Row],[OrigCashImpact]],
     0
)</f>
        <v>-156426.54999999999</v>
      </c>
      <c r="O11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215296.70999999909</v>
      </c>
      <c r="P11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1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191" s="41">
        <f>ROW()</f>
        <v>1191</v>
      </c>
      <c r="S11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156426.54999999999</v>
      </c>
      <c r="T11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156426.54999999999</v>
      </c>
      <c r="U11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191" s="166">
        <f>IF(INDEX(TransTypes[],Transactions[[#This Row],[TTR]],TT_COL_GLFlag)=1,Transactions[[#This Row],[CalCashImpact]]+Transactions[[#This Row],[CostImpact]],0)</f>
        <v>0</v>
      </c>
      <c r="W1191" s="167">
        <f>Transactions[[#This Row],[Amount]]*INDEX(TransTypes[],Transactions[[#This Row],[TTR]],TT_COL_AmntSign)</f>
        <v>-156426.54999999999</v>
      </c>
      <c r="X1191" s="167">
        <f>IF(INDEX(TransTypes[],Transactions[[#This Row],[TTR]],TT_COL_LONGORSHORT)="S",
      IF( OR(INDEX(TransTypes[],Transactions[[#This Row],[TTR]],TT_COL_GLFlag)=1, INDEX(TransTypes[], Transactions[[#This Row],[TTR]], TT_COL_ShareTransferFlag)=1),
            Transactions[[#This Row],[CostImpact]]*-1,
            Transactions[[#This Row],[CalCashImpact]]
      ),
     0
)</f>
        <v>0</v>
      </c>
      <c r="Y1191" s="168" t="str">
        <f>VLOOKUP(Transactions[[#This Row],[Symbol]],Symbols[], COLUMN(Symbols[Currency])-COLUMN(Symbols[])+1,FALSE)</f>
        <v>CNY</v>
      </c>
    </row>
    <row r="1192" spans="1:25">
      <c r="A1192" s="155" t="s">
        <v>82</v>
      </c>
      <c r="B1192" s="156">
        <v>42537</v>
      </c>
      <c r="C1192" s="155" t="s">
        <v>115</v>
      </c>
      <c r="D1192" s="155"/>
      <c r="E1192" s="155" t="s">
        <v>699</v>
      </c>
      <c r="F1192" s="157">
        <v>60000</v>
      </c>
      <c r="G1192" s="158">
        <v>2.7530000000000001</v>
      </c>
      <c r="H1192" s="157">
        <v>66.069999999999993</v>
      </c>
      <c r="I1192" s="157"/>
      <c r="J1192" s="159">
        <v>165113.93</v>
      </c>
      <c r="K1192" s="6" t="s">
        <v>641</v>
      </c>
      <c r="L1192" s="20">
        <f>IF(ISNA(MATCH(Transactions[[#This Row],[TransType]],TransTypes[TransType],0)),1,MATCH(Transactions[[#This Row],[TransType]],TransTypes[TransType],0))</f>
        <v>3</v>
      </c>
      <c r="M1192" s="160">
        <f>IF( AND( INDEX(TransTypes[],Transactions[[#This Row],[TTR]],TT_COL_GLFlag)=1, INDEX(TransTypes[],Transactions[[#This Row],[TTR]],TT_COL_LONGORSHORT)="S" ),
      Transactions[[#This Row],[PL]],
      IF(INDEX(TransTypes[],Transactions[[#This Row],[TTR]],TT_COL_LONGORSHORT)="S",0,Transactions[[#This Row],[CalCashImpact]])
)</f>
        <v>165113.93</v>
      </c>
      <c r="N1192" s="161">
        <f>IF(VLOOKUP(Transactions[[#This Row],[Symbol]],Symbols[],COLUMN(Symbols[Currency])-COLUMN(Symbols[])+1,FALSE)=
       VLOOKUP(Transactions[[#This Row],[Account]],Accounts[],COLUMN(Accounts[Currency])-COLUMN(Accounts[])+1,FALSE),
     Transactions[[#This Row],[OrigCashImpact]],
     0
)</f>
        <v>165113.93</v>
      </c>
      <c r="O11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380410.63999999908</v>
      </c>
      <c r="P11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11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92" s="41">
        <f>ROW()</f>
        <v>1192</v>
      </c>
      <c r="S11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-159137.89367088606</v>
      </c>
      <c r="T11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60000</v>
      </c>
      <c r="V1192" s="166">
        <f>IF(INDEX(TransTypes[],Transactions[[#This Row],[TTR]],TT_COL_GLFlag)=1,Transactions[[#This Row],[CalCashImpact]]+Transactions[[#This Row],[CostImpact]],0)</f>
        <v>5976.0363291139365</v>
      </c>
      <c r="W1192" s="167">
        <f>Transactions[[#This Row],[Amount]]*INDEX(TransTypes[],Transactions[[#This Row],[TTR]],TT_COL_AmntSign)</f>
        <v>165113.93</v>
      </c>
      <c r="X1192" s="167">
        <f>IF(INDEX(TransTypes[],Transactions[[#This Row],[TTR]],TT_COL_LONGORSHORT)="S",
      IF( OR(INDEX(TransTypes[],Transactions[[#This Row],[TTR]],TT_COL_GLFlag)=1, INDEX(TransTypes[], Transactions[[#This Row],[TTR]], TT_COL_ShareTransferFlag)=1),
            Transactions[[#This Row],[CostImpact]]*-1,
            Transactions[[#This Row],[CalCashImpact]]
      ),
     0
)</f>
        <v>0</v>
      </c>
      <c r="Y1192" s="168" t="str">
        <f>VLOOKUP(Transactions[[#This Row],[Symbol]],Symbols[], COLUMN(Symbols[Currency])-COLUMN(Symbols[])+1,FALSE)</f>
        <v>CNY</v>
      </c>
    </row>
    <row r="1193" spans="1:25">
      <c r="A1193" s="155" t="s">
        <v>82</v>
      </c>
      <c r="B1193" s="156">
        <v>42537</v>
      </c>
      <c r="C1193" s="155" t="s">
        <v>113</v>
      </c>
      <c r="D1193" s="155"/>
      <c r="E1193" s="155" t="s">
        <v>708</v>
      </c>
      <c r="F1193" s="157">
        <v>10000</v>
      </c>
      <c r="G1193" s="158">
        <v>18.600000000000001</v>
      </c>
      <c r="H1193" s="157">
        <v>78.12</v>
      </c>
      <c r="I1193" s="157"/>
      <c r="J1193" s="159">
        <v>186078.12</v>
      </c>
      <c r="K1193" s="6" t="s">
        <v>641</v>
      </c>
      <c r="L1193" s="20">
        <f>IF(ISNA(MATCH(Transactions[[#This Row],[TransType]],TransTypes[TransType],0)),1,MATCH(Transactions[[#This Row],[TransType]],TransTypes[TransType],0))</f>
        <v>2</v>
      </c>
      <c r="M1193" s="160">
        <f>IF( AND( INDEX(TransTypes[],Transactions[[#This Row],[TTR]],TT_COL_GLFlag)=1, INDEX(TransTypes[],Transactions[[#This Row],[TTR]],TT_COL_LONGORSHORT)="S" ),
      Transactions[[#This Row],[PL]],
      IF(INDEX(TransTypes[],Transactions[[#This Row],[TTR]],TT_COL_LONGORSHORT)="S",0,Transactions[[#This Row],[CalCashImpact]])
)</f>
        <v>-186078.12</v>
      </c>
      <c r="N1193" s="161">
        <f>IF(VLOOKUP(Transactions[[#This Row],[Symbol]],Symbols[],COLUMN(Symbols[Currency])-COLUMN(Symbols[])+1,FALSE)=
       VLOOKUP(Transactions[[#This Row],[Account]],Accounts[],COLUMN(Accounts[Currency])-COLUMN(Accounts[])+1,FALSE),
     Transactions[[#This Row],[OrigCashImpact]],
     0
)</f>
        <v>-186078.12</v>
      </c>
      <c r="O11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194332.51999999909</v>
      </c>
      <c r="P11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1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193" s="41">
        <f>ROW()</f>
        <v>1193</v>
      </c>
      <c r="S11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186078.12</v>
      </c>
      <c r="T11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186078.12</v>
      </c>
      <c r="U11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193" s="166">
        <f>IF(INDEX(TransTypes[],Transactions[[#This Row],[TTR]],TT_COL_GLFlag)=1,Transactions[[#This Row],[CalCashImpact]]+Transactions[[#This Row],[CostImpact]],0)</f>
        <v>0</v>
      </c>
      <c r="W1193" s="167">
        <f>Transactions[[#This Row],[Amount]]*INDEX(TransTypes[],Transactions[[#This Row],[TTR]],TT_COL_AmntSign)</f>
        <v>-186078.12</v>
      </c>
      <c r="X1193" s="167">
        <f>IF(INDEX(TransTypes[],Transactions[[#This Row],[TTR]],TT_COL_LONGORSHORT)="S",
      IF( OR(INDEX(TransTypes[],Transactions[[#This Row],[TTR]],TT_COL_GLFlag)=1, INDEX(TransTypes[], Transactions[[#This Row],[TTR]], TT_COL_ShareTransferFlag)=1),
            Transactions[[#This Row],[CostImpact]]*-1,
            Transactions[[#This Row],[CalCashImpact]]
      ),
     0
)</f>
        <v>0</v>
      </c>
      <c r="Y1193" s="168" t="str">
        <f>VLOOKUP(Transactions[[#This Row],[Symbol]],Symbols[], COLUMN(Symbols[Currency])-COLUMN(Symbols[])+1,FALSE)</f>
        <v>CNY</v>
      </c>
    </row>
    <row r="1194" spans="1:25">
      <c r="A1194" s="155" t="s">
        <v>82</v>
      </c>
      <c r="B1194" s="156">
        <v>42537</v>
      </c>
      <c r="C1194" s="155" t="s">
        <v>115</v>
      </c>
      <c r="D1194" s="155"/>
      <c r="E1194" s="155" t="s">
        <v>677</v>
      </c>
      <c r="F1194" s="157">
        <v>5000</v>
      </c>
      <c r="G1194" s="158">
        <v>8.3520000000000003</v>
      </c>
      <c r="H1194" s="157">
        <v>59.3</v>
      </c>
      <c r="I1194" s="157"/>
      <c r="J1194" s="159">
        <v>41700.699999999997</v>
      </c>
      <c r="K1194" s="6" t="s">
        <v>641</v>
      </c>
      <c r="L1194" s="20">
        <f>IF(ISNA(MATCH(Transactions[[#This Row],[TransType]],TransTypes[TransType],0)),1,MATCH(Transactions[[#This Row],[TransType]],TransTypes[TransType],0))</f>
        <v>3</v>
      </c>
      <c r="M1194" s="160">
        <f>IF( AND( INDEX(TransTypes[],Transactions[[#This Row],[TTR]],TT_COL_GLFlag)=1, INDEX(TransTypes[],Transactions[[#This Row],[TTR]],TT_COL_LONGORSHORT)="S" ),
      Transactions[[#This Row],[PL]],
      IF(INDEX(TransTypes[],Transactions[[#This Row],[TTR]],TT_COL_LONGORSHORT)="S",0,Transactions[[#This Row],[CalCashImpact]])
)</f>
        <v>41700.699999999997</v>
      </c>
      <c r="N1194" s="161">
        <f>IF(VLOOKUP(Transactions[[#This Row],[Symbol]],Symbols[],COLUMN(Symbols[Currency])-COLUMN(Symbols[])+1,FALSE)=
       VLOOKUP(Transactions[[#This Row],[Account]],Accounts[],COLUMN(Accounts[Currency])-COLUMN(Accounts[])+1,FALSE),
     Transactions[[#This Row],[OrigCashImpact]],
     0
)</f>
        <v>41700.699999999997</v>
      </c>
      <c r="O11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236033.2199999991</v>
      </c>
      <c r="P11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1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94" s="41">
        <f>ROW()</f>
        <v>1194</v>
      </c>
      <c r="S11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-41829.266000000003</v>
      </c>
      <c r="T11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94" s="166">
        <f>IF(INDEX(TransTypes[],Transactions[[#This Row],[TTR]],TT_COL_GLFlag)=1,Transactions[[#This Row],[CalCashImpact]]+Transactions[[#This Row],[CostImpact]],0)</f>
        <v>-128.56600000000617</v>
      </c>
      <c r="W1194" s="167">
        <f>Transactions[[#This Row],[Amount]]*INDEX(TransTypes[],Transactions[[#This Row],[TTR]],TT_COL_AmntSign)</f>
        <v>41700.699999999997</v>
      </c>
      <c r="X1194" s="167">
        <f>IF(INDEX(TransTypes[],Transactions[[#This Row],[TTR]],TT_COL_LONGORSHORT)="S",
      IF( OR(INDEX(TransTypes[],Transactions[[#This Row],[TTR]],TT_COL_GLFlag)=1, INDEX(TransTypes[], Transactions[[#This Row],[TTR]], TT_COL_ShareTransferFlag)=1),
            Transactions[[#This Row],[CostImpact]]*-1,
            Transactions[[#This Row],[CalCashImpact]]
      ),
     0
)</f>
        <v>0</v>
      </c>
      <c r="Y1194" s="168" t="str">
        <f>VLOOKUP(Transactions[[#This Row],[Symbol]],Symbols[], COLUMN(Symbols[Currency])-COLUMN(Symbols[])+1,FALSE)</f>
        <v>CNY</v>
      </c>
    </row>
    <row r="1195" spans="1:25">
      <c r="A1195" s="155" t="s">
        <v>82</v>
      </c>
      <c r="B1195" s="156">
        <v>42545</v>
      </c>
      <c r="C1195" s="155" t="s">
        <v>113</v>
      </c>
      <c r="D1195" s="155"/>
      <c r="E1195" s="155" t="s">
        <v>705</v>
      </c>
      <c r="F1195" s="157">
        <v>3000</v>
      </c>
      <c r="G1195" s="158">
        <v>18.59</v>
      </c>
      <c r="H1195" s="157">
        <v>23.43</v>
      </c>
      <c r="I1195" s="157"/>
      <c r="J1195" s="159">
        <v>55793.43</v>
      </c>
      <c r="K1195" s="6" t="s">
        <v>641</v>
      </c>
      <c r="L1195" s="20">
        <f>IF(ISNA(MATCH(Transactions[[#This Row],[TransType]],TransTypes[TransType],0)),1,MATCH(Transactions[[#This Row],[TransType]],TransTypes[TransType],0))</f>
        <v>2</v>
      </c>
      <c r="M1195" s="160">
        <f>IF( AND( INDEX(TransTypes[],Transactions[[#This Row],[TTR]],TT_COL_GLFlag)=1, INDEX(TransTypes[],Transactions[[#This Row],[TTR]],TT_COL_LONGORSHORT)="S" ),
      Transactions[[#This Row],[PL]],
      IF(INDEX(TransTypes[],Transactions[[#This Row],[TTR]],TT_COL_LONGORSHORT)="S",0,Transactions[[#This Row],[CalCashImpact]])
)</f>
        <v>-55793.43</v>
      </c>
      <c r="N1195" s="161">
        <f>IF(VLOOKUP(Transactions[[#This Row],[Symbol]],Symbols[],COLUMN(Symbols[Currency])-COLUMN(Symbols[])+1,FALSE)=
       VLOOKUP(Transactions[[#This Row],[Account]],Accounts[],COLUMN(Accounts[Currency])-COLUMN(Accounts[])+1,FALSE),
     Transactions[[#This Row],[OrigCashImpact]],
     0
)</f>
        <v>-55793.43</v>
      </c>
      <c r="O11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180239.78999999911</v>
      </c>
      <c r="P11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1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195" s="41">
        <f>ROW()</f>
        <v>1195</v>
      </c>
      <c r="S11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55793.43</v>
      </c>
      <c r="T11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91748.53</v>
      </c>
      <c r="U11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195" s="166">
        <f>IF(INDEX(TransTypes[],Transactions[[#This Row],[TTR]],TT_COL_GLFlag)=1,Transactions[[#This Row],[CalCashImpact]]+Transactions[[#This Row],[CostImpact]],0)</f>
        <v>0</v>
      </c>
      <c r="W1195" s="167">
        <f>Transactions[[#This Row],[Amount]]*INDEX(TransTypes[],Transactions[[#This Row],[TTR]],TT_COL_AmntSign)</f>
        <v>-55793.43</v>
      </c>
      <c r="X1195" s="167">
        <f>IF(INDEX(TransTypes[],Transactions[[#This Row],[TTR]],TT_COL_LONGORSHORT)="S",
      IF( OR(INDEX(TransTypes[],Transactions[[#This Row],[TTR]],TT_COL_GLFlag)=1, INDEX(TransTypes[], Transactions[[#This Row],[TTR]], TT_COL_ShareTransferFlag)=1),
            Transactions[[#This Row],[CostImpact]]*-1,
            Transactions[[#This Row],[CalCashImpact]]
      ),
     0
)</f>
        <v>0</v>
      </c>
      <c r="Y1195" s="168" t="str">
        <f>VLOOKUP(Transactions[[#This Row],[Symbol]],Symbols[], COLUMN(Symbols[Currency])-COLUMN(Symbols[])+1,FALSE)</f>
        <v>CNY</v>
      </c>
    </row>
    <row r="1196" spans="1:25">
      <c r="A1196" s="155" t="s">
        <v>82</v>
      </c>
      <c r="B1196" s="156">
        <v>42545</v>
      </c>
      <c r="C1196" s="155" t="s">
        <v>152</v>
      </c>
      <c r="D1196" s="155"/>
      <c r="E1196" s="155" t="s">
        <v>210</v>
      </c>
      <c r="F1196" s="157"/>
      <c r="G1196" s="158"/>
      <c r="H1196" s="157"/>
      <c r="I1196" s="157"/>
      <c r="J1196" s="159">
        <v>85701.119999999995</v>
      </c>
      <c r="K1196" s="6" t="s">
        <v>641</v>
      </c>
      <c r="L1196" s="20">
        <f>IF(ISNA(MATCH(Transactions[[#This Row],[TransType]],TransTypes[TransType],0)),1,MATCH(Transactions[[#This Row],[TransType]],TransTypes[TransType],0))</f>
        <v>15</v>
      </c>
      <c r="M1196" s="160">
        <f>IF( AND( INDEX(TransTypes[],Transactions[[#This Row],[TTR]],TT_COL_GLFlag)=1, INDEX(TransTypes[],Transactions[[#This Row],[TTR]],TT_COL_LONGORSHORT)="S" ),
      Transactions[[#This Row],[PL]],
      IF(INDEX(TransTypes[],Transactions[[#This Row],[TTR]],TT_COL_LONGORSHORT)="S",0,Transactions[[#This Row],[CalCashImpact]])
)</f>
        <v>85701.119999999995</v>
      </c>
      <c r="N1196" s="161">
        <f>IF(VLOOKUP(Transactions[[#This Row],[Symbol]],Symbols[],COLUMN(Symbols[Currency])-COLUMN(Symbols[])+1,FALSE)=
       VLOOKUP(Transactions[[#This Row],[Account]],Accounts[],COLUMN(Accounts[Currency])-COLUMN(Accounts[])+1,FALSE),
     Transactions[[#This Row],[OrigCashImpact]],
     0
)</f>
        <v>0</v>
      </c>
      <c r="O11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180239.78999999911</v>
      </c>
      <c r="P11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96" s="41">
        <f>ROW()</f>
        <v>1196</v>
      </c>
      <c r="S11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96" s="166">
        <f>IF(INDEX(TransTypes[],Transactions[[#This Row],[TTR]],TT_COL_GLFlag)=1,Transactions[[#This Row],[CalCashImpact]]+Transactions[[#This Row],[CostImpact]],0)</f>
        <v>0</v>
      </c>
      <c r="W1196" s="167">
        <f>Transactions[[#This Row],[Amount]]*INDEX(TransTypes[],Transactions[[#This Row],[TTR]],TT_COL_AmntSign)</f>
        <v>85701.119999999995</v>
      </c>
      <c r="X1196" s="167">
        <f>IF(INDEX(TransTypes[],Transactions[[#This Row],[TTR]],TT_COL_LONGORSHORT)="S",
      IF( OR(INDEX(TransTypes[],Transactions[[#This Row],[TTR]],TT_COL_GLFlag)=1, INDEX(TransTypes[], Transactions[[#This Row],[TTR]], TT_COL_ShareTransferFlag)=1),
            Transactions[[#This Row],[CostImpact]]*-1,
            Transactions[[#This Row],[CalCashImpact]]
      ),
     0
)</f>
        <v>0</v>
      </c>
      <c r="Y1196" s="168" t="str">
        <f>VLOOKUP(Transactions[[#This Row],[Symbol]],Symbols[], COLUMN(Symbols[Currency])-COLUMN(Symbols[])+1,FALSE)</f>
        <v>HKD</v>
      </c>
    </row>
    <row r="1197" spans="1:25">
      <c r="A1197" s="155" t="s">
        <v>82</v>
      </c>
      <c r="B1197" s="156">
        <v>42545</v>
      </c>
      <c r="C1197" s="155" t="s">
        <v>238</v>
      </c>
      <c r="D1197" s="155"/>
      <c r="E1197" s="155" t="s">
        <v>211</v>
      </c>
      <c r="F1197" s="157"/>
      <c r="G1197" s="158"/>
      <c r="H1197" s="157"/>
      <c r="I1197" s="157"/>
      <c r="J1197" s="159">
        <v>73243.600000000006</v>
      </c>
      <c r="K1197" s="6" t="s">
        <v>709</v>
      </c>
      <c r="L1197" s="20">
        <f>IF(ISNA(MATCH(Transactions[[#This Row],[TransType]],TransTypes[TransType],0)),1,MATCH(Transactions[[#This Row],[TransType]],TransTypes[TransType],0))</f>
        <v>16</v>
      </c>
      <c r="M1197" s="160">
        <f>IF( AND( INDEX(TransTypes[],Transactions[[#This Row],[TTR]],TT_COL_GLFlag)=1, INDEX(TransTypes[],Transactions[[#This Row],[TTR]],TT_COL_LONGORSHORT)="S" ),
      Transactions[[#This Row],[PL]],
      IF(INDEX(TransTypes[],Transactions[[#This Row],[TTR]],TT_COL_LONGORSHORT)="S",0,Transactions[[#This Row],[CalCashImpact]])
)</f>
        <v>-73243.600000000006</v>
      </c>
      <c r="N1197" s="161">
        <f>IF(VLOOKUP(Transactions[[#This Row],[Symbol]],Symbols[],COLUMN(Symbols[Currency])-COLUMN(Symbols[])+1,FALSE)=
       VLOOKUP(Transactions[[#This Row],[Account]],Accounts[],COLUMN(Accounts[Currency])-COLUMN(Accounts[])+1,FALSE),
     Transactions[[#This Row],[OrigCashImpact]],
     0
)</f>
        <v>-73243.600000000006</v>
      </c>
      <c r="O11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106996.1899999991</v>
      </c>
      <c r="P11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1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197" s="41">
        <f>ROW()</f>
        <v>1197</v>
      </c>
      <c r="S11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1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1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197" s="166">
        <f>IF(INDEX(TransTypes[],Transactions[[#This Row],[TTR]],TT_COL_GLFlag)=1,Transactions[[#This Row],[CalCashImpact]]+Transactions[[#This Row],[CostImpact]],0)</f>
        <v>0</v>
      </c>
      <c r="W1197" s="167">
        <f>Transactions[[#This Row],[Amount]]*INDEX(TransTypes[],Transactions[[#This Row],[TTR]],TT_COL_AmntSign)</f>
        <v>-73243.600000000006</v>
      </c>
      <c r="X1197" s="167">
        <f>IF(INDEX(TransTypes[],Transactions[[#This Row],[TTR]],TT_COL_LONGORSHORT)="S",
      IF( OR(INDEX(TransTypes[],Transactions[[#This Row],[TTR]],TT_COL_GLFlag)=1, INDEX(TransTypes[], Transactions[[#This Row],[TTR]], TT_COL_ShareTransferFlag)=1),
            Transactions[[#This Row],[CostImpact]]*-1,
            Transactions[[#This Row],[CalCashImpact]]
      ),
     0
)</f>
        <v>0</v>
      </c>
      <c r="Y1197" s="168" t="str">
        <f>VLOOKUP(Transactions[[#This Row],[Symbol]],Symbols[], COLUMN(Symbols[Currency])-COLUMN(Symbols[])+1,FALSE)</f>
        <v>CNY</v>
      </c>
    </row>
    <row r="1198" spans="1:25">
      <c r="A1198" s="155" t="s">
        <v>82</v>
      </c>
      <c r="B1198" s="156">
        <v>42545</v>
      </c>
      <c r="C1198" s="155" t="s">
        <v>113</v>
      </c>
      <c r="D1198" s="155"/>
      <c r="E1198" s="155" t="s">
        <v>646</v>
      </c>
      <c r="F1198" s="157">
        <v>500</v>
      </c>
      <c r="G1198" s="158">
        <v>170.7</v>
      </c>
      <c r="H1198" s="157">
        <v>351.12</v>
      </c>
      <c r="I1198" s="157"/>
      <c r="J1198" s="159">
        <v>85701.119999999995</v>
      </c>
      <c r="K1198" s="6" t="s">
        <v>641</v>
      </c>
      <c r="L1198" s="20">
        <f>IF(ISNA(MATCH(Transactions[[#This Row],[TransType]],TransTypes[TransType],0)),1,MATCH(Transactions[[#This Row],[TransType]],TransTypes[TransType],0))</f>
        <v>2</v>
      </c>
      <c r="M1198" s="160">
        <f>IF( AND( INDEX(TransTypes[],Transactions[[#This Row],[TTR]],TT_COL_GLFlag)=1, INDEX(TransTypes[],Transactions[[#This Row],[TTR]],TT_COL_LONGORSHORT)="S" ),
      Transactions[[#This Row],[PL]],
      IF(INDEX(TransTypes[],Transactions[[#This Row],[TTR]],TT_COL_LONGORSHORT)="S",0,Transactions[[#This Row],[CalCashImpact]])
)</f>
        <v>-85701.119999999995</v>
      </c>
      <c r="N1198" s="161">
        <f>IF(VLOOKUP(Transactions[[#This Row],[Symbol]],Symbols[],COLUMN(Symbols[Currency])-COLUMN(Symbols[])+1,FALSE)=
       VLOOKUP(Transactions[[#This Row],[Account]],Accounts[],COLUMN(Accounts[Currency])-COLUMN(Accounts[])+1,FALSE),
     Transactions[[#This Row],[OrigCashImpact]],
     0
)</f>
        <v>0</v>
      </c>
      <c r="O11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106996.1899999991</v>
      </c>
      <c r="P11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1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198" s="41">
        <f>ROW()</f>
        <v>1198</v>
      </c>
      <c r="S11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85701.119999999995</v>
      </c>
      <c r="T11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577409.19999999995</v>
      </c>
      <c r="U11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198" s="166">
        <f>IF(INDEX(TransTypes[],Transactions[[#This Row],[TTR]],TT_COL_GLFlag)=1,Transactions[[#This Row],[CalCashImpact]]+Transactions[[#This Row],[CostImpact]],0)</f>
        <v>0</v>
      </c>
      <c r="W1198" s="167">
        <f>Transactions[[#This Row],[Amount]]*INDEX(TransTypes[],Transactions[[#This Row],[TTR]],TT_COL_AmntSign)</f>
        <v>-85701.119999999995</v>
      </c>
      <c r="X1198" s="167">
        <f>IF(INDEX(TransTypes[],Transactions[[#This Row],[TTR]],TT_COL_LONGORSHORT)="S",
      IF( OR(INDEX(TransTypes[],Transactions[[#This Row],[TTR]],TT_COL_GLFlag)=1, INDEX(TransTypes[], Transactions[[#This Row],[TTR]], TT_COL_ShareTransferFlag)=1),
            Transactions[[#This Row],[CostImpact]]*-1,
            Transactions[[#This Row],[CalCashImpact]]
      ),
     0
)</f>
        <v>0</v>
      </c>
      <c r="Y1198" s="168" t="str">
        <f>VLOOKUP(Transactions[[#This Row],[Symbol]],Symbols[], COLUMN(Symbols[Currency])-COLUMN(Symbols[])+1,FALSE)</f>
        <v>HKD</v>
      </c>
    </row>
    <row r="1199" spans="1:25">
      <c r="A1199" s="155" t="s">
        <v>82</v>
      </c>
      <c r="B1199" s="156">
        <v>42550</v>
      </c>
      <c r="C1199" s="155" t="s">
        <v>113</v>
      </c>
      <c r="D1199" s="155"/>
      <c r="E1199" s="155" t="s">
        <v>642</v>
      </c>
      <c r="F1199" s="157">
        <v>4000</v>
      </c>
      <c r="G1199" s="158">
        <v>27.2</v>
      </c>
      <c r="H1199" s="157">
        <v>43.52</v>
      </c>
      <c r="I1199" s="157"/>
      <c r="J1199" s="159">
        <v>108843.52</v>
      </c>
      <c r="K1199" s="6" t="s">
        <v>641</v>
      </c>
      <c r="L1199" s="20">
        <f>IF(ISNA(MATCH(Transactions[[#This Row],[TransType]],TransTypes[TransType],0)),1,MATCH(Transactions[[#This Row],[TransType]],TransTypes[TransType],0))</f>
        <v>2</v>
      </c>
      <c r="M1199" s="160">
        <f>IF( AND( INDEX(TransTypes[],Transactions[[#This Row],[TTR]],TT_COL_GLFlag)=1, INDEX(TransTypes[],Transactions[[#This Row],[TTR]],TT_COL_LONGORSHORT)="S" ),
      Transactions[[#This Row],[PL]],
      IF(INDEX(TransTypes[],Transactions[[#This Row],[TTR]],TT_COL_LONGORSHORT)="S",0,Transactions[[#This Row],[CalCashImpact]])
)</f>
        <v>-108843.52</v>
      </c>
      <c r="N1199" s="161">
        <f>IF(VLOOKUP(Transactions[[#This Row],[Symbol]],Symbols[],COLUMN(Symbols[Currency])-COLUMN(Symbols[])+1,FALSE)=
       VLOOKUP(Transactions[[#This Row],[Account]],Accounts[],COLUMN(Accounts[Currency])-COLUMN(Accounts[])+1,FALSE),
     Transactions[[#This Row],[OrigCashImpact]],
     0
)</f>
        <v>-108843.52</v>
      </c>
      <c r="O11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-1847.330000000904</v>
      </c>
      <c r="P11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1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199" s="41">
        <f>ROW()</f>
        <v>1199</v>
      </c>
      <c r="S11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108843.52</v>
      </c>
      <c r="T11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212631.68142857141</v>
      </c>
      <c r="U11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199" s="166">
        <f>IF(INDEX(TransTypes[],Transactions[[#This Row],[TTR]],TT_COL_GLFlag)=1,Transactions[[#This Row],[CalCashImpact]]+Transactions[[#This Row],[CostImpact]],0)</f>
        <v>0</v>
      </c>
      <c r="W1199" s="167">
        <f>Transactions[[#This Row],[Amount]]*INDEX(TransTypes[],Transactions[[#This Row],[TTR]],TT_COL_AmntSign)</f>
        <v>-108843.52</v>
      </c>
      <c r="X1199" s="167">
        <f>IF(INDEX(TransTypes[],Transactions[[#This Row],[TTR]],TT_COL_LONGORSHORT)="S",
      IF( OR(INDEX(TransTypes[],Transactions[[#This Row],[TTR]],TT_COL_GLFlag)=1, INDEX(TransTypes[], Transactions[[#This Row],[TTR]], TT_COL_ShareTransferFlag)=1),
            Transactions[[#This Row],[CostImpact]]*-1,
            Transactions[[#This Row],[CalCashImpact]]
      ),
     0
)</f>
        <v>0</v>
      </c>
      <c r="Y1199" s="168" t="str">
        <f>VLOOKUP(Transactions[[#This Row],[Symbol]],Symbols[], COLUMN(Symbols[Currency])-COLUMN(Symbols[])+1,FALSE)</f>
        <v>CNY</v>
      </c>
    </row>
    <row r="1200" spans="1:25">
      <c r="A1200" s="155" t="s">
        <v>82</v>
      </c>
      <c r="B1200" s="156">
        <v>42550</v>
      </c>
      <c r="C1200" s="155" t="s">
        <v>115</v>
      </c>
      <c r="D1200" s="155"/>
      <c r="E1200" s="155" t="s">
        <v>647</v>
      </c>
      <c r="F1200" s="157">
        <v>3000</v>
      </c>
      <c r="G1200" s="158">
        <v>27.36</v>
      </c>
      <c r="H1200" s="157">
        <v>114.91</v>
      </c>
      <c r="I1200" s="157"/>
      <c r="J1200" s="159">
        <v>81965.09</v>
      </c>
      <c r="K1200" s="6" t="s">
        <v>641</v>
      </c>
      <c r="L1200" s="20">
        <f>IF(ISNA(MATCH(Transactions[[#This Row],[TransType]],TransTypes[TransType],0)),1,MATCH(Transactions[[#This Row],[TransType]],TransTypes[TransType],0))</f>
        <v>3</v>
      </c>
      <c r="M1200" s="160">
        <f>IF( AND( INDEX(TransTypes[],Transactions[[#This Row],[TTR]],TT_COL_GLFlag)=1, INDEX(TransTypes[],Transactions[[#This Row],[TTR]],TT_COL_LONGORSHORT)="S" ),
      Transactions[[#This Row],[PL]],
      IF(INDEX(TransTypes[],Transactions[[#This Row],[TTR]],TT_COL_LONGORSHORT)="S",0,Transactions[[#This Row],[CalCashImpact]])
)</f>
        <v>81965.09</v>
      </c>
      <c r="N1200" s="161">
        <f>IF(VLOOKUP(Transactions[[#This Row],[Symbol]],Symbols[],COLUMN(Symbols[Currency])-COLUMN(Symbols[])+1,FALSE)=
       VLOOKUP(Transactions[[#This Row],[Account]],Accounts[],COLUMN(Accounts[Currency])-COLUMN(Accounts[])+1,FALSE),
     Transactions[[#This Row],[OrigCashImpact]],
     0
)</f>
        <v>81965.09</v>
      </c>
      <c r="O12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80117.759999999093</v>
      </c>
      <c r="P12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00" s="41">
        <f>ROW()</f>
        <v>1200</v>
      </c>
      <c r="S12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-74502.845493365807</v>
      </c>
      <c r="T12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00" s="166">
        <f>IF(INDEX(TransTypes[],Transactions[[#This Row],[TTR]],TT_COL_GLFlag)=1,Transactions[[#This Row],[CalCashImpact]]+Transactions[[#This Row],[CostImpact]],0)</f>
        <v>7462.2445066341897</v>
      </c>
      <c r="W1200" s="167">
        <f>Transactions[[#This Row],[Amount]]*INDEX(TransTypes[],Transactions[[#This Row],[TTR]],TT_COL_AmntSign)</f>
        <v>81965.09</v>
      </c>
      <c r="X1200" s="167">
        <f>IF(INDEX(TransTypes[],Transactions[[#This Row],[TTR]],TT_COL_LONGORSHORT)="S",
      IF( OR(INDEX(TransTypes[],Transactions[[#This Row],[TTR]],TT_COL_GLFlag)=1, INDEX(TransTypes[], Transactions[[#This Row],[TTR]], TT_COL_ShareTransferFlag)=1),
            Transactions[[#This Row],[CostImpact]]*-1,
            Transactions[[#This Row],[CalCashImpact]]
      ),
     0
)</f>
        <v>0</v>
      </c>
      <c r="Y1200" s="168" t="str">
        <f>VLOOKUP(Transactions[[#This Row],[Symbol]],Symbols[], COLUMN(Symbols[Currency])-COLUMN(Symbols[])+1,FALSE)</f>
        <v>CNY</v>
      </c>
    </row>
    <row r="1201" spans="1:25">
      <c r="A1201" s="155" t="s">
        <v>82</v>
      </c>
      <c r="B1201" s="156">
        <v>42550</v>
      </c>
      <c r="C1201" s="155" t="s">
        <v>115</v>
      </c>
      <c r="D1201" s="155"/>
      <c r="E1201" s="155" t="s">
        <v>698</v>
      </c>
      <c r="F1201" s="157">
        <v>4000</v>
      </c>
      <c r="G1201" s="158">
        <v>37.869999999999997</v>
      </c>
      <c r="H1201" s="157">
        <v>212.07</v>
      </c>
      <c r="I1201" s="157"/>
      <c r="J1201" s="159">
        <v>151267.93</v>
      </c>
      <c r="K1201" s="6" t="s">
        <v>641</v>
      </c>
      <c r="L1201" s="20">
        <f>IF(ISNA(MATCH(Transactions[[#This Row],[TransType]],TransTypes[TransType],0)),1,MATCH(Transactions[[#This Row],[TransType]],TransTypes[TransType],0))</f>
        <v>3</v>
      </c>
      <c r="M1201" s="160">
        <f>IF( AND( INDEX(TransTypes[],Transactions[[#This Row],[TTR]],TT_COL_GLFlag)=1, INDEX(TransTypes[],Transactions[[#This Row],[TTR]],TT_COL_LONGORSHORT)="S" ),
      Transactions[[#This Row],[PL]],
      IF(INDEX(TransTypes[],Transactions[[#This Row],[TTR]],TT_COL_LONGORSHORT)="S",0,Transactions[[#This Row],[CalCashImpact]])
)</f>
        <v>151267.93</v>
      </c>
      <c r="N1201" s="161">
        <f>IF(VLOOKUP(Transactions[[#This Row],[Symbol]],Symbols[],COLUMN(Symbols[Currency])-COLUMN(Symbols[])+1,FALSE)=
       VLOOKUP(Transactions[[#This Row],[Account]],Accounts[],COLUMN(Accounts[Currency])-COLUMN(Accounts[])+1,FALSE),
     Transactions[[#This Row],[OrigCashImpact]],
     0
)</f>
        <v>151267.93</v>
      </c>
      <c r="O12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231385.68999999907</v>
      </c>
      <c r="P12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2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01" s="41">
        <f>ROW()</f>
        <v>1201</v>
      </c>
      <c r="S12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-156426.54999999999</v>
      </c>
      <c r="T12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201" s="166">
        <f>IF(INDEX(TransTypes[],Transactions[[#This Row],[TTR]],TT_COL_GLFlag)=1,Transactions[[#This Row],[CalCashImpact]]+Transactions[[#This Row],[CostImpact]],0)</f>
        <v>-5158.6199999999953</v>
      </c>
      <c r="W1201" s="167">
        <f>Transactions[[#This Row],[Amount]]*INDEX(TransTypes[],Transactions[[#This Row],[TTR]],TT_COL_AmntSign)</f>
        <v>151267.93</v>
      </c>
      <c r="X1201" s="167">
        <f>IF(INDEX(TransTypes[],Transactions[[#This Row],[TTR]],TT_COL_LONGORSHORT)="S",
      IF( OR(INDEX(TransTypes[],Transactions[[#This Row],[TTR]],TT_COL_GLFlag)=1, INDEX(TransTypes[], Transactions[[#This Row],[TTR]], TT_COL_ShareTransferFlag)=1),
            Transactions[[#This Row],[CostImpact]]*-1,
            Transactions[[#This Row],[CalCashImpact]]
      ),
     0
)</f>
        <v>0</v>
      </c>
      <c r="Y1201" s="168" t="str">
        <f>VLOOKUP(Transactions[[#This Row],[Symbol]],Symbols[], COLUMN(Symbols[Currency])-COLUMN(Symbols[])+1,FALSE)</f>
        <v>CNY</v>
      </c>
    </row>
    <row r="1202" spans="1:25">
      <c r="A1202" s="155" t="s">
        <v>82</v>
      </c>
      <c r="B1202" s="156">
        <v>42550</v>
      </c>
      <c r="C1202" s="155" t="s">
        <v>115</v>
      </c>
      <c r="D1202" s="155"/>
      <c r="E1202" s="155" t="s">
        <v>464</v>
      </c>
      <c r="F1202" s="157">
        <v>200</v>
      </c>
      <c r="G1202" s="158">
        <v>285.375</v>
      </c>
      <c r="H1202" s="157">
        <v>81.05</v>
      </c>
      <c r="I1202" s="157"/>
      <c r="J1202" s="159">
        <v>56993.95</v>
      </c>
      <c r="K1202" s="6" t="s">
        <v>641</v>
      </c>
      <c r="L1202" s="20">
        <f>IF(ISNA(MATCH(Transactions[[#This Row],[TransType]],TransTypes[TransType],0)),1,MATCH(Transactions[[#This Row],[TransType]],TransTypes[TransType],0))</f>
        <v>3</v>
      </c>
      <c r="M1202" s="160">
        <f>IF( AND( INDEX(TransTypes[],Transactions[[#This Row],[TTR]],TT_COL_GLFlag)=1, INDEX(TransTypes[],Transactions[[#This Row],[TTR]],TT_COL_LONGORSHORT)="S" ),
      Transactions[[#This Row],[PL]],
      IF(INDEX(TransTypes[],Transactions[[#This Row],[TTR]],TT_COL_LONGORSHORT)="S",0,Transactions[[#This Row],[CalCashImpact]])
)</f>
        <v>56993.95</v>
      </c>
      <c r="N1202" s="161">
        <f>IF(VLOOKUP(Transactions[[#This Row],[Symbol]],Symbols[],COLUMN(Symbols[Currency])-COLUMN(Symbols[])+1,FALSE)=
       VLOOKUP(Transactions[[#This Row],[Account]],Accounts[],COLUMN(Accounts[Currency])-COLUMN(Accounts[])+1,FALSE),
     Transactions[[#This Row],[OrigCashImpact]],
     0
)</f>
        <v>56993.95</v>
      </c>
      <c r="O12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288379.63999999908</v>
      </c>
      <c r="P12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2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v>
      </c>
      <c r="R1202" s="41">
        <f>ROW()</f>
        <v>1202</v>
      </c>
      <c r="S12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-48229.911039999999</v>
      </c>
      <c r="T12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24114.955519999996</v>
      </c>
      <c r="U12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1202" s="166">
        <f>IF(INDEX(TransTypes[],Transactions[[#This Row],[TTR]],TT_COL_GLFlag)=1,Transactions[[#This Row],[CalCashImpact]]+Transactions[[#This Row],[CostImpact]],0)</f>
        <v>8764.038959999998</v>
      </c>
      <c r="W1202" s="167">
        <f>Transactions[[#This Row],[Amount]]*INDEX(TransTypes[],Transactions[[#This Row],[TTR]],TT_COL_AmntSign)</f>
        <v>56993.95</v>
      </c>
      <c r="X1202" s="167">
        <f>IF(INDEX(TransTypes[],Transactions[[#This Row],[TTR]],TT_COL_LONGORSHORT)="S",
      IF( OR(INDEX(TransTypes[],Transactions[[#This Row],[TTR]],TT_COL_GLFlag)=1, INDEX(TransTypes[], Transactions[[#This Row],[TTR]], TT_COL_ShareTransferFlag)=1),
            Transactions[[#This Row],[CostImpact]]*-1,
            Transactions[[#This Row],[CalCashImpact]]
      ),
     0
)</f>
        <v>0</v>
      </c>
      <c r="Y1202" s="168" t="str">
        <f>VLOOKUP(Transactions[[#This Row],[Symbol]],Symbols[], COLUMN(Symbols[Currency])-COLUMN(Symbols[])+1,FALSE)</f>
        <v>CNY</v>
      </c>
    </row>
    <row r="1203" spans="1:25">
      <c r="A1203" s="155" t="s">
        <v>82</v>
      </c>
      <c r="B1203" s="156">
        <v>42551</v>
      </c>
      <c r="C1203" s="155" t="s">
        <v>118</v>
      </c>
      <c r="D1203" s="155"/>
      <c r="E1203" s="155" t="s">
        <v>464</v>
      </c>
      <c r="F1203" s="157"/>
      <c r="G1203" s="158"/>
      <c r="H1203" s="157"/>
      <c r="I1203" s="157"/>
      <c r="J1203" s="159">
        <v>671.1</v>
      </c>
      <c r="K1203" s="6" t="s">
        <v>641</v>
      </c>
      <c r="L1203" s="20">
        <f>IF(ISNA(MATCH(Transactions[[#This Row],[TransType]],TransTypes[TransType],0)),1,MATCH(Transactions[[#This Row],[TransType]],TransTypes[TransType],0))</f>
        <v>4</v>
      </c>
      <c r="M1203" s="160">
        <f>IF( AND( INDEX(TransTypes[],Transactions[[#This Row],[TTR]],TT_COL_GLFlag)=1, INDEX(TransTypes[],Transactions[[#This Row],[TTR]],TT_COL_LONGORSHORT)="S" ),
      Transactions[[#This Row],[PL]],
      IF(INDEX(TransTypes[],Transactions[[#This Row],[TTR]],TT_COL_LONGORSHORT)="S",0,Transactions[[#This Row],[CalCashImpact]])
)</f>
        <v>671.1</v>
      </c>
      <c r="N1203" s="161">
        <f>IF(VLOOKUP(Transactions[[#This Row],[Symbol]],Symbols[],COLUMN(Symbols[Currency])-COLUMN(Symbols[])+1,FALSE)=
       VLOOKUP(Transactions[[#This Row],[Account]],Accounts[],COLUMN(Accounts[Currency])-COLUMN(Accounts[])+1,FALSE),
     Transactions[[#This Row],[OrigCashImpact]],
     0
)</f>
        <v>671.1</v>
      </c>
      <c r="O12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289050.73999999906</v>
      </c>
      <c r="P12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2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v>
      </c>
      <c r="R1203" s="41">
        <f>ROW()</f>
        <v>1203</v>
      </c>
      <c r="S12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2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24114.955519999996</v>
      </c>
      <c r="U12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v>
      </c>
      <c r="V1203" s="166">
        <f>IF(INDEX(TransTypes[],Transactions[[#This Row],[TTR]],TT_COL_GLFlag)=1,Transactions[[#This Row],[CalCashImpact]]+Transactions[[#This Row],[CostImpact]],0)</f>
        <v>0</v>
      </c>
      <c r="W1203" s="167">
        <f>Transactions[[#This Row],[Amount]]*INDEX(TransTypes[],Transactions[[#This Row],[TTR]],TT_COL_AmntSign)</f>
        <v>671.1</v>
      </c>
      <c r="X1203" s="167">
        <f>IF(INDEX(TransTypes[],Transactions[[#This Row],[TTR]],TT_COL_LONGORSHORT)="S",
      IF( OR(INDEX(TransTypes[],Transactions[[#This Row],[TTR]],TT_COL_GLFlag)=1, INDEX(TransTypes[], Transactions[[#This Row],[TTR]], TT_COL_ShareTransferFlag)=1),
            Transactions[[#This Row],[CostImpact]]*-1,
            Transactions[[#This Row],[CalCashImpact]]
      ),
     0
)</f>
        <v>0</v>
      </c>
      <c r="Y1203" s="168" t="str">
        <f>VLOOKUP(Transactions[[#This Row],[Symbol]],Symbols[], COLUMN(Symbols[Currency])-COLUMN(Symbols[])+1,FALSE)</f>
        <v>CNY</v>
      </c>
    </row>
    <row r="1204" spans="1:25">
      <c r="A1204" s="155" t="s">
        <v>82</v>
      </c>
      <c r="B1204" s="156">
        <v>42551</v>
      </c>
      <c r="C1204" s="155" t="s">
        <v>115</v>
      </c>
      <c r="D1204" s="155"/>
      <c r="E1204" s="155" t="s">
        <v>690</v>
      </c>
      <c r="F1204" s="157">
        <v>280400</v>
      </c>
      <c r="G1204" s="158">
        <v>1.101</v>
      </c>
      <c r="H1204" s="157">
        <v>123.49</v>
      </c>
      <c r="I1204" s="157"/>
      <c r="J1204" s="159">
        <v>308596.90999999997</v>
      </c>
      <c r="K1204" s="6" t="s">
        <v>641</v>
      </c>
      <c r="L1204" s="20">
        <f>IF(ISNA(MATCH(Transactions[[#This Row],[TransType]],TransTypes[TransType],0)),1,MATCH(Transactions[[#This Row],[TransType]],TransTypes[TransType],0))</f>
        <v>3</v>
      </c>
      <c r="M1204" s="160">
        <f>IF( AND( INDEX(TransTypes[],Transactions[[#This Row],[TTR]],TT_COL_GLFlag)=1, INDEX(TransTypes[],Transactions[[#This Row],[TTR]],TT_COL_LONGORSHORT)="S" ),
      Transactions[[#This Row],[PL]],
      IF(INDEX(TransTypes[],Transactions[[#This Row],[TTR]],TT_COL_LONGORSHORT)="S",0,Transactions[[#This Row],[CalCashImpact]])
)</f>
        <v>308596.90999999997</v>
      </c>
      <c r="N1204" s="161">
        <f>IF(VLOOKUP(Transactions[[#This Row],[Symbol]],Symbols[],COLUMN(Symbols[Currency])-COLUMN(Symbols[])+1,FALSE)=
       VLOOKUP(Transactions[[#This Row],[Account]],Accounts[],COLUMN(Accounts[Currency])-COLUMN(Accounts[])+1,FALSE),
     Transactions[[#This Row],[OrigCashImpact]],
     0
)</f>
        <v>308596.90999999997</v>
      </c>
      <c r="O12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597647.64999999898</v>
      </c>
      <c r="P12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-280400</v>
      </c>
      <c r="Q12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04" s="41">
        <f>ROW()</f>
        <v>1204</v>
      </c>
      <c r="S12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-309965.94</v>
      </c>
      <c r="T12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280400</v>
      </c>
      <c r="V1204" s="166">
        <f>IF(INDEX(TransTypes[],Transactions[[#This Row],[TTR]],TT_COL_GLFlag)=1,Transactions[[#This Row],[CalCashImpact]]+Transactions[[#This Row],[CostImpact]],0)</f>
        <v>-1369.0300000000279</v>
      </c>
      <c r="W1204" s="167">
        <f>Transactions[[#This Row],[Amount]]*INDEX(TransTypes[],Transactions[[#This Row],[TTR]],TT_COL_AmntSign)</f>
        <v>308596.90999999997</v>
      </c>
      <c r="X1204" s="167">
        <f>IF(INDEX(TransTypes[],Transactions[[#This Row],[TTR]],TT_COL_LONGORSHORT)="S",
      IF( OR(INDEX(TransTypes[],Transactions[[#This Row],[TTR]],TT_COL_GLFlag)=1, INDEX(TransTypes[], Transactions[[#This Row],[TTR]], TT_COL_ShareTransferFlag)=1),
            Transactions[[#This Row],[CostImpact]]*-1,
            Transactions[[#This Row],[CalCashImpact]]
      ),
     0
)</f>
        <v>0</v>
      </c>
      <c r="Y1204" s="168" t="str">
        <f>VLOOKUP(Transactions[[#This Row],[Symbol]],Symbols[], COLUMN(Symbols[Currency])-COLUMN(Symbols[])+1,FALSE)</f>
        <v>CNY</v>
      </c>
    </row>
    <row r="1205" spans="1:25">
      <c r="A1205" s="155" t="s">
        <v>82</v>
      </c>
      <c r="B1205" s="156">
        <v>42551</v>
      </c>
      <c r="C1205" s="155" t="s">
        <v>115</v>
      </c>
      <c r="D1205" s="155"/>
      <c r="E1205" s="155" t="s">
        <v>703</v>
      </c>
      <c r="F1205" s="157">
        <v>4000</v>
      </c>
      <c r="G1205" s="158">
        <v>24.33</v>
      </c>
      <c r="H1205" s="157">
        <v>136.26</v>
      </c>
      <c r="I1205" s="157"/>
      <c r="J1205" s="159">
        <v>97183.74</v>
      </c>
      <c r="K1205" s="6" t="s">
        <v>641</v>
      </c>
      <c r="L1205" s="20">
        <f>IF(ISNA(MATCH(Transactions[[#This Row],[TransType]],TransTypes[TransType],0)),1,MATCH(Transactions[[#This Row],[TransType]],TransTypes[TransType],0))</f>
        <v>3</v>
      </c>
      <c r="M1205" s="160">
        <f>IF( AND( INDEX(TransTypes[],Transactions[[#This Row],[TTR]],TT_COL_GLFlag)=1, INDEX(TransTypes[],Transactions[[#This Row],[TTR]],TT_COL_LONGORSHORT)="S" ),
      Transactions[[#This Row],[PL]],
      IF(INDEX(TransTypes[],Transactions[[#This Row],[TTR]],TT_COL_LONGORSHORT)="S",0,Transactions[[#This Row],[CalCashImpact]])
)</f>
        <v>97183.74</v>
      </c>
      <c r="N1205" s="161">
        <f>IF(VLOOKUP(Transactions[[#This Row],[Symbol]],Symbols[],COLUMN(Symbols[Currency])-COLUMN(Symbols[])+1,FALSE)=
       VLOOKUP(Transactions[[#This Row],[Account]],Accounts[],COLUMN(Accounts[Currency])-COLUMN(Accounts[])+1,FALSE),
     Transactions[[#This Row],[OrigCashImpact]],
     0
)</f>
        <v>97183.74</v>
      </c>
      <c r="O12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694831.38999999897</v>
      </c>
      <c r="P12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2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205" s="41">
        <f>ROW()</f>
        <v>1205</v>
      </c>
      <c r="S12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-90309.443333333329</v>
      </c>
      <c r="T12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180618.88666666669</v>
      </c>
      <c r="U12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205" s="166">
        <f>IF(INDEX(TransTypes[],Transactions[[#This Row],[TTR]],TT_COL_GLFlag)=1,Transactions[[#This Row],[CalCashImpact]]+Transactions[[#This Row],[CostImpact]],0)</f>
        <v>6874.2966666666762</v>
      </c>
      <c r="W1205" s="167">
        <f>Transactions[[#This Row],[Amount]]*INDEX(TransTypes[],Transactions[[#This Row],[TTR]],TT_COL_AmntSign)</f>
        <v>97183.74</v>
      </c>
      <c r="X1205" s="167">
        <f>IF(INDEX(TransTypes[],Transactions[[#This Row],[TTR]],TT_COL_LONGORSHORT)="S",
      IF( OR(INDEX(TransTypes[],Transactions[[#This Row],[TTR]],TT_COL_GLFlag)=1, INDEX(TransTypes[], Transactions[[#This Row],[TTR]], TT_COL_ShareTransferFlag)=1),
            Transactions[[#This Row],[CostImpact]]*-1,
            Transactions[[#This Row],[CalCashImpact]]
      ),
     0
)</f>
        <v>0</v>
      </c>
      <c r="Y1205" s="168" t="str">
        <f>VLOOKUP(Transactions[[#This Row],[Symbol]],Symbols[], COLUMN(Symbols[Currency])-COLUMN(Symbols[])+1,FALSE)</f>
        <v>CNY</v>
      </c>
    </row>
    <row r="1206" spans="1:25">
      <c r="A1206" s="155" t="s">
        <v>82</v>
      </c>
      <c r="B1206" s="156">
        <v>42551</v>
      </c>
      <c r="C1206" s="155" t="s">
        <v>115</v>
      </c>
      <c r="D1206" s="155"/>
      <c r="E1206" s="155" t="s">
        <v>708</v>
      </c>
      <c r="F1206" s="157">
        <v>5000</v>
      </c>
      <c r="G1206" s="158">
        <v>18.64</v>
      </c>
      <c r="H1206" s="157">
        <v>132.34</v>
      </c>
      <c r="I1206" s="157"/>
      <c r="J1206" s="159">
        <v>93067.66</v>
      </c>
      <c r="K1206" s="6" t="s">
        <v>641</v>
      </c>
      <c r="L1206" s="20">
        <f>IF(ISNA(MATCH(Transactions[[#This Row],[TransType]],TransTypes[TransType],0)),1,MATCH(Transactions[[#This Row],[TransType]],TransTypes[TransType],0))</f>
        <v>3</v>
      </c>
      <c r="M1206" s="160">
        <f>IF( AND( INDEX(TransTypes[],Transactions[[#This Row],[TTR]],TT_COL_GLFlag)=1, INDEX(TransTypes[],Transactions[[#This Row],[TTR]],TT_COL_LONGORSHORT)="S" ),
      Transactions[[#This Row],[PL]],
      IF(INDEX(TransTypes[],Transactions[[#This Row],[TTR]],TT_COL_LONGORSHORT)="S",0,Transactions[[#This Row],[CalCashImpact]])
)</f>
        <v>93067.66</v>
      </c>
      <c r="N1206" s="161">
        <f>IF(VLOOKUP(Transactions[[#This Row],[Symbol]],Symbols[],COLUMN(Symbols[Currency])-COLUMN(Symbols[])+1,FALSE)=
       VLOOKUP(Transactions[[#This Row],[Account]],Accounts[],COLUMN(Accounts[Currency])-COLUMN(Accounts[])+1,FALSE),
     Transactions[[#This Row],[OrigCashImpact]],
     0
)</f>
        <v>93067.66</v>
      </c>
      <c r="O12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787899.049999999</v>
      </c>
      <c r="P12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206" s="41">
        <f>ROW()</f>
        <v>1206</v>
      </c>
      <c r="S12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-93039.06</v>
      </c>
      <c r="T12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93039.06</v>
      </c>
      <c r="U12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206" s="166">
        <f>IF(INDEX(TransTypes[],Transactions[[#This Row],[TTR]],TT_COL_GLFlag)=1,Transactions[[#This Row],[CalCashImpact]]+Transactions[[#This Row],[CostImpact]],0)</f>
        <v>28.600000000005821</v>
      </c>
      <c r="W1206" s="167">
        <f>Transactions[[#This Row],[Amount]]*INDEX(TransTypes[],Transactions[[#This Row],[TTR]],TT_COL_AmntSign)</f>
        <v>93067.66</v>
      </c>
      <c r="X1206" s="167">
        <f>IF(INDEX(TransTypes[],Transactions[[#This Row],[TTR]],TT_COL_LONGORSHORT)="S",
      IF( OR(INDEX(TransTypes[],Transactions[[#This Row],[TTR]],TT_COL_GLFlag)=1, INDEX(TransTypes[], Transactions[[#This Row],[TTR]], TT_COL_ShareTransferFlag)=1),
            Transactions[[#This Row],[CostImpact]]*-1,
            Transactions[[#This Row],[CalCashImpact]]
      ),
     0
)</f>
        <v>0</v>
      </c>
      <c r="Y1206" s="168" t="str">
        <f>VLOOKUP(Transactions[[#This Row],[Symbol]],Symbols[], COLUMN(Symbols[Currency])-COLUMN(Symbols[])+1,FALSE)</f>
        <v>CNY</v>
      </c>
    </row>
    <row r="1207" spans="1:25">
      <c r="A1207" s="155" t="s">
        <v>82</v>
      </c>
      <c r="B1207" s="156">
        <v>42558</v>
      </c>
      <c r="C1207" s="155" t="s">
        <v>118</v>
      </c>
      <c r="D1207" s="155"/>
      <c r="E1207" s="155" t="s">
        <v>684</v>
      </c>
      <c r="F1207" s="157"/>
      <c r="G1207" s="158"/>
      <c r="H1207" s="157"/>
      <c r="I1207" s="157"/>
      <c r="J1207" s="159">
        <v>4080</v>
      </c>
      <c r="K1207" s="6" t="s">
        <v>641</v>
      </c>
      <c r="L1207" s="20">
        <f>IF(ISNA(MATCH(Transactions[[#This Row],[TransType]],TransTypes[TransType],0)),1,MATCH(Transactions[[#This Row],[TransType]],TransTypes[TransType],0))</f>
        <v>4</v>
      </c>
      <c r="M1207" s="160">
        <f>IF( AND( INDEX(TransTypes[],Transactions[[#This Row],[TTR]],TT_COL_GLFlag)=1, INDEX(TransTypes[],Transactions[[#This Row],[TTR]],TT_COL_LONGORSHORT)="S" ),
      Transactions[[#This Row],[PL]],
      IF(INDEX(TransTypes[],Transactions[[#This Row],[TTR]],TT_COL_LONGORSHORT)="S",0,Transactions[[#This Row],[CalCashImpact]])
)</f>
        <v>4080</v>
      </c>
      <c r="N1207" s="161">
        <f>IF(VLOOKUP(Transactions[[#This Row],[Symbol]],Symbols[],COLUMN(Symbols[Currency])-COLUMN(Symbols[])+1,FALSE)=
       VLOOKUP(Transactions[[#This Row],[Account]],Accounts[],COLUMN(Accounts[Currency])-COLUMN(Accounts[])+1,FALSE),
     Transactions[[#This Row],[OrigCashImpact]],
     0
)</f>
        <v>4080</v>
      </c>
      <c r="O12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791979.049999999</v>
      </c>
      <c r="P12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2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207" s="41">
        <f>ROW()</f>
        <v>1207</v>
      </c>
      <c r="S12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2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56429.688000000002</v>
      </c>
      <c r="U12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07" s="166">
        <f>IF(INDEX(TransTypes[],Transactions[[#This Row],[TTR]],TT_COL_GLFlag)=1,Transactions[[#This Row],[CalCashImpact]]+Transactions[[#This Row],[CostImpact]],0)</f>
        <v>0</v>
      </c>
      <c r="W1207" s="167">
        <f>Transactions[[#This Row],[Amount]]*INDEX(TransTypes[],Transactions[[#This Row],[TTR]],TT_COL_AmntSign)</f>
        <v>4080</v>
      </c>
      <c r="X1207" s="167">
        <f>IF(INDEX(TransTypes[],Transactions[[#This Row],[TTR]],TT_COL_LONGORSHORT)="S",
      IF( OR(INDEX(TransTypes[],Transactions[[#This Row],[TTR]],TT_COL_GLFlag)=1, INDEX(TransTypes[], Transactions[[#This Row],[TTR]], TT_COL_ShareTransferFlag)=1),
            Transactions[[#This Row],[CostImpact]]*-1,
            Transactions[[#This Row],[CalCashImpact]]
      ),
     0
)</f>
        <v>0</v>
      </c>
      <c r="Y1207" s="168" t="str">
        <f>VLOOKUP(Transactions[[#This Row],[Symbol]],Symbols[], COLUMN(Symbols[Currency])-COLUMN(Symbols[])+1,FALSE)</f>
        <v>CNY</v>
      </c>
    </row>
    <row r="1208" spans="1:25">
      <c r="A1208" s="155" t="s">
        <v>82</v>
      </c>
      <c r="B1208" s="156">
        <v>42558</v>
      </c>
      <c r="C1208" s="155" t="s">
        <v>113</v>
      </c>
      <c r="D1208" s="155"/>
      <c r="E1208" s="155" t="s">
        <v>704</v>
      </c>
      <c r="F1208" s="157">
        <v>5000</v>
      </c>
      <c r="G1208" s="158">
        <v>22.228999999999999</v>
      </c>
      <c r="H1208" s="157">
        <v>44.46</v>
      </c>
      <c r="I1208" s="157"/>
      <c r="J1208" s="159">
        <v>111189.46</v>
      </c>
      <c r="K1208" s="6" t="s">
        <v>641</v>
      </c>
      <c r="L1208" s="20">
        <f>IF(ISNA(MATCH(Transactions[[#This Row],[TransType]],TransTypes[TransType],0)),1,MATCH(Transactions[[#This Row],[TransType]],TransTypes[TransType],0))</f>
        <v>2</v>
      </c>
      <c r="M1208" s="160">
        <f>IF( AND( INDEX(TransTypes[],Transactions[[#This Row],[TTR]],TT_COL_GLFlag)=1, INDEX(TransTypes[],Transactions[[#This Row],[TTR]],TT_COL_LONGORSHORT)="S" ),
      Transactions[[#This Row],[PL]],
      IF(INDEX(TransTypes[],Transactions[[#This Row],[TTR]],TT_COL_LONGORSHORT)="S",0,Transactions[[#This Row],[CalCashImpact]])
)</f>
        <v>-111189.46</v>
      </c>
      <c r="N1208" s="161">
        <f>IF(VLOOKUP(Transactions[[#This Row],[Symbol]],Symbols[],COLUMN(Symbols[Currency])-COLUMN(Symbols[])+1,FALSE)=
       VLOOKUP(Transactions[[#This Row],[Account]],Accounts[],COLUMN(Accounts[Currency])-COLUMN(Accounts[])+1,FALSE),
     Transactions[[#This Row],[OrigCashImpact]],
     0
)</f>
        <v>-111189.46</v>
      </c>
      <c r="O12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680789.58999999904</v>
      </c>
      <c r="P12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208" s="41">
        <f>ROW()</f>
        <v>1208</v>
      </c>
      <c r="S12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111189.46</v>
      </c>
      <c r="T12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175495.17</v>
      </c>
      <c r="U12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208" s="166">
        <f>IF(INDEX(TransTypes[],Transactions[[#This Row],[TTR]],TT_COL_GLFlag)=1,Transactions[[#This Row],[CalCashImpact]]+Transactions[[#This Row],[CostImpact]],0)</f>
        <v>0</v>
      </c>
      <c r="W1208" s="167">
        <f>Transactions[[#This Row],[Amount]]*INDEX(TransTypes[],Transactions[[#This Row],[TTR]],TT_COL_AmntSign)</f>
        <v>-111189.46</v>
      </c>
      <c r="X1208" s="167">
        <f>IF(INDEX(TransTypes[],Transactions[[#This Row],[TTR]],TT_COL_LONGORSHORT)="S",
      IF( OR(INDEX(TransTypes[],Transactions[[#This Row],[TTR]],TT_COL_GLFlag)=1, INDEX(TransTypes[], Transactions[[#This Row],[TTR]], TT_COL_ShareTransferFlag)=1),
            Transactions[[#This Row],[CostImpact]]*-1,
            Transactions[[#This Row],[CalCashImpact]]
      ),
     0
)</f>
        <v>0</v>
      </c>
      <c r="Y1208" s="168" t="str">
        <f>VLOOKUP(Transactions[[#This Row],[Symbol]],Symbols[], COLUMN(Symbols[Currency])-COLUMN(Symbols[])+1,FALSE)</f>
        <v>CNY</v>
      </c>
    </row>
    <row r="1209" spans="1:25">
      <c r="A1209" s="155" t="s">
        <v>82</v>
      </c>
      <c r="B1209" s="156">
        <v>42558</v>
      </c>
      <c r="C1209" s="155" t="s">
        <v>113</v>
      </c>
      <c r="D1209" s="155"/>
      <c r="E1209" s="155" t="s">
        <v>677</v>
      </c>
      <c r="F1209" s="157">
        <v>10000</v>
      </c>
      <c r="G1209" s="158">
        <v>8.5399999999999991</v>
      </c>
      <c r="H1209" s="157">
        <v>35.869999999999997</v>
      </c>
      <c r="I1209" s="157"/>
      <c r="J1209" s="159">
        <v>85435.87</v>
      </c>
      <c r="K1209" s="6" t="s">
        <v>641</v>
      </c>
      <c r="L1209" s="20">
        <f>IF(ISNA(MATCH(Transactions[[#This Row],[TransType]],TransTypes[TransType],0)),1,MATCH(Transactions[[#This Row],[TransType]],TransTypes[TransType],0))</f>
        <v>2</v>
      </c>
      <c r="M1209" s="160">
        <f>IF( AND( INDEX(TransTypes[],Transactions[[#This Row],[TTR]],TT_COL_GLFlag)=1, INDEX(TransTypes[],Transactions[[#This Row],[TTR]],TT_COL_LONGORSHORT)="S" ),
      Transactions[[#This Row],[PL]],
      IF(INDEX(TransTypes[],Transactions[[#This Row],[TTR]],TT_COL_LONGORSHORT)="S",0,Transactions[[#This Row],[CalCashImpact]])
)</f>
        <v>-85435.87</v>
      </c>
      <c r="N1209" s="161">
        <f>IF(VLOOKUP(Transactions[[#This Row],[Symbol]],Symbols[],COLUMN(Symbols[Currency])-COLUMN(Symbols[])+1,FALSE)=
       VLOOKUP(Transactions[[#This Row],[Account]],Accounts[],COLUMN(Accounts[Currency])-COLUMN(Accounts[])+1,FALSE),
     Transactions[[#This Row],[OrigCashImpact]],
     0
)</f>
        <v>-85435.87</v>
      </c>
      <c r="O12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595353.71999999904</v>
      </c>
      <c r="P12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2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209" s="41">
        <f>ROW()</f>
        <v>1209</v>
      </c>
      <c r="S12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85435.87</v>
      </c>
      <c r="T12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85435.87</v>
      </c>
      <c r="U12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209" s="166">
        <f>IF(INDEX(TransTypes[],Transactions[[#This Row],[TTR]],TT_COL_GLFlag)=1,Transactions[[#This Row],[CalCashImpact]]+Transactions[[#This Row],[CostImpact]],0)</f>
        <v>0</v>
      </c>
      <c r="W1209" s="167">
        <f>Transactions[[#This Row],[Amount]]*INDEX(TransTypes[],Transactions[[#This Row],[TTR]],TT_COL_AmntSign)</f>
        <v>-85435.87</v>
      </c>
      <c r="X1209" s="167">
        <f>IF(INDEX(TransTypes[],Transactions[[#This Row],[TTR]],TT_COL_LONGORSHORT)="S",
      IF( OR(INDEX(TransTypes[],Transactions[[#This Row],[TTR]],TT_COL_GLFlag)=1, INDEX(TransTypes[], Transactions[[#This Row],[TTR]], TT_COL_ShareTransferFlag)=1),
            Transactions[[#This Row],[CostImpact]]*-1,
            Transactions[[#This Row],[CalCashImpact]]
      ),
     0
)</f>
        <v>0</v>
      </c>
      <c r="Y1209" s="168" t="str">
        <f>VLOOKUP(Transactions[[#This Row],[Symbol]],Symbols[], COLUMN(Symbols[Currency])-COLUMN(Symbols[])+1,FALSE)</f>
        <v>CNY</v>
      </c>
    </row>
    <row r="1210" spans="1:25">
      <c r="A1210" s="155" t="s">
        <v>82</v>
      </c>
      <c r="B1210" s="156">
        <v>42564</v>
      </c>
      <c r="C1210" s="155" t="s">
        <v>113</v>
      </c>
      <c r="D1210" s="155"/>
      <c r="E1210" s="155" t="s">
        <v>708</v>
      </c>
      <c r="F1210" s="157">
        <v>5000</v>
      </c>
      <c r="G1210" s="158">
        <v>18.95</v>
      </c>
      <c r="H1210" s="157">
        <v>39.799999999999997</v>
      </c>
      <c r="I1210" s="157"/>
      <c r="J1210" s="159">
        <v>94789.8</v>
      </c>
      <c r="K1210" s="6" t="s">
        <v>641</v>
      </c>
      <c r="L1210" s="20">
        <f>IF(ISNA(MATCH(Transactions[[#This Row],[TransType]],TransTypes[TransType],0)),1,MATCH(Transactions[[#This Row],[TransType]],TransTypes[TransType],0))</f>
        <v>2</v>
      </c>
      <c r="M1210" s="160">
        <f>IF( AND( INDEX(TransTypes[],Transactions[[#This Row],[TTR]],TT_COL_GLFlag)=1, INDEX(TransTypes[],Transactions[[#This Row],[TTR]],TT_COL_LONGORSHORT)="S" ),
      Transactions[[#This Row],[PL]],
      IF(INDEX(TransTypes[],Transactions[[#This Row],[TTR]],TT_COL_LONGORSHORT)="S",0,Transactions[[#This Row],[CalCashImpact]])
)</f>
        <v>-94789.8</v>
      </c>
      <c r="N1210" s="161">
        <f>IF(VLOOKUP(Transactions[[#This Row],[Symbol]],Symbols[],COLUMN(Symbols[Currency])-COLUMN(Symbols[])+1,FALSE)=
       VLOOKUP(Transactions[[#This Row],[Account]],Accounts[],COLUMN(Accounts[Currency])-COLUMN(Accounts[])+1,FALSE),
     Transactions[[#This Row],[OrigCashImpact]],
     0
)</f>
        <v>-94789.8</v>
      </c>
      <c r="O12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500563.91999999905</v>
      </c>
      <c r="P12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210" s="41">
        <f>ROW()</f>
        <v>1210</v>
      </c>
      <c r="S12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94789.8</v>
      </c>
      <c r="T12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187828.86</v>
      </c>
      <c r="U12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210" s="166">
        <f>IF(INDEX(TransTypes[],Transactions[[#This Row],[TTR]],TT_COL_GLFlag)=1,Transactions[[#This Row],[CalCashImpact]]+Transactions[[#This Row],[CostImpact]],0)</f>
        <v>0</v>
      </c>
      <c r="W1210" s="167">
        <f>Transactions[[#This Row],[Amount]]*INDEX(TransTypes[],Transactions[[#This Row],[TTR]],TT_COL_AmntSign)</f>
        <v>-94789.8</v>
      </c>
      <c r="X1210" s="167">
        <f>IF(INDEX(TransTypes[],Transactions[[#This Row],[TTR]],TT_COL_LONGORSHORT)="S",
      IF( OR(INDEX(TransTypes[],Transactions[[#This Row],[TTR]],TT_COL_GLFlag)=1, INDEX(TransTypes[], Transactions[[#This Row],[TTR]], TT_COL_ShareTransferFlag)=1),
            Transactions[[#This Row],[CostImpact]]*-1,
            Transactions[[#This Row],[CalCashImpact]]
      ),
     0
)</f>
        <v>0</v>
      </c>
      <c r="Y1210" s="168" t="str">
        <f>VLOOKUP(Transactions[[#This Row],[Symbol]],Symbols[], COLUMN(Symbols[Currency])-COLUMN(Symbols[])+1,FALSE)</f>
        <v>CNY</v>
      </c>
    </row>
    <row r="1211" spans="1:25">
      <c r="A1211" s="155" t="s">
        <v>82</v>
      </c>
      <c r="B1211" s="156">
        <v>42566</v>
      </c>
      <c r="C1211" s="155" t="s">
        <v>115</v>
      </c>
      <c r="D1211" s="155"/>
      <c r="E1211" s="155" t="s">
        <v>467</v>
      </c>
      <c r="F1211" s="157">
        <v>3000</v>
      </c>
      <c r="G1211" s="158">
        <v>21.212</v>
      </c>
      <c r="H1211" s="157">
        <v>89.09</v>
      </c>
      <c r="I1211" s="157"/>
      <c r="J1211" s="159">
        <v>63546.91</v>
      </c>
      <c r="K1211" s="6" t="s">
        <v>641</v>
      </c>
      <c r="L1211" s="20">
        <f>IF(ISNA(MATCH(Transactions[[#This Row],[TransType]],TransTypes[TransType],0)),1,MATCH(Transactions[[#This Row],[TransType]],TransTypes[TransType],0))</f>
        <v>3</v>
      </c>
      <c r="M1211" s="160">
        <f>IF( AND( INDEX(TransTypes[],Transactions[[#This Row],[TTR]],TT_COL_GLFlag)=1, INDEX(TransTypes[],Transactions[[#This Row],[TTR]],TT_COL_LONGORSHORT)="S" ),
      Transactions[[#This Row],[PL]],
      IF(INDEX(TransTypes[],Transactions[[#This Row],[TTR]],TT_COL_LONGORSHORT)="S",0,Transactions[[#This Row],[CalCashImpact]])
)</f>
        <v>63546.91</v>
      </c>
      <c r="N1211" s="161">
        <f>IF(VLOOKUP(Transactions[[#This Row],[Symbol]],Symbols[],COLUMN(Symbols[Currency])-COLUMN(Symbols[])+1,FALSE)=
       VLOOKUP(Transactions[[#This Row],[Account]],Accounts[],COLUMN(Accounts[Currency])-COLUMN(Accounts[])+1,FALSE),
     Transactions[[#This Row],[OrigCashImpact]],
     0
)</f>
        <v>63546.91</v>
      </c>
      <c r="O12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564110.82999999903</v>
      </c>
      <c r="P12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11" s="41">
        <f>ROW()</f>
        <v>1211</v>
      </c>
      <c r="S12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-63936.618328189303</v>
      </c>
      <c r="T12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11" s="166">
        <f>IF(INDEX(TransTypes[],Transactions[[#This Row],[TTR]],TT_COL_GLFlag)=1,Transactions[[#This Row],[CalCashImpact]]+Transactions[[#This Row],[CostImpact]],0)</f>
        <v>-389.70832818929921</v>
      </c>
      <c r="W1211" s="167">
        <f>Transactions[[#This Row],[Amount]]*INDEX(TransTypes[],Transactions[[#This Row],[TTR]],TT_COL_AmntSign)</f>
        <v>63546.91</v>
      </c>
      <c r="X1211" s="167">
        <f>IF(INDEX(TransTypes[],Transactions[[#This Row],[TTR]],TT_COL_LONGORSHORT)="S",
      IF( OR(INDEX(TransTypes[],Transactions[[#This Row],[TTR]],TT_COL_GLFlag)=1, INDEX(TransTypes[], Transactions[[#This Row],[TTR]], TT_COL_ShareTransferFlag)=1),
            Transactions[[#This Row],[CostImpact]]*-1,
            Transactions[[#This Row],[CalCashImpact]]
      ),
     0
)</f>
        <v>0</v>
      </c>
      <c r="Y1211" s="168" t="str">
        <f>VLOOKUP(Transactions[[#This Row],[Symbol]],Symbols[], COLUMN(Symbols[Currency])-COLUMN(Symbols[])+1,FALSE)</f>
        <v>CNY</v>
      </c>
    </row>
    <row r="1212" spans="1:25">
      <c r="A1212" s="155" t="s">
        <v>82</v>
      </c>
      <c r="B1212" s="156">
        <v>42572</v>
      </c>
      <c r="C1212" s="155" t="s">
        <v>115</v>
      </c>
      <c r="D1212" s="155"/>
      <c r="E1212" s="155" t="s">
        <v>703</v>
      </c>
      <c r="F1212" s="157">
        <v>2600</v>
      </c>
      <c r="G1212" s="158">
        <v>24.94</v>
      </c>
      <c r="H1212" s="157">
        <v>90.78</v>
      </c>
      <c r="I1212" s="157"/>
      <c r="J1212" s="159">
        <v>64753.22</v>
      </c>
      <c r="K1212" s="6" t="s">
        <v>641</v>
      </c>
      <c r="L1212" s="20">
        <f>IF(ISNA(MATCH(Transactions[[#This Row],[TransType]],TransTypes[TransType],0)),1,MATCH(Transactions[[#This Row],[TransType]],TransTypes[TransType],0))</f>
        <v>3</v>
      </c>
      <c r="M1212" s="160">
        <f>IF( AND( INDEX(TransTypes[],Transactions[[#This Row],[TTR]],TT_COL_GLFlag)=1, INDEX(TransTypes[],Transactions[[#This Row],[TTR]],TT_COL_LONGORSHORT)="S" ),
      Transactions[[#This Row],[PL]],
      IF(INDEX(TransTypes[],Transactions[[#This Row],[TTR]],TT_COL_LONGORSHORT)="S",0,Transactions[[#This Row],[CalCashImpact]])
)</f>
        <v>64753.22</v>
      </c>
      <c r="N1212" s="161">
        <f>IF(VLOOKUP(Transactions[[#This Row],[Symbol]],Symbols[],COLUMN(Symbols[Currency])-COLUMN(Symbols[])+1,FALSE)=
       VLOOKUP(Transactions[[#This Row],[Account]],Accounts[],COLUMN(Accounts[Currency])-COLUMN(Accounts[])+1,FALSE),
     Transactions[[#This Row],[OrigCashImpact]],
     0
)</f>
        <v>64753.22</v>
      </c>
      <c r="O12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628864.049999999</v>
      </c>
      <c r="P12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-2600</v>
      </c>
      <c r="Q12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5400</v>
      </c>
      <c r="R1212" s="41">
        <f>ROW()</f>
        <v>1212</v>
      </c>
      <c r="S12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-58701.138166666678</v>
      </c>
      <c r="T12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121917.74850000002</v>
      </c>
      <c r="U12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212" s="166">
        <f>IF(INDEX(TransTypes[],Transactions[[#This Row],[TTR]],TT_COL_GLFlag)=1,Transactions[[#This Row],[CalCashImpact]]+Transactions[[#This Row],[CostImpact]],0)</f>
        <v>6052.0818333333227</v>
      </c>
      <c r="W1212" s="167">
        <f>Transactions[[#This Row],[Amount]]*INDEX(TransTypes[],Transactions[[#This Row],[TTR]],TT_COL_AmntSign)</f>
        <v>64753.22</v>
      </c>
      <c r="X1212" s="167">
        <f>IF(INDEX(TransTypes[],Transactions[[#This Row],[TTR]],TT_COL_LONGORSHORT)="S",
      IF( OR(INDEX(TransTypes[],Transactions[[#This Row],[TTR]],TT_COL_GLFlag)=1, INDEX(TransTypes[], Transactions[[#This Row],[TTR]], TT_COL_ShareTransferFlag)=1),
            Transactions[[#This Row],[CostImpact]]*-1,
            Transactions[[#This Row],[CalCashImpact]]
      ),
     0
)</f>
        <v>0</v>
      </c>
      <c r="Y1212" s="168" t="str">
        <f>VLOOKUP(Transactions[[#This Row],[Symbol]],Symbols[], COLUMN(Symbols[Currency])-COLUMN(Symbols[])+1,FALSE)</f>
        <v>CNY</v>
      </c>
    </row>
    <row r="1213" spans="1:25">
      <c r="A1213" s="155" t="s">
        <v>82</v>
      </c>
      <c r="B1213" s="156">
        <v>42572</v>
      </c>
      <c r="C1213" s="155" t="s">
        <v>115</v>
      </c>
      <c r="D1213" s="155"/>
      <c r="E1213" s="155" t="s">
        <v>675</v>
      </c>
      <c r="F1213" s="157">
        <v>20000</v>
      </c>
      <c r="G1213" s="158">
        <v>1.165</v>
      </c>
      <c r="H1213" s="157">
        <v>9.32</v>
      </c>
      <c r="I1213" s="157"/>
      <c r="J1213" s="159">
        <v>23290.68</v>
      </c>
      <c r="K1213" s="6" t="s">
        <v>641</v>
      </c>
      <c r="L1213" s="20">
        <f>IF(ISNA(MATCH(Transactions[[#This Row],[TransType]],TransTypes[TransType],0)),1,MATCH(Transactions[[#This Row],[TransType]],TransTypes[TransType],0))</f>
        <v>3</v>
      </c>
      <c r="M1213" s="160">
        <f>IF( AND( INDEX(TransTypes[],Transactions[[#This Row],[TTR]],TT_COL_GLFlag)=1, INDEX(TransTypes[],Transactions[[#This Row],[TTR]],TT_COL_LONGORSHORT)="S" ),
      Transactions[[#This Row],[PL]],
      IF(INDEX(TransTypes[],Transactions[[#This Row],[TTR]],TT_COL_LONGORSHORT)="S",0,Transactions[[#This Row],[CalCashImpact]])
)</f>
        <v>23290.68</v>
      </c>
      <c r="N1213" s="161">
        <f>IF(VLOOKUP(Transactions[[#This Row],[Symbol]],Symbols[],COLUMN(Symbols[Currency])-COLUMN(Symbols[])+1,FALSE)=
       VLOOKUP(Transactions[[#This Row],[Account]],Accounts[],COLUMN(Accounts[Currency])-COLUMN(Accounts[])+1,FALSE),
     Transactions[[#This Row],[OrigCashImpact]],
     0
)</f>
        <v>23290.68</v>
      </c>
      <c r="O12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652154.72999999905</v>
      </c>
      <c r="P12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2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300000</v>
      </c>
      <c r="R1213" s="41">
        <f>ROW()</f>
        <v>1213</v>
      </c>
      <c r="S12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-19579.720450450448</v>
      </c>
      <c r="T12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293695.80675675673</v>
      </c>
      <c r="U12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320000</v>
      </c>
      <c r="V1213" s="166">
        <f>IF(INDEX(TransTypes[],Transactions[[#This Row],[TTR]],TT_COL_GLFlag)=1,Transactions[[#This Row],[CalCashImpact]]+Transactions[[#This Row],[CostImpact]],0)</f>
        <v>3710.9595495495523</v>
      </c>
      <c r="W1213" s="167">
        <f>Transactions[[#This Row],[Amount]]*INDEX(TransTypes[],Transactions[[#This Row],[TTR]],TT_COL_AmntSign)</f>
        <v>23290.68</v>
      </c>
      <c r="X1213" s="167">
        <f>IF(INDEX(TransTypes[],Transactions[[#This Row],[TTR]],TT_COL_LONGORSHORT)="S",
      IF( OR(INDEX(TransTypes[],Transactions[[#This Row],[TTR]],TT_COL_GLFlag)=1, INDEX(TransTypes[], Transactions[[#This Row],[TTR]], TT_COL_ShareTransferFlag)=1),
            Transactions[[#This Row],[CostImpact]]*-1,
            Transactions[[#This Row],[CalCashImpact]]
      ),
     0
)</f>
        <v>0</v>
      </c>
      <c r="Y1213" s="168" t="str">
        <f>VLOOKUP(Transactions[[#This Row],[Symbol]],Symbols[], COLUMN(Symbols[Currency])-COLUMN(Symbols[])+1,FALSE)</f>
        <v>CNY</v>
      </c>
    </row>
    <row r="1214" spans="1:25">
      <c r="A1214" s="155" t="s">
        <v>82</v>
      </c>
      <c r="B1214" s="156">
        <v>42572</v>
      </c>
      <c r="C1214" s="155" t="s">
        <v>113</v>
      </c>
      <c r="D1214" s="155"/>
      <c r="E1214" s="155" t="s">
        <v>699</v>
      </c>
      <c r="F1214" s="157">
        <v>20000</v>
      </c>
      <c r="G1214" s="158">
        <v>2.8260000000000001</v>
      </c>
      <c r="H1214" s="157">
        <v>22.61</v>
      </c>
      <c r="I1214" s="157"/>
      <c r="J1214" s="159">
        <v>56542.61</v>
      </c>
      <c r="K1214" s="6" t="s">
        <v>641</v>
      </c>
      <c r="L1214" s="20">
        <f>IF(ISNA(MATCH(Transactions[[#This Row],[TransType]],TransTypes[TransType],0)),1,MATCH(Transactions[[#This Row],[TransType]],TransTypes[TransType],0))</f>
        <v>2</v>
      </c>
      <c r="M1214" s="160">
        <f>IF( AND( INDEX(TransTypes[],Transactions[[#This Row],[TTR]],TT_COL_GLFlag)=1, INDEX(TransTypes[],Transactions[[#This Row],[TTR]],TT_COL_LONGORSHORT)="S" ),
      Transactions[[#This Row],[PL]],
      IF(INDEX(TransTypes[],Transactions[[#This Row],[TTR]],TT_COL_LONGORSHORT)="S",0,Transactions[[#This Row],[CalCashImpact]])
)</f>
        <v>-56542.61</v>
      </c>
      <c r="N1214" s="161">
        <f>IF(VLOOKUP(Transactions[[#This Row],[Symbol]],Symbols[],COLUMN(Symbols[Currency])-COLUMN(Symbols[])+1,FALSE)=
       VLOOKUP(Transactions[[#This Row],[Account]],Accounts[],COLUMN(Accounts[Currency])-COLUMN(Accounts[])+1,FALSE),
     Transactions[[#This Row],[OrigCashImpact]],
     0
)</f>
        <v>-56542.61</v>
      </c>
      <c r="O12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595612.11999999906</v>
      </c>
      <c r="P12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2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214" s="41">
        <f>ROW()</f>
        <v>1214</v>
      </c>
      <c r="S12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56542.61</v>
      </c>
      <c r="T12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56542.61</v>
      </c>
      <c r="U12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214" s="166">
        <f>IF(INDEX(TransTypes[],Transactions[[#This Row],[TTR]],TT_COL_GLFlag)=1,Transactions[[#This Row],[CalCashImpact]]+Transactions[[#This Row],[CostImpact]],0)</f>
        <v>0</v>
      </c>
      <c r="W1214" s="167">
        <f>Transactions[[#This Row],[Amount]]*INDEX(TransTypes[],Transactions[[#This Row],[TTR]],TT_COL_AmntSign)</f>
        <v>-56542.61</v>
      </c>
      <c r="X1214" s="167">
        <f>IF(INDEX(TransTypes[],Transactions[[#This Row],[TTR]],TT_COL_LONGORSHORT)="S",
      IF( OR(INDEX(TransTypes[],Transactions[[#This Row],[TTR]],TT_COL_GLFlag)=1, INDEX(TransTypes[], Transactions[[#This Row],[TTR]], TT_COL_ShareTransferFlag)=1),
            Transactions[[#This Row],[CostImpact]]*-1,
            Transactions[[#This Row],[CalCashImpact]]
      ),
     0
)</f>
        <v>0</v>
      </c>
      <c r="Y1214" s="168" t="str">
        <f>VLOOKUP(Transactions[[#This Row],[Symbol]],Symbols[], COLUMN(Symbols[Currency])-COLUMN(Symbols[])+1,FALSE)</f>
        <v>CNY</v>
      </c>
    </row>
    <row r="1215" spans="1:25">
      <c r="A1215" s="155" t="s">
        <v>82</v>
      </c>
      <c r="B1215" s="156">
        <v>42572</v>
      </c>
      <c r="C1215" s="155" t="s">
        <v>115</v>
      </c>
      <c r="D1215" s="155"/>
      <c r="E1215" s="155" t="s">
        <v>708</v>
      </c>
      <c r="F1215" s="157">
        <v>400</v>
      </c>
      <c r="G1215" s="158">
        <v>19.920000000000002</v>
      </c>
      <c r="H1215" s="157">
        <v>13.13</v>
      </c>
      <c r="I1215" s="157"/>
      <c r="J1215" s="159">
        <v>7954.87</v>
      </c>
      <c r="K1215" s="6" t="s">
        <v>641</v>
      </c>
      <c r="L1215" s="20">
        <f>IF(ISNA(MATCH(Transactions[[#This Row],[TransType]],TransTypes[TransType],0)),1,MATCH(Transactions[[#This Row],[TransType]],TransTypes[TransType],0))</f>
        <v>3</v>
      </c>
      <c r="M1215" s="160">
        <f>IF( AND( INDEX(TransTypes[],Transactions[[#This Row],[TTR]],TT_COL_GLFlag)=1, INDEX(TransTypes[],Transactions[[#This Row],[TTR]],TT_COL_LONGORSHORT)="S" ),
      Transactions[[#This Row],[PL]],
      IF(INDEX(TransTypes[],Transactions[[#This Row],[TTR]],TT_COL_LONGORSHORT)="S",0,Transactions[[#This Row],[CalCashImpact]])
)</f>
        <v>7954.87</v>
      </c>
      <c r="N1215" s="161">
        <f>IF(VLOOKUP(Transactions[[#This Row],[Symbol]],Symbols[],COLUMN(Symbols[Currency])-COLUMN(Symbols[])+1,FALSE)=
       VLOOKUP(Transactions[[#This Row],[Account]],Accounts[],COLUMN(Accounts[Currency])-COLUMN(Accounts[])+1,FALSE),
     Transactions[[#This Row],[OrigCashImpact]],
     0
)</f>
        <v>7954.87</v>
      </c>
      <c r="O12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603566.98999999906</v>
      </c>
      <c r="P12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2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9600</v>
      </c>
      <c r="R1215" s="41">
        <f>ROW()</f>
        <v>1215</v>
      </c>
      <c r="S12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-7513.1543999999994</v>
      </c>
      <c r="T12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180315.70559999999</v>
      </c>
      <c r="U12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215" s="166">
        <f>IF(INDEX(TransTypes[],Transactions[[#This Row],[TTR]],TT_COL_GLFlag)=1,Transactions[[#This Row],[CalCashImpact]]+Transactions[[#This Row],[CostImpact]],0)</f>
        <v>441.71560000000045</v>
      </c>
      <c r="W1215" s="167">
        <f>Transactions[[#This Row],[Amount]]*INDEX(TransTypes[],Transactions[[#This Row],[TTR]],TT_COL_AmntSign)</f>
        <v>7954.87</v>
      </c>
      <c r="X1215" s="167">
        <f>IF(INDEX(TransTypes[],Transactions[[#This Row],[TTR]],TT_COL_LONGORSHORT)="S",
      IF( OR(INDEX(TransTypes[],Transactions[[#This Row],[TTR]],TT_COL_GLFlag)=1, INDEX(TransTypes[], Transactions[[#This Row],[TTR]], TT_COL_ShareTransferFlag)=1),
            Transactions[[#This Row],[CostImpact]]*-1,
            Transactions[[#This Row],[CalCashImpact]]
      ),
     0
)</f>
        <v>0</v>
      </c>
      <c r="Y1215" s="168" t="str">
        <f>VLOOKUP(Transactions[[#This Row],[Symbol]],Symbols[], COLUMN(Symbols[Currency])-COLUMN(Symbols[])+1,FALSE)</f>
        <v>CNY</v>
      </c>
    </row>
    <row r="1216" spans="1:25">
      <c r="A1216" s="155" t="s">
        <v>82</v>
      </c>
      <c r="B1216" s="156">
        <v>42572</v>
      </c>
      <c r="C1216" s="155" t="s">
        <v>115</v>
      </c>
      <c r="D1216" s="155"/>
      <c r="E1216" s="155" t="s">
        <v>480</v>
      </c>
      <c r="F1216" s="157">
        <v>400</v>
      </c>
      <c r="G1216" s="158">
        <v>42.75</v>
      </c>
      <c r="H1216" s="157">
        <v>24.28</v>
      </c>
      <c r="I1216" s="157"/>
      <c r="J1216" s="159">
        <v>17075.72</v>
      </c>
      <c r="K1216" s="6" t="s">
        <v>641</v>
      </c>
      <c r="L1216" s="20">
        <f>IF(ISNA(MATCH(Transactions[[#This Row],[TransType]],TransTypes[TransType],0)),1,MATCH(Transactions[[#This Row],[TransType]],TransTypes[TransType],0))</f>
        <v>3</v>
      </c>
      <c r="M1216" s="160">
        <f>IF( AND( INDEX(TransTypes[],Transactions[[#This Row],[TTR]],TT_COL_GLFlag)=1, INDEX(TransTypes[],Transactions[[#This Row],[TTR]],TT_COL_LONGORSHORT)="S" ),
      Transactions[[#This Row],[PL]],
      IF(INDEX(TransTypes[],Transactions[[#This Row],[TTR]],TT_COL_LONGORSHORT)="S",0,Transactions[[#This Row],[CalCashImpact]])
)</f>
        <v>17075.72</v>
      </c>
      <c r="N1216" s="161">
        <f>IF(VLOOKUP(Transactions[[#This Row],[Symbol]],Symbols[],COLUMN(Symbols[Currency])-COLUMN(Symbols[])+1,FALSE)=
       VLOOKUP(Transactions[[#This Row],[Account]],Accounts[],COLUMN(Accounts[Currency])-COLUMN(Accounts[])+1,FALSE),
     Transactions[[#This Row],[OrigCashImpact]],
     0
)</f>
        <v>17075.72</v>
      </c>
      <c r="O12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620642.70999999903</v>
      </c>
      <c r="P12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2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216" s="41">
        <f>ROW()</f>
        <v>1216</v>
      </c>
      <c r="S12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-15558.198333333334</v>
      </c>
      <c r="T12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77790.991666666669</v>
      </c>
      <c r="U12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2400</v>
      </c>
      <c r="V1216" s="166">
        <f>IF(INDEX(TransTypes[],Transactions[[#This Row],[TTR]],TT_COL_GLFlag)=1,Transactions[[#This Row],[CalCashImpact]]+Transactions[[#This Row],[CostImpact]],0)</f>
        <v>1517.5216666666674</v>
      </c>
      <c r="W1216" s="167">
        <f>Transactions[[#This Row],[Amount]]*INDEX(TransTypes[],Transactions[[#This Row],[TTR]],TT_COL_AmntSign)</f>
        <v>17075.72</v>
      </c>
      <c r="X1216" s="167">
        <f>IF(INDEX(TransTypes[],Transactions[[#This Row],[TTR]],TT_COL_LONGORSHORT)="S",
      IF( OR(INDEX(TransTypes[],Transactions[[#This Row],[TTR]],TT_COL_GLFlag)=1, INDEX(TransTypes[], Transactions[[#This Row],[TTR]], TT_COL_ShareTransferFlag)=1),
            Transactions[[#This Row],[CostImpact]]*-1,
            Transactions[[#This Row],[CalCashImpact]]
      ),
     0
)</f>
        <v>0</v>
      </c>
      <c r="Y1216" s="168" t="str">
        <f>VLOOKUP(Transactions[[#This Row],[Symbol]],Symbols[], COLUMN(Symbols[Currency])-COLUMN(Symbols[])+1,FALSE)</f>
        <v>CNY</v>
      </c>
    </row>
    <row r="1217" spans="1:25">
      <c r="A1217" s="155" t="s">
        <v>82</v>
      </c>
      <c r="B1217" s="156">
        <v>42572</v>
      </c>
      <c r="C1217" s="155" t="s">
        <v>115</v>
      </c>
      <c r="D1217" s="155"/>
      <c r="E1217" s="155" t="s">
        <v>665</v>
      </c>
      <c r="F1217" s="157">
        <v>20000</v>
      </c>
      <c r="G1217" s="158">
        <v>0.97599999999999998</v>
      </c>
      <c r="H1217" s="157">
        <v>7.81</v>
      </c>
      <c r="I1217" s="157"/>
      <c r="J1217" s="159">
        <v>19512.189999999999</v>
      </c>
      <c r="K1217" s="6" t="s">
        <v>641</v>
      </c>
      <c r="L1217" s="20">
        <f>IF(ISNA(MATCH(Transactions[[#This Row],[TransType]],TransTypes[TransType],0)),1,MATCH(Transactions[[#This Row],[TransType]],TransTypes[TransType],0))</f>
        <v>3</v>
      </c>
      <c r="M1217" s="160">
        <f>IF( AND( INDEX(TransTypes[],Transactions[[#This Row],[TTR]],TT_COL_GLFlag)=1, INDEX(TransTypes[],Transactions[[#This Row],[TTR]],TT_COL_LONGORSHORT)="S" ),
      Transactions[[#This Row],[PL]],
      IF(INDEX(TransTypes[],Transactions[[#This Row],[TTR]],TT_COL_LONGORSHORT)="S",0,Transactions[[#This Row],[CalCashImpact]])
)</f>
        <v>19512.189999999999</v>
      </c>
      <c r="N1217" s="161">
        <f>IF(VLOOKUP(Transactions[[#This Row],[Symbol]],Symbols[],COLUMN(Symbols[Currency])-COLUMN(Symbols[])+1,FALSE)=
       VLOOKUP(Transactions[[#This Row],[Account]],Accounts[],COLUMN(Accounts[Currency])-COLUMN(Accounts[])+1,FALSE),
     Transactions[[#This Row],[OrigCashImpact]],
     0
)</f>
        <v>19512.189999999999</v>
      </c>
      <c r="O12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640154.89999999898</v>
      </c>
      <c r="P12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2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180000</v>
      </c>
      <c r="R1217" s="41">
        <f>ROW()</f>
        <v>1217</v>
      </c>
      <c r="S12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-16801.360906973052</v>
      </c>
      <c r="T12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151212.24816275749</v>
      </c>
      <c r="U12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1217" s="166">
        <f>IF(INDEX(TransTypes[],Transactions[[#This Row],[TTR]],TT_COL_GLFlag)=1,Transactions[[#This Row],[CalCashImpact]]+Transactions[[#This Row],[CostImpact]],0)</f>
        <v>2710.8290930269468</v>
      </c>
      <c r="W1217" s="167">
        <f>Transactions[[#This Row],[Amount]]*INDEX(TransTypes[],Transactions[[#This Row],[TTR]],TT_COL_AmntSign)</f>
        <v>19512.189999999999</v>
      </c>
      <c r="X1217" s="167">
        <f>IF(INDEX(TransTypes[],Transactions[[#This Row],[TTR]],TT_COL_LONGORSHORT)="S",
      IF( OR(INDEX(TransTypes[],Transactions[[#This Row],[TTR]],TT_COL_GLFlag)=1, INDEX(TransTypes[], Transactions[[#This Row],[TTR]], TT_COL_ShareTransferFlag)=1),
            Transactions[[#This Row],[CostImpact]]*-1,
            Transactions[[#This Row],[CalCashImpact]]
      ),
     0
)</f>
        <v>0</v>
      </c>
      <c r="Y1217" s="168" t="str">
        <f>VLOOKUP(Transactions[[#This Row],[Symbol]],Symbols[], COLUMN(Symbols[Currency])-COLUMN(Symbols[])+1,FALSE)</f>
        <v>CNY</v>
      </c>
    </row>
    <row r="1218" spans="1:25">
      <c r="A1218" s="155" t="s">
        <v>82</v>
      </c>
      <c r="B1218" s="156">
        <v>42573</v>
      </c>
      <c r="C1218" s="155" t="s">
        <v>115</v>
      </c>
      <c r="D1218" s="155"/>
      <c r="E1218" s="155" t="s">
        <v>642</v>
      </c>
      <c r="F1218" s="157">
        <v>2000</v>
      </c>
      <c r="G1218" s="158">
        <v>27.39</v>
      </c>
      <c r="H1218" s="157">
        <v>76.69</v>
      </c>
      <c r="I1218" s="157"/>
      <c r="J1218" s="159">
        <v>54703.31</v>
      </c>
      <c r="K1218" s="6" t="s">
        <v>641</v>
      </c>
      <c r="L1218" s="20">
        <f>IF(ISNA(MATCH(Transactions[[#This Row],[TransType]],TransTypes[TransType],0)),1,MATCH(Transactions[[#This Row],[TransType]],TransTypes[TransType],0))</f>
        <v>3</v>
      </c>
      <c r="M1218" s="160">
        <f>IF( AND( INDEX(TransTypes[],Transactions[[#This Row],[TTR]],TT_COL_GLFlag)=1, INDEX(TransTypes[],Transactions[[#This Row],[TTR]],TT_COL_LONGORSHORT)="S" ),
      Transactions[[#This Row],[PL]],
      IF(INDEX(TransTypes[],Transactions[[#This Row],[TTR]],TT_COL_LONGORSHORT)="S",0,Transactions[[#This Row],[CalCashImpact]])
)</f>
        <v>54703.31</v>
      </c>
      <c r="N1218" s="161">
        <f>IF(VLOOKUP(Transactions[[#This Row],[Symbol]],Symbols[],COLUMN(Symbols[Currency])-COLUMN(Symbols[])+1,FALSE)=
       VLOOKUP(Transactions[[#This Row],[Account]],Accounts[],COLUMN(Accounts[Currency])-COLUMN(Accounts[])+1,FALSE),
     Transactions[[#This Row],[OrigCashImpact]],
     0
)</f>
        <v>54703.31</v>
      </c>
      <c r="O12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694858.20999999903</v>
      </c>
      <c r="P12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218" s="41">
        <f>ROW()</f>
        <v>1218</v>
      </c>
      <c r="S12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-53157.920357142852</v>
      </c>
      <c r="T12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159473.76107142854</v>
      </c>
      <c r="U12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218" s="166">
        <f>IF(INDEX(TransTypes[],Transactions[[#This Row],[TTR]],TT_COL_GLFlag)=1,Transactions[[#This Row],[CalCashImpact]]+Transactions[[#This Row],[CostImpact]],0)</f>
        <v>1545.3896428571461</v>
      </c>
      <c r="W1218" s="167">
        <f>Transactions[[#This Row],[Amount]]*INDEX(TransTypes[],Transactions[[#This Row],[TTR]],TT_COL_AmntSign)</f>
        <v>54703.31</v>
      </c>
      <c r="X1218" s="167">
        <f>IF(INDEX(TransTypes[],Transactions[[#This Row],[TTR]],TT_COL_LONGORSHORT)="S",
      IF( OR(INDEX(TransTypes[],Transactions[[#This Row],[TTR]],TT_COL_GLFlag)=1, INDEX(TransTypes[], Transactions[[#This Row],[TTR]], TT_COL_ShareTransferFlag)=1),
            Transactions[[#This Row],[CostImpact]]*-1,
            Transactions[[#This Row],[CalCashImpact]]
      ),
     0
)</f>
        <v>0</v>
      </c>
      <c r="Y1218" s="168" t="str">
        <f>VLOOKUP(Transactions[[#This Row],[Symbol]],Symbols[], COLUMN(Symbols[Currency])-COLUMN(Symbols[])+1,FALSE)</f>
        <v>CNY</v>
      </c>
    </row>
    <row r="1219" spans="1:25">
      <c r="A1219" s="155" t="s">
        <v>82</v>
      </c>
      <c r="B1219" s="156">
        <v>42573</v>
      </c>
      <c r="C1219" s="155" t="s">
        <v>115</v>
      </c>
      <c r="D1219" s="155"/>
      <c r="E1219" s="155" t="s">
        <v>704</v>
      </c>
      <c r="F1219" s="157">
        <v>1600</v>
      </c>
      <c r="G1219" s="158">
        <v>22.725999999999999</v>
      </c>
      <c r="H1219" s="157">
        <v>50.9</v>
      </c>
      <c r="I1219" s="157"/>
      <c r="J1219" s="159">
        <v>36310.699999999997</v>
      </c>
      <c r="K1219" s="6" t="s">
        <v>641</v>
      </c>
      <c r="L1219" s="20">
        <f>IF(ISNA(MATCH(Transactions[[#This Row],[TransType]],TransTypes[TransType],0)),1,MATCH(Transactions[[#This Row],[TransType]],TransTypes[TransType],0))</f>
        <v>3</v>
      </c>
      <c r="M1219" s="160">
        <f>IF( AND( INDEX(TransTypes[],Transactions[[#This Row],[TTR]],TT_COL_GLFlag)=1, INDEX(TransTypes[],Transactions[[#This Row],[TTR]],TT_COL_LONGORSHORT)="S" ),
      Transactions[[#This Row],[PL]],
      IF(INDEX(TransTypes[],Transactions[[#This Row],[TTR]],TT_COL_LONGORSHORT)="S",0,Transactions[[#This Row],[CalCashImpact]])
)</f>
        <v>36310.699999999997</v>
      </c>
      <c r="N1219" s="161">
        <f>IF(VLOOKUP(Transactions[[#This Row],[Symbol]],Symbols[],COLUMN(Symbols[Currency])-COLUMN(Symbols[])+1,FALSE)=
       VLOOKUP(Transactions[[#This Row],[Account]],Accounts[],COLUMN(Accounts[Currency])-COLUMN(Accounts[])+1,FALSE),
     Transactions[[#This Row],[OrigCashImpact]],
     0
)</f>
        <v>36310.699999999997</v>
      </c>
      <c r="O12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731168.90999999898</v>
      </c>
      <c r="P12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-1600</v>
      </c>
      <c r="Q12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6400</v>
      </c>
      <c r="R1219" s="41">
        <f>ROW()</f>
        <v>1219</v>
      </c>
      <c r="S12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-35099.034</v>
      </c>
      <c r="T12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140396.136</v>
      </c>
      <c r="U12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219" s="166">
        <f>IF(INDEX(TransTypes[],Transactions[[#This Row],[TTR]],TT_COL_GLFlag)=1,Transactions[[#This Row],[CalCashImpact]]+Transactions[[#This Row],[CostImpact]],0)</f>
        <v>1211.6659999999974</v>
      </c>
      <c r="W1219" s="167">
        <f>Transactions[[#This Row],[Amount]]*INDEX(TransTypes[],Transactions[[#This Row],[TTR]],TT_COL_AmntSign)</f>
        <v>36310.699999999997</v>
      </c>
      <c r="X1219" s="167">
        <f>IF(INDEX(TransTypes[],Transactions[[#This Row],[TTR]],TT_COL_LONGORSHORT)="S",
      IF( OR(INDEX(TransTypes[],Transactions[[#This Row],[TTR]],TT_COL_GLFlag)=1, INDEX(TransTypes[], Transactions[[#This Row],[TTR]], TT_COL_ShareTransferFlag)=1),
            Transactions[[#This Row],[CostImpact]]*-1,
            Transactions[[#This Row],[CalCashImpact]]
      ),
     0
)</f>
        <v>0</v>
      </c>
      <c r="Y1219" s="168" t="str">
        <f>VLOOKUP(Transactions[[#This Row],[Symbol]],Symbols[], COLUMN(Symbols[Currency])-COLUMN(Symbols[])+1,FALSE)</f>
        <v>CNY</v>
      </c>
    </row>
    <row r="1220" spans="1:25">
      <c r="A1220" s="155" t="s">
        <v>82</v>
      </c>
      <c r="B1220" s="156">
        <v>42573</v>
      </c>
      <c r="C1220" s="155" t="s">
        <v>115</v>
      </c>
      <c r="D1220" s="155"/>
      <c r="E1220" s="155" t="s">
        <v>708</v>
      </c>
      <c r="F1220" s="157">
        <v>1900</v>
      </c>
      <c r="G1220" s="158">
        <v>19.57</v>
      </c>
      <c r="H1220" s="157">
        <v>52.79</v>
      </c>
      <c r="I1220" s="157"/>
      <c r="J1220" s="159">
        <v>37130.21</v>
      </c>
      <c r="K1220" s="6" t="s">
        <v>641</v>
      </c>
      <c r="L1220" s="20">
        <f>IF(ISNA(MATCH(Transactions[[#This Row],[TransType]],TransTypes[TransType],0)),1,MATCH(Transactions[[#This Row],[TransType]],TransTypes[TransType],0))</f>
        <v>3</v>
      </c>
      <c r="M1220" s="160">
        <f>IF( AND( INDEX(TransTypes[],Transactions[[#This Row],[TTR]],TT_COL_GLFlag)=1, INDEX(TransTypes[],Transactions[[#This Row],[TTR]],TT_COL_LONGORSHORT)="S" ),
      Transactions[[#This Row],[PL]],
      IF(INDEX(TransTypes[],Transactions[[#This Row],[TTR]],TT_COL_LONGORSHORT)="S",0,Transactions[[#This Row],[CalCashImpact]])
)</f>
        <v>37130.21</v>
      </c>
      <c r="N1220" s="161">
        <f>IF(VLOOKUP(Transactions[[#This Row],[Symbol]],Symbols[],COLUMN(Symbols[Currency])-COLUMN(Symbols[])+1,FALSE)=
       VLOOKUP(Transactions[[#This Row],[Account]],Accounts[],COLUMN(Accounts[Currency])-COLUMN(Accounts[])+1,FALSE),
     Transactions[[#This Row],[OrigCashImpact]],
     0
)</f>
        <v>37130.21</v>
      </c>
      <c r="O12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768299.11999999895</v>
      </c>
      <c r="P12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-1900</v>
      </c>
      <c r="Q12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7700</v>
      </c>
      <c r="R1220" s="41">
        <f>ROW()</f>
        <v>1220</v>
      </c>
      <c r="S12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-35687.483399999997</v>
      </c>
      <c r="T12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144628.22219999999</v>
      </c>
      <c r="U12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9600</v>
      </c>
      <c r="V1220" s="166">
        <f>IF(INDEX(TransTypes[],Transactions[[#This Row],[TTR]],TT_COL_GLFlag)=1,Transactions[[#This Row],[CalCashImpact]]+Transactions[[#This Row],[CostImpact]],0)</f>
        <v>1442.7266000000018</v>
      </c>
      <c r="W1220" s="167">
        <f>Transactions[[#This Row],[Amount]]*INDEX(TransTypes[],Transactions[[#This Row],[TTR]],TT_COL_AmntSign)</f>
        <v>37130.21</v>
      </c>
      <c r="X1220" s="167">
        <f>IF(INDEX(TransTypes[],Transactions[[#This Row],[TTR]],TT_COL_LONGORSHORT)="S",
      IF( OR(INDEX(TransTypes[],Transactions[[#This Row],[TTR]],TT_COL_GLFlag)=1, INDEX(TransTypes[], Transactions[[#This Row],[TTR]], TT_COL_ShareTransferFlag)=1),
            Transactions[[#This Row],[CostImpact]]*-1,
            Transactions[[#This Row],[CalCashImpact]]
      ),
     0
)</f>
        <v>0</v>
      </c>
      <c r="Y1220" s="168" t="str">
        <f>VLOOKUP(Transactions[[#This Row],[Symbol]],Symbols[], COLUMN(Symbols[Currency])-COLUMN(Symbols[])+1,FALSE)</f>
        <v>CNY</v>
      </c>
    </row>
    <row r="1221" spans="1:25">
      <c r="A1221" s="155" t="s">
        <v>82</v>
      </c>
      <c r="B1221" s="156">
        <v>42573</v>
      </c>
      <c r="C1221" s="155" t="s">
        <v>115</v>
      </c>
      <c r="D1221" s="155"/>
      <c r="E1221" s="155" t="s">
        <v>685</v>
      </c>
      <c r="F1221" s="157">
        <v>2500</v>
      </c>
      <c r="G1221" s="158">
        <v>14.04</v>
      </c>
      <c r="H1221" s="157">
        <v>49.84</v>
      </c>
      <c r="I1221" s="157"/>
      <c r="J1221" s="159">
        <v>35050.160000000003</v>
      </c>
      <c r="K1221" s="6" t="s">
        <v>641</v>
      </c>
      <c r="L1221" s="20">
        <f>IF(ISNA(MATCH(Transactions[[#This Row],[TransType]],TransTypes[TransType],0)),1,MATCH(Transactions[[#This Row],[TransType]],TransTypes[TransType],0))</f>
        <v>3</v>
      </c>
      <c r="M1221" s="160">
        <f>IF( AND( INDEX(TransTypes[],Transactions[[#This Row],[TTR]],TT_COL_GLFlag)=1, INDEX(TransTypes[],Transactions[[#This Row],[TTR]],TT_COL_LONGORSHORT)="S" ),
      Transactions[[#This Row],[PL]],
      IF(INDEX(TransTypes[],Transactions[[#This Row],[TTR]],TT_COL_LONGORSHORT)="S",0,Transactions[[#This Row],[CalCashImpact]])
)</f>
        <v>35050.160000000003</v>
      </c>
      <c r="N1221" s="161">
        <f>IF(VLOOKUP(Transactions[[#This Row],[Symbol]],Symbols[],COLUMN(Symbols[Currency])-COLUMN(Symbols[])+1,FALSE)=
       VLOOKUP(Transactions[[#This Row],[Account]],Accounts[],COLUMN(Accounts[Currency])-COLUMN(Accounts[])+1,FALSE),
     Transactions[[#This Row],[OrigCashImpact]],
     0
)</f>
        <v>35050.160000000003</v>
      </c>
      <c r="O12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803349.27999999898</v>
      </c>
      <c r="P12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v>
      </c>
      <c r="Q12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7500</v>
      </c>
      <c r="R1221" s="41">
        <f>ROW()</f>
        <v>1221</v>
      </c>
      <c r="S12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-32868.998299999999</v>
      </c>
      <c r="T12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98606.994899999991</v>
      </c>
      <c r="U12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221" s="166">
        <f>IF(INDEX(TransTypes[],Transactions[[#This Row],[TTR]],TT_COL_GLFlag)=1,Transactions[[#This Row],[CalCashImpact]]+Transactions[[#This Row],[CostImpact]],0)</f>
        <v>2181.1617000000042</v>
      </c>
      <c r="W1221" s="167">
        <f>Transactions[[#This Row],[Amount]]*INDEX(TransTypes[],Transactions[[#This Row],[TTR]],TT_COL_AmntSign)</f>
        <v>35050.160000000003</v>
      </c>
      <c r="X1221" s="167">
        <f>IF(INDEX(TransTypes[],Transactions[[#This Row],[TTR]],TT_COL_LONGORSHORT)="S",
      IF( OR(INDEX(TransTypes[],Transactions[[#This Row],[TTR]],TT_COL_GLFlag)=1, INDEX(TransTypes[], Transactions[[#This Row],[TTR]], TT_COL_ShareTransferFlag)=1),
            Transactions[[#This Row],[CostImpact]]*-1,
            Transactions[[#This Row],[CalCashImpact]]
      ),
     0
)</f>
        <v>0</v>
      </c>
      <c r="Y1221" s="168" t="str">
        <f>VLOOKUP(Transactions[[#This Row],[Symbol]],Symbols[], COLUMN(Symbols[Currency])-COLUMN(Symbols[])+1,FALSE)</f>
        <v>CNY</v>
      </c>
    </row>
    <row r="1222" spans="1:25">
      <c r="A1222" s="155" t="s">
        <v>82</v>
      </c>
      <c r="B1222" s="156">
        <v>42576</v>
      </c>
      <c r="C1222" s="155" t="s">
        <v>113</v>
      </c>
      <c r="D1222" s="155"/>
      <c r="E1222" s="155" t="s">
        <v>644</v>
      </c>
      <c r="F1222" s="157">
        <v>500</v>
      </c>
      <c r="G1222" s="158">
        <v>71.548000000000002</v>
      </c>
      <c r="H1222" s="157">
        <v>14.31</v>
      </c>
      <c r="I1222" s="157"/>
      <c r="J1222" s="159">
        <v>35788.31</v>
      </c>
      <c r="K1222" s="6" t="s">
        <v>641</v>
      </c>
      <c r="L1222" s="20">
        <f>IF(ISNA(MATCH(Transactions[[#This Row],[TransType]],TransTypes[TransType],0)),1,MATCH(Transactions[[#This Row],[TransType]],TransTypes[TransType],0))</f>
        <v>2</v>
      </c>
      <c r="M1222" s="160">
        <f>IF( AND( INDEX(TransTypes[],Transactions[[#This Row],[TTR]],TT_COL_GLFlag)=1, INDEX(TransTypes[],Transactions[[#This Row],[TTR]],TT_COL_LONGORSHORT)="S" ),
      Transactions[[#This Row],[PL]],
      IF(INDEX(TransTypes[],Transactions[[#This Row],[TTR]],TT_COL_LONGORSHORT)="S",0,Transactions[[#This Row],[CalCashImpact]])
)</f>
        <v>-35788.31</v>
      </c>
      <c r="N1222" s="161">
        <f>IF(VLOOKUP(Transactions[[#This Row],[Symbol]],Symbols[],COLUMN(Symbols[Currency])-COLUMN(Symbols[])+1,FALSE)=
       VLOOKUP(Transactions[[#This Row],[Account]],Accounts[],COLUMN(Accounts[Currency])-COLUMN(Accounts[])+1,FALSE),
     Transactions[[#This Row],[OrigCashImpact]],
     0
)</f>
        <v>-35788.31</v>
      </c>
      <c r="O12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767560.96999999904</v>
      </c>
      <c r="P12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2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222" s="41">
        <f>ROW()</f>
        <v>1222</v>
      </c>
      <c r="S12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35788.31</v>
      </c>
      <c r="T12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189417.4598888889</v>
      </c>
      <c r="U12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22" s="166">
        <f>IF(INDEX(TransTypes[],Transactions[[#This Row],[TTR]],TT_COL_GLFlag)=1,Transactions[[#This Row],[CalCashImpact]]+Transactions[[#This Row],[CostImpact]],0)</f>
        <v>0</v>
      </c>
      <c r="W1222" s="167">
        <f>Transactions[[#This Row],[Amount]]*INDEX(TransTypes[],Transactions[[#This Row],[TTR]],TT_COL_AmntSign)</f>
        <v>-35788.31</v>
      </c>
      <c r="X1222" s="167">
        <f>IF(INDEX(TransTypes[],Transactions[[#This Row],[TTR]],TT_COL_LONGORSHORT)="S",
      IF( OR(INDEX(TransTypes[],Transactions[[#This Row],[TTR]],TT_COL_GLFlag)=1, INDEX(TransTypes[], Transactions[[#This Row],[TTR]], TT_COL_ShareTransferFlag)=1),
            Transactions[[#This Row],[CostImpact]]*-1,
            Transactions[[#This Row],[CalCashImpact]]
      ),
     0
)</f>
        <v>0</v>
      </c>
      <c r="Y1222" s="168" t="str">
        <f>VLOOKUP(Transactions[[#This Row],[Symbol]],Symbols[], COLUMN(Symbols[Currency])-COLUMN(Symbols[])+1,FALSE)</f>
        <v>CNY</v>
      </c>
    </row>
    <row r="1223" spans="1:25">
      <c r="A1223" s="155" t="s">
        <v>82</v>
      </c>
      <c r="B1223" s="156">
        <v>42576</v>
      </c>
      <c r="C1223" s="155" t="s">
        <v>115</v>
      </c>
      <c r="D1223" s="155"/>
      <c r="E1223" s="155" t="s">
        <v>642</v>
      </c>
      <c r="F1223" s="157">
        <v>1000</v>
      </c>
      <c r="G1223" s="158">
        <v>27.414000000000001</v>
      </c>
      <c r="H1223" s="157">
        <v>38.380000000000003</v>
      </c>
      <c r="I1223" s="157"/>
      <c r="J1223" s="159">
        <v>27375.62</v>
      </c>
      <c r="K1223" s="6" t="s">
        <v>641</v>
      </c>
      <c r="L1223" s="20">
        <f>IF(ISNA(MATCH(Transactions[[#This Row],[TransType]],TransTypes[TransType],0)),1,MATCH(Transactions[[#This Row],[TransType]],TransTypes[TransType],0))</f>
        <v>3</v>
      </c>
      <c r="M1223" s="160">
        <f>IF( AND( INDEX(TransTypes[],Transactions[[#This Row],[TTR]],TT_COL_GLFlag)=1, INDEX(TransTypes[],Transactions[[#This Row],[TTR]],TT_COL_LONGORSHORT)="S" ),
      Transactions[[#This Row],[PL]],
      IF(INDEX(TransTypes[],Transactions[[#This Row],[TTR]],TT_COL_LONGORSHORT)="S",0,Transactions[[#This Row],[CalCashImpact]])
)</f>
        <v>27375.62</v>
      </c>
      <c r="N1223" s="161">
        <f>IF(VLOOKUP(Transactions[[#This Row],[Symbol]],Symbols[],COLUMN(Symbols[Currency])-COLUMN(Symbols[])+1,FALSE)=
       VLOOKUP(Transactions[[#This Row],[Account]],Accounts[],COLUMN(Accounts[Currency])-COLUMN(Accounts[])+1,FALSE),
     Transactions[[#This Row],[OrigCashImpact]],
     0
)</f>
        <v>27375.62</v>
      </c>
      <c r="O12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794936.58999999904</v>
      </c>
      <c r="P12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2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223" s="41">
        <f>ROW()</f>
        <v>1223</v>
      </c>
      <c r="S12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-26578.960178571426</v>
      </c>
      <c r="T12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132894.80089285711</v>
      </c>
      <c r="U12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223" s="166">
        <f>IF(INDEX(TransTypes[],Transactions[[#This Row],[TTR]],TT_COL_GLFlag)=1,Transactions[[#This Row],[CalCashImpact]]+Transactions[[#This Row],[CostImpact]],0)</f>
        <v>796.6598214285732</v>
      </c>
      <c r="W1223" s="167">
        <f>Transactions[[#This Row],[Amount]]*INDEX(TransTypes[],Transactions[[#This Row],[TTR]],TT_COL_AmntSign)</f>
        <v>27375.62</v>
      </c>
      <c r="X1223" s="167">
        <f>IF(INDEX(TransTypes[],Transactions[[#This Row],[TTR]],TT_COL_LONGORSHORT)="S",
      IF( OR(INDEX(TransTypes[],Transactions[[#This Row],[TTR]],TT_COL_GLFlag)=1, INDEX(TransTypes[], Transactions[[#This Row],[TTR]], TT_COL_ShareTransferFlag)=1),
            Transactions[[#This Row],[CostImpact]]*-1,
            Transactions[[#This Row],[CalCashImpact]]
      ),
     0
)</f>
        <v>0</v>
      </c>
      <c r="Y1223" s="168" t="str">
        <f>VLOOKUP(Transactions[[#This Row],[Symbol]],Symbols[], COLUMN(Symbols[Currency])-COLUMN(Symbols[])+1,FALSE)</f>
        <v>CNY</v>
      </c>
    </row>
    <row r="1224" spans="1:25">
      <c r="A1224" s="155" t="s">
        <v>82</v>
      </c>
      <c r="B1224" s="156">
        <v>42576</v>
      </c>
      <c r="C1224" s="155" t="s">
        <v>115</v>
      </c>
      <c r="D1224" s="155"/>
      <c r="E1224" s="155" t="s">
        <v>488</v>
      </c>
      <c r="F1224" s="157">
        <v>1000</v>
      </c>
      <c r="G1224" s="158">
        <v>15.71</v>
      </c>
      <c r="H1224" s="157">
        <v>22.3</v>
      </c>
      <c r="I1224" s="157"/>
      <c r="J1224" s="159">
        <v>15687.7</v>
      </c>
      <c r="K1224" s="6" t="s">
        <v>641</v>
      </c>
      <c r="L1224" s="20">
        <f>IF(ISNA(MATCH(Transactions[[#This Row],[TransType]],TransTypes[TransType],0)),1,MATCH(Transactions[[#This Row],[TransType]],TransTypes[TransType],0))</f>
        <v>3</v>
      </c>
      <c r="M1224" s="160">
        <f>IF( AND( INDEX(TransTypes[],Transactions[[#This Row],[TTR]],TT_COL_GLFlag)=1, INDEX(TransTypes[],Transactions[[#This Row],[TTR]],TT_COL_LONGORSHORT)="S" ),
      Transactions[[#This Row],[PL]],
      IF(INDEX(TransTypes[],Transactions[[#This Row],[TTR]],TT_COL_LONGORSHORT)="S",0,Transactions[[#This Row],[CalCashImpact]])
)</f>
        <v>15687.7</v>
      </c>
      <c r="N1224" s="161">
        <f>IF(VLOOKUP(Transactions[[#This Row],[Symbol]],Symbols[],COLUMN(Symbols[Currency])-COLUMN(Symbols[])+1,FALSE)=
       VLOOKUP(Transactions[[#This Row],[Account]],Accounts[],COLUMN(Accounts[Currency])-COLUMN(Accounts[])+1,FALSE),
     Transactions[[#This Row],[OrigCashImpact]],
     0
)</f>
        <v>15687.7</v>
      </c>
      <c r="O12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810624.28999999899</v>
      </c>
      <c r="P12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2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224" s="41">
        <f>ROW()</f>
        <v>1224</v>
      </c>
      <c r="S12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-14215.968000000001</v>
      </c>
      <c r="T12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56863.871999999996</v>
      </c>
      <c r="U12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24" s="166">
        <f>IF(INDEX(TransTypes[],Transactions[[#This Row],[TTR]],TT_COL_GLFlag)=1,Transactions[[#This Row],[CalCashImpact]]+Transactions[[#This Row],[CostImpact]],0)</f>
        <v>1471.732</v>
      </c>
      <c r="W1224" s="167">
        <f>Transactions[[#This Row],[Amount]]*INDEX(TransTypes[],Transactions[[#This Row],[TTR]],TT_COL_AmntSign)</f>
        <v>15687.7</v>
      </c>
      <c r="X1224" s="167">
        <f>IF(INDEX(TransTypes[],Transactions[[#This Row],[TTR]],TT_COL_LONGORSHORT)="S",
      IF( OR(INDEX(TransTypes[],Transactions[[#This Row],[TTR]],TT_COL_GLFlag)=1, INDEX(TransTypes[], Transactions[[#This Row],[TTR]], TT_COL_ShareTransferFlag)=1),
            Transactions[[#This Row],[CostImpact]]*-1,
            Transactions[[#This Row],[CalCashImpact]]
      ),
     0
)</f>
        <v>0</v>
      </c>
      <c r="Y1224" s="168" t="str">
        <f>VLOOKUP(Transactions[[#This Row],[Symbol]],Symbols[], COLUMN(Symbols[Currency])-COLUMN(Symbols[])+1,FALSE)</f>
        <v>CNY</v>
      </c>
    </row>
    <row r="1225" spans="1:25">
      <c r="A1225" s="155" t="s">
        <v>82</v>
      </c>
      <c r="B1225" s="156">
        <v>42576</v>
      </c>
      <c r="C1225" s="155" t="s">
        <v>115</v>
      </c>
      <c r="D1225" s="155"/>
      <c r="E1225" s="155" t="s">
        <v>708</v>
      </c>
      <c r="F1225" s="157">
        <v>2000</v>
      </c>
      <c r="G1225" s="158">
        <v>19.09</v>
      </c>
      <c r="H1225" s="157">
        <v>54.22</v>
      </c>
      <c r="I1225" s="157"/>
      <c r="J1225" s="159">
        <v>38125.78</v>
      </c>
      <c r="K1225" s="6" t="s">
        <v>641</v>
      </c>
      <c r="L1225" s="20">
        <f>IF(ISNA(MATCH(Transactions[[#This Row],[TransType]],TransTypes[TransType],0)),1,MATCH(Transactions[[#This Row],[TransType]],TransTypes[TransType],0))</f>
        <v>3</v>
      </c>
      <c r="M1225" s="160">
        <f>IF( AND( INDEX(TransTypes[],Transactions[[#This Row],[TTR]],TT_COL_GLFlag)=1, INDEX(TransTypes[],Transactions[[#This Row],[TTR]],TT_COL_LONGORSHORT)="S" ),
      Transactions[[#This Row],[PL]],
      IF(INDEX(TransTypes[],Transactions[[#This Row],[TTR]],TT_COL_LONGORSHORT)="S",0,Transactions[[#This Row],[CalCashImpact]])
)</f>
        <v>38125.78</v>
      </c>
      <c r="N1225" s="161">
        <f>IF(VLOOKUP(Transactions[[#This Row],[Symbol]],Symbols[],COLUMN(Symbols[Currency])-COLUMN(Symbols[])+1,FALSE)=
       VLOOKUP(Transactions[[#This Row],[Account]],Accounts[],COLUMN(Accounts[Currency])-COLUMN(Accounts[])+1,FALSE),
     Transactions[[#This Row],[OrigCashImpact]],
     0
)</f>
        <v>38125.78</v>
      </c>
      <c r="O12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848750.06999999902</v>
      </c>
      <c r="P12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5700</v>
      </c>
      <c r="R1225" s="41">
        <f>ROW()</f>
        <v>1225</v>
      </c>
      <c r="S12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-37565.771999999997</v>
      </c>
      <c r="T12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107062.45019999999</v>
      </c>
      <c r="U12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7700</v>
      </c>
      <c r="V1225" s="166">
        <f>IF(INDEX(TransTypes[],Transactions[[#This Row],[TTR]],TT_COL_GLFlag)=1,Transactions[[#This Row],[CalCashImpact]]+Transactions[[#This Row],[CostImpact]],0)</f>
        <v>560.00800000000163</v>
      </c>
      <c r="W1225" s="167">
        <f>Transactions[[#This Row],[Amount]]*INDEX(TransTypes[],Transactions[[#This Row],[TTR]],TT_COL_AmntSign)</f>
        <v>38125.78</v>
      </c>
      <c r="X1225" s="167">
        <f>IF(INDEX(TransTypes[],Transactions[[#This Row],[TTR]],TT_COL_LONGORSHORT)="S",
      IF( OR(INDEX(TransTypes[],Transactions[[#This Row],[TTR]],TT_COL_GLFlag)=1, INDEX(TransTypes[], Transactions[[#This Row],[TTR]], TT_COL_ShareTransferFlag)=1),
            Transactions[[#This Row],[CostImpact]]*-1,
            Transactions[[#This Row],[CalCashImpact]]
      ),
     0
)</f>
        <v>0</v>
      </c>
      <c r="Y1225" s="168" t="str">
        <f>VLOOKUP(Transactions[[#This Row],[Symbol]],Symbols[], COLUMN(Symbols[Currency])-COLUMN(Symbols[])+1,FALSE)</f>
        <v>CNY</v>
      </c>
    </row>
    <row r="1226" spans="1:25">
      <c r="A1226" s="155" t="s">
        <v>82</v>
      </c>
      <c r="B1226" s="156">
        <v>42578</v>
      </c>
      <c r="C1226" s="155" t="s">
        <v>115</v>
      </c>
      <c r="D1226" s="155"/>
      <c r="E1226" s="155" t="s">
        <v>703</v>
      </c>
      <c r="F1226" s="157">
        <v>2700</v>
      </c>
      <c r="G1226" s="158">
        <v>23.149000000000001</v>
      </c>
      <c r="H1226" s="157">
        <v>87.5</v>
      </c>
      <c r="I1226" s="157"/>
      <c r="J1226" s="159">
        <v>62414.8</v>
      </c>
      <c r="K1226" s="6" t="s">
        <v>641</v>
      </c>
      <c r="L1226" s="20">
        <f>IF(ISNA(MATCH(Transactions[[#This Row],[TransType]],TransTypes[TransType],0)),1,MATCH(Transactions[[#This Row],[TransType]],TransTypes[TransType],0))</f>
        <v>3</v>
      </c>
      <c r="M1226" s="160">
        <f>IF( AND( INDEX(TransTypes[],Transactions[[#This Row],[TTR]],TT_COL_GLFlag)=1, INDEX(TransTypes[],Transactions[[#This Row],[TTR]],TT_COL_LONGORSHORT)="S" ),
      Transactions[[#This Row],[PL]],
      IF(INDEX(TransTypes[],Transactions[[#This Row],[TTR]],TT_COL_LONGORSHORT)="S",0,Transactions[[#This Row],[CalCashImpact]])
)</f>
        <v>62414.8</v>
      </c>
      <c r="N1226" s="161">
        <f>IF(VLOOKUP(Transactions[[#This Row],[Symbol]],Symbols[],COLUMN(Symbols[Currency])-COLUMN(Symbols[])+1,FALSE)=
       VLOOKUP(Transactions[[#This Row],[Account]],Accounts[],COLUMN(Accounts[Currency])-COLUMN(Accounts[])+1,FALSE),
     Transactions[[#This Row],[OrigCashImpact]],
     0
)</f>
        <v>62414.8</v>
      </c>
      <c r="O12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911164.86999999906</v>
      </c>
      <c r="P12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-2700</v>
      </c>
      <c r="Q12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2700</v>
      </c>
      <c r="R1226" s="41">
        <f>ROW()</f>
        <v>1226</v>
      </c>
      <c r="S12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-60958.874250000008</v>
      </c>
      <c r="T12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60958.874250000008</v>
      </c>
      <c r="U12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5400</v>
      </c>
      <c r="V1226" s="166">
        <f>IF(INDEX(TransTypes[],Transactions[[#This Row],[TTR]],TT_COL_GLFlag)=1,Transactions[[#This Row],[CalCashImpact]]+Transactions[[#This Row],[CostImpact]],0)</f>
        <v>1455.9257499999949</v>
      </c>
      <c r="W1226" s="167">
        <f>Transactions[[#This Row],[Amount]]*INDEX(TransTypes[],Transactions[[#This Row],[TTR]],TT_COL_AmntSign)</f>
        <v>62414.8</v>
      </c>
      <c r="X1226" s="167">
        <f>IF(INDEX(TransTypes[],Transactions[[#This Row],[TTR]],TT_COL_LONGORSHORT)="S",
      IF( OR(INDEX(TransTypes[],Transactions[[#This Row],[TTR]],TT_COL_GLFlag)=1, INDEX(TransTypes[], Transactions[[#This Row],[TTR]], TT_COL_ShareTransferFlag)=1),
            Transactions[[#This Row],[CostImpact]]*-1,
            Transactions[[#This Row],[CalCashImpact]]
      ),
     0
)</f>
        <v>0</v>
      </c>
      <c r="Y1226" s="168" t="str">
        <f>VLOOKUP(Transactions[[#This Row],[Symbol]],Symbols[], COLUMN(Symbols[Currency])-COLUMN(Symbols[])+1,FALSE)</f>
        <v>CNY</v>
      </c>
    </row>
    <row r="1227" spans="1:25">
      <c r="A1227" s="155" t="s">
        <v>82</v>
      </c>
      <c r="B1227" s="156">
        <v>42578</v>
      </c>
      <c r="C1227" s="155" t="s">
        <v>113</v>
      </c>
      <c r="D1227" s="155"/>
      <c r="E1227" s="155" t="s">
        <v>493</v>
      </c>
      <c r="F1227" s="157">
        <v>2000</v>
      </c>
      <c r="G1227" s="158">
        <v>38.539000000000001</v>
      </c>
      <c r="H1227" s="157">
        <v>30.83</v>
      </c>
      <c r="I1227" s="157"/>
      <c r="J1227" s="159">
        <v>77108.83</v>
      </c>
      <c r="K1227" s="6" t="s">
        <v>641</v>
      </c>
      <c r="L1227" s="20">
        <f>IF(ISNA(MATCH(Transactions[[#This Row],[TransType]],TransTypes[TransType],0)),1,MATCH(Transactions[[#This Row],[TransType]],TransTypes[TransType],0))</f>
        <v>2</v>
      </c>
      <c r="M1227" s="160">
        <f>IF( AND( INDEX(TransTypes[],Transactions[[#This Row],[TTR]],TT_COL_GLFlag)=1, INDEX(TransTypes[],Transactions[[#This Row],[TTR]],TT_COL_LONGORSHORT)="S" ),
      Transactions[[#This Row],[PL]],
      IF(INDEX(TransTypes[],Transactions[[#This Row],[TTR]],TT_COL_LONGORSHORT)="S",0,Transactions[[#This Row],[CalCashImpact]])
)</f>
        <v>-77108.83</v>
      </c>
      <c r="N1227" s="161">
        <f>IF(VLOOKUP(Transactions[[#This Row],[Symbol]],Symbols[],COLUMN(Symbols[Currency])-COLUMN(Symbols[])+1,FALSE)=
       VLOOKUP(Transactions[[#This Row],[Account]],Accounts[],COLUMN(Accounts[Currency])-COLUMN(Accounts[])+1,FALSE),
     Transactions[[#This Row],[OrigCashImpact]],
     0
)</f>
        <v>-77108.83</v>
      </c>
      <c r="O12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834056.03999999899</v>
      </c>
      <c r="P12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227" s="41">
        <f>ROW()</f>
        <v>1227</v>
      </c>
      <c r="S12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77108.83</v>
      </c>
      <c r="T12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77108.83</v>
      </c>
      <c r="U12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227" s="166">
        <f>IF(INDEX(TransTypes[],Transactions[[#This Row],[TTR]],TT_COL_GLFlag)=1,Transactions[[#This Row],[CalCashImpact]]+Transactions[[#This Row],[CostImpact]],0)</f>
        <v>0</v>
      </c>
      <c r="W1227" s="167">
        <f>Transactions[[#This Row],[Amount]]*INDEX(TransTypes[],Transactions[[#This Row],[TTR]],TT_COL_AmntSign)</f>
        <v>-77108.83</v>
      </c>
      <c r="X1227" s="167">
        <f>IF(INDEX(TransTypes[],Transactions[[#This Row],[TTR]],TT_COL_LONGORSHORT)="S",
      IF( OR(INDEX(TransTypes[],Transactions[[#This Row],[TTR]],TT_COL_GLFlag)=1, INDEX(TransTypes[], Transactions[[#This Row],[TTR]], TT_COL_ShareTransferFlag)=1),
            Transactions[[#This Row],[CostImpact]]*-1,
            Transactions[[#This Row],[CalCashImpact]]
      ),
     0
)</f>
        <v>0</v>
      </c>
      <c r="Y1227" s="168" t="str">
        <f>VLOOKUP(Transactions[[#This Row],[Symbol]],Symbols[], COLUMN(Symbols[Currency])-COLUMN(Symbols[])+1,FALSE)</f>
        <v>CNY</v>
      </c>
    </row>
    <row r="1228" spans="1:25">
      <c r="A1228" s="155" t="s">
        <v>82</v>
      </c>
      <c r="B1228" s="156">
        <v>42578</v>
      </c>
      <c r="C1228" s="155" t="s">
        <v>115</v>
      </c>
      <c r="D1228" s="155"/>
      <c r="E1228" s="155" t="s">
        <v>703</v>
      </c>
      <c r="F1228" s="157">
        <v>2700</v>
      </c>
      <c r="G1228" s="158">
        <v>23.43</v>
      </c>
      <c r="H1228" s="157">
        <v>88.56</v>
      </c>
      <c r="I1228" s="157"/>
      <c r="J1228" s="159">
        <v>63172.44</v>
      </c>
      <c r="K1228" s="6" t="s">
        <v>641</v>
      </c>
      <c r="L1228" s="20">
        <f>IF(ISNA(MATCH(Transactions[[#This Row],[TransType]],TransTypes[TransType],0)),1,MATCH(Transactions[[#This Row],[TransType]],TransTypes[TransType],0))</f>
        <v>3</v>
      </c>
      <c r="M1228" s="160">
        <f>IF( AND( INDEX(TransTypes[],Transactions[[#This Row],[TTR]],TT_COL_GLFlag)=1, INDEX(TransTypes[],Transactions[[#This Row],[TTR]],TT_COL_LONGORSHORT)="S" ),
      Transactions[[#This Row],[PL]],
      IF(INDEX(TransTypes[],Transactions[[#This Row],[TTR]],TT_COL_LONGORSHORT)="S",0,Transactions[[#This Row],[CalCashImpact]])
)</f>
        <v>63172.44</v>
      </c>
      <c r="N1228" s="161">
        <f>IF(VLOOKUP(Transactions[[#This Row],[Symbol]],Symbols[],COLUMN(Symbols[Currency])-COLUMN(Symbols[])+1,FALSE)=
       VLOOKUP(Transactions[[#This Row],[Account]],Accounts[],COLUMN(Accounts[Currency])-COLUMN(Accounts[])+1,FALSE),
     Transactions[[#This Row],[OrigCashImpact]],
     0
)</f>
        <v>63172.44</v>
      </c>
      <c r="O12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897228.47999999905</v>
      </c>
      <c r="P12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-2700</v>
      </c>
      <c r="Q12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28" s="41">
        <f>ROW()</f>
        <v>1228</v>
      </c>
      <c r="S12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-60958.874250000008</v>
      </c>
      <c r="T12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2700</v>
      </c>
      <c r="V1228" s="166">
        <f>IF(INDEX(TransTypes[],Transactions[[#This Row],[TTR]],TT_COL_GLFlag)=1,Transactions[[#This Row],[CalCashImpact]]+Transactions[[#This Row],[CostImpact]],0)</f>
        <v>2213.5657499999943</v>
      </c>
      <c r="W1228" s="167">
        <f>Transactions[[#This Row],[Amount]]*INDEX(TransTypes[],Transactions[[#This Row],[TTR]],TT_COL_AmntSign)</f>
        <v>63172.44</v>
      </c>
      <c r="X1228" s="167">
        <f>IF(INDEX(TransTypes[],Transactions[[#This Row],[TTR]],TT_COL_LONGORSHORT)="S",
      IF( OR(INDEX(TransTypes[],Transactions[[#This Row],[TTR]],TT_COL_GLFlag)=1, INDEX(TransTypes[], Transactions[[#This Row],[TTR]], TT_COL_ShareTransferFlag)=1),
            Transactions[[#This Row],[CostImpact]]*-1,
            Transactions[[#This Row],[CalCashImpact]]
      ),
     0
)</f>
        <v>0</v>
      </c>
      <c r="Y1228" s="168" t="str">
        <f>VLOOKUP(Transactions[[#This Row],[Symbol]],Symbols[], COLUMN(Symbols[Currency])-COLUMN(Symbols[])+1,FALSE)</f>
        <v>CNY</v>
      </c>
    </row>
    <row r="1229" spans="1:25">
      <c r="A1229" s="155" t="s">
        <v>82</v>
      </c>
      <c r="B1229" s="156">
        <v>42578</v>
      </c>
      <c r="C1229" s="155" t="s">
        <v>115</v>
      </c>
      <c r="D1229" s="155"/>
      <c r="E1229" s="155" t="s">
        <v>708</v>
      </c>
      <c r="F1229" s="157">
        <v>2900</v>
      </c>
      <c r="G1229" s="158">
        <v>17.88</v>
      </c>
      <c r="H1229" s="157">
        <v>73.63</v>
      </c>
      <c r="I1229" s="157"/>
      <c r="J1229" s="159">
        <v>51778.37</v>
      </c>
      <c r="K1229" s="6" t="s">
        <v>641</v>
      </c>
      <c r="L1229" s="20">
        <f>IF(ISNA(MATCH(Transactions[[#This Row],[TransType]],TransTypes[TransType],0)),1,MATCH(Transactions[[#This Row],[TransType]],TransTypes[TransType],0))</f>
        <v>3</v>
      </c>
      <c r="M1229" s="160">
        <f>IF( AND( INDEX(TransTypes[],Transactions[[#This Row],[TTR]],TT_COL_GLFlag)=1, INDEX(TransTypes[],Transactions[[#This Row],[TTR]],TT_COL_LONGORSHORT)="S" ),
      Transactions[[#This Row],[PL]],
      IF(INDEX(TransTypes[],Transactions[[#This Row],[TTR]],TT_COL_LONGORSHORT)="S",0,Transactions[[#This Row],[CalCashImpact]])
)</f>
        <v>51778.37</v>
      </c>
      <c r="N1229" s="161">
        <f>IF(VLOOKUP(Transactions[[#This Row],[Symbol]],Symbols[],COLUMN(Symbols[Currency])-COLUMN(Symbols[])+1,FALSE)=
       VLOOKUP(Transactions[[#This Row],[Account]],Accounts[],COLUMN(Accounts[Currency])-COLUMN(Accounts[])+1,FALSE),
     Transactions[[#This Row],[OrigCashImpact]],
     0
)</f>
        <v>51778.37</v>
      </c>
      <c r="O12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949006.84999999905</v>
      </c>
      <c r="P12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-2900</v>
      </c>
      <c r="Q12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2800</v>
      </c>
      <c r="R1229" s="41">
        <f>ROW()</f>
        <v>1229</v>
      </c>
      <c r="S12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-54470.369399999996</v>
      </c>
      <c r="T12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52592.080799999996</v>
      </c>
      <c r="U12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5700</v>
      </c>
      <c r="V1229" s="166">
        <f>IF(INDEX(TransTypes[],Transactions[[#This Row],[TTR]],TT_COL_GLFlag)=1,Transactions[[#This Row],[CalCashImpact]]+Transactions[[#This Row],[CostImpact]],0)</f>
        <v>-2691.9993999999933</v>
      </c>
      <c r="W1229" s="167">
        <f>Transactions[[#This Row],[Amount]]*INDEX(TransTypes[],Transactions[[#This Row],[TTR]],TT_COL_AmntSign)</f>
        <v>51778.37</v>
      </c>
      <c r="X1229" s="167">
        <f>IF(INDEX(TransTypes[],Transactions[[#This Row],[TTR]],TT_COL_LONGORSHORT)="S",
      IF( OR(INDEX(TransTypes[],Transactions[[#This Row],[TTR]],TT_COL_GLFlag)=1, INDEX(TransTypes[], Transactions[[#This Row],[TTR]], TT_COL_ShareTransferFlag)=1),
            Transactions[[#This Row],[CostImpact]]*-1,
            Transactions[[#This Row],[CalCashImpact]]
      ),
     0
)</f>
        <v>0</v>
      </c>
      <c r="Y1229" s="168" t="str">
        <f>VLOOKUP(Transactions[[#This Row],[Symbol]],Symbols[], COLUMN(Symbols[Currency])-COLUMN(Symbols[])+1,FALSE)</f>
        <v>CNY</v>
      </c>
    </row>
    <row r="1230" spans="1:25">
      <c r="A1230" s="155" t="s">
        <v>82</v>
      </c>
      <c r="B1230" s="156">
        <v>42578</v>
      </c>
      <c r="C1230" s="155" t="s">
        <v>113</v>
      </c>
      <c r="D1230" s="155"/>
      <c r="E1230" s="155" t="s">
        <v>705</v>
      </c>
      <c r="F1230" s="157">
        <v>2000</v>
      </c>
      <c r="G1230" s="158">
        <v>21.17</v>
      </c>
      <c r="H1230" s="157">
        <v>17.79</v>
      </c>
      <c r="I1230" s="157"/>
      <c r="J1230" s="159">
        <v>42357.79</v>
      </c>
      <c r="K1230" s="6" t="s">
        <v>641</v>
      </c>
      <c r="L1230" s="20">
        <f>IF(ISNA(MATCH(Transactions[[#This Row],[TransType]],TransTypes[TransType],0)),1,MATCH(Transactions[[#This Row],[TransType]],TransTypes[TransType],0))</f>
        <v>2</v>
      </c>
      <c r="M1230" s="160">
        <f>IF( AND( INDEX(TransTypes[],Transactions[[#This Row],[TTR]],TT_COL_GLFlag)=1, INDEX(TransTypes[],Transactions[[#This Row],[TTR]],TT_COL_LONGORSHORT)="S" ),
      Transactions[[#This Row],[PL]],
      IF(INDEX(TransTypes[],Transactions[[#This Row],[TTR]],TT_COL_LONGORSHORT)="S",0,Transactions[[#This Row],[CalCashImpact]])
)</f>
        <v>-42357.79</v>
      </c>
      <c r="N1230" s="161">
        <f>IF(VLOOKUP(Transactions[[#This Row],[Symbol]],Symbols[],COLUMN(Symbols[Currency])-COLUMN(Symbols[])+1,FALSE)=
       VLOOKUP(Transactions[[#This Row],[Account]],Accounts[],COLUMN(Accounts[Currency])-COLUMN(Accounts[])+1,FALSE),
     Transactions[[#This Row],[OrigCashImpact]],
     0
)</f>
        <v>-42357.79</v>
      </c>
      <c r="O12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906649.05999999901</v>
      </c>
      <c r="P12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230" s="41">
        <f>ROW()</f>
        <v>1230</v>
      </c>
      <c r="S12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42357.79</v>
      </c>
      <c r="T12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134106.32</v>
      </c>
      <c r="U12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230" s="166">
        <f>IF(INDEX(TransTypes[],Transactions[[#This Row],[TTR]],TT_COL_GLFlag)=1,Transactions[[#This Row],[CalCashImpact]]+Transactions[[#This Row],[CostImpact]],0)</f>
        <v>0</v>
      </c>
      <c r="W1230" s="167">
        <f>Transactions[[#This Row],[Amount]]*INDEX(TransTypes[],Transactions[[#This Row],[TTR]],TT_COL_AmntSign)</f>
        <v>-42357.79</v>
      </c>
      <c r="X1230" s="167">
        <f>IF(INDEX(TransTypes[],Transactions[[#This Row],[TTR]],TT_COL_LONGORSHORT)="S",
      IF( OR(INDEX(TransTypes[],Transactions[[#This Row],[TTR]],TT_COL_GLFlag)=1, INDEX(TransTypes[], Transactions[[#This Row],[TTR]], TT_COL_ShareTransferFlag)=1),
            Transactions[[#This Row],[CostImpact]]*-1,
            Transactions[[#This Row],[CalCashImpact]]
      ),
     0
)</f>
        <v>0</v>
      </c>
      <c r="Y1230" s="168" t="str">
        <f>VLOOKUP(Transactions[[#This Row],[Symbol]],Symbols[], COLUMN(Symbols[Currency])-COLUMN(Symbols[])+1,FALSE)</f>
        <v>CNY</v>
      </c>
    </row>
    <row r="1231" spans="1:25">
      <c r="A1231" s="155" t="s">
        <v>82</v>
      </c>
      <c r="B1231" s="156">
        <v>42578</v>
      </c>
      <c r="C1231" s="155" t="s">
        <v>113</v>
      </c>
      <c r="D1231" s="155"/>
      <c r="E1231" s="155" t="s">
        <v>684</v>
      </c>
      <c r="F1231" s="157">
        <v>2000</v>
      </c>
      <c r="G1231" s="158">
        <v>22.5</v>
      </c>
      <c r="H1231" s="157">
        <v>18.899999999999999</v>
      </c>
      <c r="I1231" s="157"/>
      <c r="J1231" s="159">
        <v>45018.9</v>
      </c>
      <c r="K1231" s="6" t="s">
        <v>641</v>
      </c>
      <c r="L1231" s="20">
        <f>IF(ISNA(MATCH(Transactions[[#This Row],[TransType]],TransTypes[TransType],0)),1,MATCH(Transactions[[#This Row],[TransType]],TransTypes[TransType],0))</f>
        <v>2</v>
      </c>
      <c r="M1231" s="160">
        <f>IF( AND( INDEX(TransTypes[],Transactions[[#This Row],[TTR]],TT_COL_GLFlag)=1, INDEX(TransTypes[],Transactions[[#This Row],[TTR]],TT_COL_LONGORSHORT)="S" ),
      Transactions[[#This Row],[PL]],
      IF(INDEX(TransTypes[],Transactions[[#This Row],[TTR]],TT_COL_LONGORSHORT)="S",0,Transactions[[#This Row],[CalCashImpact]])
)</f>
        <v>-45018.9</v>
      </c>
      <c r="N1231" s="161">
        <f>IF(VLOOKUP(Transactions[[#This Row],[Symbol]],Symbols[],COLUMN(Symbols[Currency])-COLUMN(Symbols[])+1,FALSE)=
       VLOOKUP(Transactions[[#This Row],[Account]],Accounts[],COLUMN(Accounts[Currency])-COLUMN(Accounts[])+1,FALSE),
     Transactions[[#This Row],[OrigCashImpact]],
     0
)</f>
        <v>-45018.9</v>
      </c>
      <c r="O12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861630.15999999898</v>
      </c>
      <c r="P12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231" s="41">
        <f>ROW()</f>
        <v>1231</v>
      </c>
      <c r="S12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45018.9</v>
      </c>
      <c r="T12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101448.588</v>
      </c>
      <c r="U12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31" s="166">
        <f>IF(INDEX(TransTypes[],Transactions[[#This Row],[TTR]],TT_COL_GLFlag)=1,Transactions[[#This Row],[CalCashImpact]]+Transactions[[#This Row],[CostImpact]],0)</f>
        <v>0</v>
      </c>
      <c r="W1231" s="167">
        <f>Transactions[[#This Row],[Amount]]*INDEX(TransTypes[],Transactions[[#This Row],[TTR]],TT_COL_AmntSign)</f>
        <v>-45018.9</v>
      </c>
      <c r="X1231" s="167">
        <f>IF(INDEX(TransTypes[],Transactions[[#This Row],[TTR]],TT_COL_LONGORSHORT)="S",
      IF( OR(INDEX(TransTypes[],Transactions[[#This Row],[TTR]],TT_COL_GLFlag)=1, INDEX(TransTypes[], Transactions[[#This Row],[TTR]], TT_COL_ShareTransferFlag)=1),
            Transactions[[#This Row],[CostImpact]]*-1,
            Transactions[[#This Row],[CalCashImpact]]
      ),
     0
)</f>
        <v>0</v>
      </c>
      <c r="Y1231" s="168" t="str">
        <f>VLOOKUP(Transactions[[#This Row],[Symbol]],Symbols[], COLUMN(Symbols[Currency])-COLUMN(Symbols[])+1,FALSE)</f>
        <v>CNY</v>
      </c>
    </row>
    <row r="1232" spans="1:25">
      <c r="A1232" s="155" t="s">
        <v>82</v>
      </c>
      <c r="B1232" s="156">
        <v>42578</v>
      </c>
      <c r="C1232" s="155" t="s">
        <v>113</v>
      </c>
      <c r="D1232" s="155"/>
      <c r="E1232" s="155" t="s">
        <v>488</v>
      </c>
      <c r="F1232" s="157">
        <v>2000</v>
      </c>
      <c r="G1232" s="158">
        <v>15.75</v>
      </c>
      <c r="H1232" s="157">
        <v>13.23</v>
      </c>
      <c r="I1232" s="157"/>
      <c r="J1232" s="159">
        <v>31513.23</v>
      </c>
      <c r="K1232" s="6" t="s">
        <v>641</v>
      </c>
      <c r="L1232" s="20">
        <f>IF(ISNA(MATCH(Transactions[[#This Row],[TransType]],TransTypes[TransType],0)),1,MATCH(Transactions[[#This Row],[TransType]],TransTypes[TransType],0))</f>
        <v>2</v>
      </c>
      <c r="M1232" s="160">
        <f>IF( AND( INDEX(TransTypes[],Transactions[[#This Row],[TTR]],TT_COL_GLFlag)=1, INDEX(TransTypes[],Transactions[[#This Row],[TTR]],TT_COL_LONGORSHORT)="S" ),
      Transactions[[#This Row],[PL]],
      IF(INDEX(TransTypes[],Transactions[[#This Row],[TTR]],TT_COL_LONGORSHORT)="S",0,Transactions[[#This Row],[CalCashImpact]])
)</f>
        <v>-31513.23</v>
      </c>
      <c r="N1232" s="161">
        <f>IF(VLOOKUP(Transactions[[#This Row],[Symbol]],Symbols[],COLUMN(Symbols[Currency])-COLUMN(Symbols[])+1,FALSE)=
       VLOOKUP(Transactions[[#This Row],[Account]],Accounts[],COLUMN(Accounts[Currency])-COLUMN(Accounts[])+1,FALSE),
     Transactions[[#This Row],[OrigCashImpact]],
     0
)</f>
        <v>-31513.23</v>
      </c>
      <c r="O12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830116.929999999</v>
      </c>
      <c r="P12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232" s="41">
        <f>ROW()</f>
        <v>1232</v>
      </c>
      <c r="S12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31513.23</v>
      </c>
      <c r="T12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88377.101999999999</v>
      </c>
      <c r="U12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232" s="166">
        <f>IF(INDEX(TransTypes[],Transactions[[#This Row],[TTR]],TT_COL_GLFlag)=1,Transactions[[#This Row],[CalCashImpact]]+Transactions[[#This Row],[CostImpact]],0)</f>
        <v>0</v>
      </c>
      <c r="W1232" s="167">
        <f>Transactions[[#This Row],[Amount]]*INDEX(TransTypes[],Transactions[[#This Row],[TTR]],TT_COL_AmntSign)</f>
        <v>-31513.23</v>
      </c>
      <c r="X1232" s="167">
        <f>IF(INDEX(TransTypes[],Transactions[[#This Row],[TTR]],TT_COL_LONGORSHORT)="S",
      IF( OR(INDEX(TransTypes[],Transactions[[#This Row],[TTR]],TT_COL_GLFlag)=1, INDEX(TransTypes[], Transactions[[#This Row],[TTR]], TT_COL_ShareTransferFlag)=1),
            Transactions[[#This Row],[CostImpact]]*-1,
            Transactions[[#This Row],[CalCashImpact]]
      ),
     0
)</f>
        <v>0</v>
      </c>
      <c r="Y1232" s="168" t="str">
        <f>VLOOKUP(Transactions[[#This Row],[Symbol]],Symbols[], COLUMN(Symbols[Currency])-COLUMN(Symbols[])+1,FALSE)</f>
        <v>CNY</v>
      </c>
    </row>
    <row r="1233" spans="1:25">
      <c r="A1233" s="155" t="s">
        <v>82</v>
      </c>
      <c r="B1233" s="156">
        <v>42578</v>
      </c>
      <c r="C1233" s="155" t="s">
        <v>115</v>
      </c>
      <c r="D1233" s="155"/>
      <c r="E1233" s="155" t="s">
        <v>708</v>
      </c>
      <c r="F1233" s="157">
        <v>2800</v>
      </c>
      <c r="G1233" s="158">
        <v>18.106999999999999</v>
      </c>
      <c r="H1233" s="157">
        <v>71.989999999999995</v>
      </c>
      <c r="I1233" s="157"/>
      <c r="J1233" s="159">
        <v>50627.61</v>
      </c>
      <c r="K1233" s="6" t="s">
        <v>641</v>
      </c>
      <c r="L1233" s="20">
        <f>IF(ISNA(MATCH(Transactions[[#This Row],[TransType]],TransTypes[TransType],0)),1,MATCH(Transactions[[#This Row],[TransType]],TransTypes[TransType],0))</f>
        <v>3</v>
      </c>
      <c r="M1233" s="160">
        <f>IF( AND( INDEX(TransTypes[],Transactions[[#This Row],[TTR]],TT_COL_GLFlag)=1, INDEX(TransTypes[],Transactions[[#This Row],[TTR]],TT_COL_LONGORSHORT)="S" ),
      Transactions[[#This Row],[PL]],
      IF(INDEX(TransTypes[],Transactions[[#This Row],[TTR]],TT_COL_LONGORSHORT)="S",0,Transactions[[#This Row],[CalCashImpact]])
)</f>
        <v>50627.61</v>
      </c>
      <c r="N1233" s="161">
        <f>IF(VLOOKUP(Transactions[[#This Row],[Symbol]],Symbols[],COLUMN(Symbols[Currency])-COLUMN(Symbols[])+1,FALSE)=
       VLOOKUP(Transactions[[#This Row],[Account]],Accounts[],COLUMN(Accounts[Currency])-COLUMN(Accounts[])+1,FALSE),
     Transactions[[#This Row],[OrigCashImpact]],
     0
)</f>
        <v>50627.61</v>
      </c>
      <c r="O12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880744.53999999899</v>
      </c>
      <c r="P12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-2800</v>
      </c>
      <c r="Q12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33" s="41">
        <f>ROW()</f>
        <v>1233</v>
      </c>
      <c r="S12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-52592.080799999996</v>
      </c>
      <c r="T12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2800</v>
      </c>
      <c r="V1233" s="166">
        <f>IF(INDEX(TransTypes[],Transactions[[#This Row],[TTR]],TT_COL_GLFlag)=1,Transactions[[#This Row],[CalCashImpact]]+Transactions[[#This Row],[CostImpact]],0)</f>
        <v>-1964.4707999999955</v>
      </c>
      <c r="W1233" s="167">
        <f>Transactions[[#This Row],[Amount]]*INDEX(TransTypes[],Transactions[[#This Row],[TTR]],TT_COL_AmntSign)</f>
        <v>50627.61</v>
      </c>
      <c r="X1233" s="167">
        <f>IF(INDEX(TransTypes[],Transactions[[#This Row],[TTR]],TT_COL_LONGORSHORT)="S",
      IF( OR(INDEX(TransTypes[],Transactions[[#This Row],[TTR]],TT_COL_GLFlag)=1, INDEX(TransTypes[], Transactions[[#This Row],[TTR]], TT_COL_ShareTransferFlag)=1),
            Transactions[[#This Row],[CostImpact]]*-1,
            Transactions[[#This Row],[CalCashImpact]]
      ),
     0
)</f>
        <v>0</v>
      </c>
      <c r="Y1233" s="168" t="str">
        <f>VLOOKUP(Transactions[[#This Row],[Symbol]],Symbols[], COLUMN(Symbols[Currency])-COLUMN(Symbols[])+1,FALSE)</f>
        <v>CNY</v>
      </c>
    </row>
    <row r="1234" spans="1:25">
      <c r="A1234" s="155" t="s">
        <v>82</v>
      </c>
      <c r="B1234" s="156">
        <v>42579</v>
      </c>
      <c r="C1234" s="155" t="s">
        <v>113</v>
      </c>
      <c r="D1234" s="155"/>
      <c r="E1234" s="155" t="s">
        <v>683</v>
      </c>
      <c r="F1234" s="157">
        <v>5000</v>
      </c>
      <c r="G1234" s="158">
        <v>16.38</v>
      </c>
      <c r="H1234" s="157">
        <v>32.76</v>
      </c>
      <c r="I1234" s="157"/>
      <c r="J1234" s="159">
        <v>81932.759999999995</v>
      </c>
      <c r="K1234" s="6" t="s">
        <v>641</v>
      </c>
      <c r="L1234" s="20">
        <f>IF(ISNA(MATCH(Transactions[[#This Row],[TransType]],TransTypes[TransType],0)),1,MATCH(Transactions[[#This Row],[TransType]],TransTypes[TransType],0))</f>
        <v>2</v>
      </c>
      <c r="M1234" s="160">
        <f>IF( AND( INDEX(TransTypes[],Transactions[[#This Row],[TTR]],TT_COL_GLFlag)=1, INDEX(TransTypes[],Transactions[[#This Row],[TTR]],TT_COL_LONGORSHORT)="S" ),
      Transactions[[#This Row],[PL]],
      IF(INDEX(TransTypes[],Transactions[[#This Row],[TTR]],TT_COL_LONGORSHORT)="S",0,Transactions[[#This Row],[CalCashImpact]])
)</f>
        <v>-81932.759999999995</v>
      </c>
      <c r="N1234" s="161">
        <f>IF(VLOOKUP(Transactions[[#This Row],[Symbol]],Symbols[],COLUMN(Symbols[Currency])-COLUMN(Symbols[])+1,FALSE)=
       VLOOKUP(Transactions[[#This Row],[Account]],Accounts[],COLUMN(Accounts[Currency])-COLUMN(Accounts[])+1,FALSE),
     Transactions[[#This Row],[OrigCashImpact]],
     0
)</f>
        <v>-81932.759999999995</v>
      </c>
      <c r="O12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798811.77999999898</v>
      </c>
      <c r="P12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234" s="41">
        <f>ROW()</f>
        <v>1234</v>
      </c>
      <c r="S12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81932.759999999995</v>
      </c>
      <c r="T12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81932.759999999995</v>
      </c>
      <c r="U12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34" s="166">
        <f>IF(INDEX(TransTypes[],Transactions[[#This Row],[TTR]],TT_COL_GLFlag)=1,Transactions[[#This Row],[CalCashImpact]]+Transactions[[#This Row],[CostImpact]],0)</f>
        <v>0</v>
      </c>
      <c r="W1234" s="167">
        <f>Transactions[[#This Row],[Amount]]*INDEX(TransTypes[],Transactions[[#This Row],[TTR]],TT_COL_AmntSign)</f>
        <v>-81932.759999999995</v>
      </c>
      <c r="X1234" s="167">
        <f>IF(INDEX(TransTypes[],Transactions[[#This Row],[TTR]],TT_COL_LONGORSHORT)="S",
      IF( OR(INDEX(TransTypes[],Transactions[[#This Row],[TTR]],TT_COL_GLFlag)=1, INDEX(TransTypes[], Transactions[[#This Row],[TTR]], TT_COL_ShareTransferFlag)=1),
            Transactions[[#This Row],[CostImpact]]*-1,
            Transactions[[#This Row],[CalCashImpact]]
      ),
     0
)</f>
        <v>0</v>
      </c>
      <c r="Y1234" s="168" t="str">
        <f>VLOOKUP(Transactions[[#This Row],[Symbol]],Symbols[], COLUMN(Symbols[Currency])-COLUMN(Symbols[])+1,FALSE)</f>
        <v>CNY</v>
      </c>
    </row>
    <row r="1235" spans="1:25">
      <c r="A1235" s="155" t="s">
        <v>82</v>
      </c>
      <c r="B1235" s="156">
        <v>42579</v>
      </c>
      <c r="C1235" s="155" t="s">
        <v>113</v>
      </c>
      <c r="D1235" s="155"/>
      <c r="E1235" s="155" t="s">
        <v>699</v>
      </c>
      <c r="F1235" s="157">
        <v>30000</v>
      </c>
      <c r="G1235" s="158">
        <v>2.8730000000000002</v>
      </c>
      <c r="H1235" s="157">
        <v>34.479999999999997</v>
      </c>
      <c r="I1235" s="157"/>
      <c r="J1235" s="159">
        <v>86224.48</v>
      </c>
      <c r="K1235" s="6" t="s">
        <v>641</v>
      </c>
      <c r="L1235" s="20">
        <f>IF(ISNA(MATCH(Transactions[[#This Row],[TransType]],TransTypes[TransType],0)),1,MATCH(Transactions[[#This Row],[TransType]],TransTypes[TransType],0))</f>
        <v>2</v>
      </c>
      <c r="M1235" s="160">
        <f>IF( AND( INDEX(TransTypes[],Transactions[[#This Row],[TTR]],TT_COL_GLFlag)=1, INDEX(TransTypes[],Transactions[[#This Row],[TTR]],TT_COL_LONGORSHORT)="S" ),
      Transactions[[#This Row],[PL]],
      IF(INDEX(TransTypes[],Transactions[[#This Row],[TTR]],TT_COL_LONGORSHORT)="S",0,Transactions[[#This Row],[CalCashImpact]])
)</f>
        <v>-86224.48</v>
      </c>
      <c r="N1235" s="161">
        <f>IF(VLOOKUP(Transactions[[#This Row],[Symbol]],Symbols[],COLUMN(Symbols[Currency])-COLUMN(Symbols[])+1,FALSE)=
       VLOOKUP(Transactions[[#This Row],[Account]],Accounts[],COLUMN(Accounts[Currency])-COLUMN(Accounts[])+1,FALSE),
     Transactions[[#This Row],[OrigCashImpact]],
     0
)</f>
        <v>-86224.48</v>
      </c>
      <c r="O12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712587.299999999</v>
      </c>
      <c r="P12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v>
      </c>
      <c r="Q12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50000</v>
      </c>
      <c r="R1235" s="41">
        <f>ROW()</f>
        <v>1235</v>
      </c>
      <c r="S12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86224.48</v>
      </c>
      <c r="T12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142767.09</v>
      </c>
      <c r="U12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50000</v>
      </c>
      <c r="V1235" s="166">
        <f>IF(INDEX(TransTypes[],Transactions[[#This Row],[TTR]],TT_COL_GLFlag)=1,Transactions[[#This Row],[CalCashImpact]]+Transactions[[#This Row],[CostImpact]],0)</f>
        <v>0</v>
      </c>
      <c r="W1235" s="167">
        <f>Transactions[[#This Row],[Amount]]*INDEX(TransTypes[],Transactions[[#This Row],[TTR]],TT_COL_AmntSign)</f>
        <v>-86224.48</v>
      </c>
      <c r="X1235" s="167">
        <f>IF(INDEX(TransTypes[],Transactions[[#This Row],[TTR]],TT_COL_LONGORSHORT)="S",
      IF( OR(INDEX(TransTypes[],Transactions[[#This Row],[TTR]],TT_COL_GLFlag)=1, INDEX(TransTypes[], Transactions[[#This Row],[TTR]], TT_COL_ShareTransferFlag)=1),
            Transactions[[#This Row],[CostImpact]]*-1,
            Transactions[[#This Row],[CalCashImpact]]
      ),
     0
)</f>
        <v>0</v>
      </c>
      <c r="Y1235" s="168" t="str">
        <f>VLOOKUP(Transactions[[#This Row],[Symbol]],Symbols[], COLUMN(Symbols[Currency])-COLUMN(Symbols[])+1,FALSE)</f>
        <v>CNY</v>
      </c>
    </row>
    <row r="1236" spans="1:25">
      <c r="A1236" s="155" t="s">
        <v>82</v>
      </c>
      <c r="B1236" s="156">
        <v>42586</v>
      </c>
      <c r="C1236" s="155" t="s">
        <v>113</v>
      </c>
      <c r="D1236" s="155"/>
      <c r="E1236" s="155" t="s">
        <v>710</v>
      </c>
      <c r="F1236" s="157">
        <v>3000</v>
      </c>
      <c r="G1236" s="158">
        <v>21.016999999999999</v>
      </c>
      <c r="H1236" s="157">
        <v>25.22</v>
      </c>
      <c r="I1236" s="157"/>
      <c r="J1236" s="159">
        <v>63076.22</v>
      </c>
      <c r="K1236" s="6" t="s">
        <v>641</v>
      </c>
      <c r="L1236" s="20">
        <f>IF(ISNA(MATCH(Transactions[[#This Row],[TransType]],TransTypes[TransType],0)),1,MATCH(Transactions[[#This Row],[TransType]],TransTypes[TransType],0))</f>
        <v>2</v>
      </c>
      <c r="M1236" s="160">
        <f>IF( AND( INDEX(TransTypes[],Transactions[[#This Row],[TTR]],TT_COL_GLFlag)=1, INDEX(TransTypes[],Transactions[[#This Row],[TTR]],TT_COL_LONGORSHORT)="S" ),
      Transactions[[#This Row],[PL]],
      IF(INDEX(TransTypes[],Transactions[[#This Row],[TTR]],TT_COL_LONGORSHORT)="S",0,Transactions[[#This Row],[CalCashImpact]])
)</f>
        <v>-63076.22</v>
      </c>
      <c r="N1236" s="161">
        <f>IF(VLOOKUP(Transactions[[#This Row],[Symbol]],Symbols[],COLUMN(Symbols[Currency])-COLUMN(Symbols[])+1,FALSE)=
       VLOOKUP(Transactions[[#This Row],[Account]],Accounts[],COLUMN(Accounts[Currency])-COLUMN(Accounts[])+1,FALSE),
     Transactions[[#This Row],[OrigCashImpact]],
     0
)</f>
        <v>-63076.22</v>
      </c>
      <c r="O12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649511.07999999903</v>
      </c>
      <c r="P12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236" s="41">
        <f>ROW()</f>
        <v>1236</v>
      </c>
      <c r="S12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63076.22</v>
      </c>
      <c r="T12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63076.22</v>
      </c>
      <c r="U12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36" s="166">
        <f>IF(INDEX(TransTypes[],Transactions[[#This Row],[TTR]],TT_COL_GLFlag)=1,Transactions[[#This Row],[CalCashImpact]]+Transactions[[#This Row],[CostImpact]],0)</f>
        <v>0</v>
      </c>
      <c r="W1236" s="167">
        <f>Transactions[[#This Row],[Amount]]*INDEX(TransTypes[],Transactions[[#This Row],[TTR]],TT_COL_AmntSign)</f>
        <v>-63076.22</v>
      </c>
      <c r="X1236" s="167">
        <f>IF(INDEX(TransTypes[],Transactions[[#This Row],[TTR]],TT_COL_LONGORSHORT)="S",
      IF( OR(INDEX(TransTypes[],Transactions[[#This Row],[TTR]],TT_COL_GLFlag)=1, INDEX(TransTypes[], Transactions[[#This Row],[TTR]], TT_COL_ShareTransferFlag)=1),
            Transactions[[#This Row],[CostImpact]]*-1,
            Transactions[[#This Row],[CalCashImpact]]
      ),
     0
)</f>
        <v>0</v>
      </c>
      <c r="Y1236" s="168" t="str">
        <f>VLOOKUP(Transactions[[#This Row],[Symbol]],Symbols[], COLUMN(Symbols[Currency])-COLUMN(Symbols[])+1,FALSE)</f>
        <v>CNY</v>
      </c>
    </row>
    <row r="1237" spans="1:25">
      <c r="A1237" s="155" t="s">
        <v>82</v>
      </c>
      <c r="B1237" s="156">
        <v>42587</v>
      </c>
      <c r="C1237" s="155" t="s">
        <v>113</v>
      </c>
      <c r="D1237" s="155"/>
      <c r="E1237" s="155" t="s">
        <v>711</v>
      </c>
      <c r="F1237" s="157">
        <v>3000</v>
      </c>
      <c r="G1237" s="158">
        <v>17.66</v>
      </c>
      <c r="H1237" s="157">
        <v>21.19</v>
      </c>
      <c r="I1237" s="157"/>
      <c r="J1237" s="159">
        <v>53001.19</v>
      </c>
      <c r="K1237" s="6" t="s">
        <v>641</v>
      </c>
      <c r="L1237" s="20">
        <f>IF(ISNA(MATCH(Transactions[[#This Row],[TransType]],TransTypes[TransType],0)),1,MATCH(Transactions[[#This Row],[TransType]],TransTypes[TransType],0))</f>
        <v>2</v>
      </c>
      <c r="M1237" s="160">
        <f>IF( AND( INDEX(TransTypes[],Transactions[[#This Row],[TTR]],TT_COL_GLFlag)=1, INDEX(TransTypes[],Transactions[[#This Row],[TTR]],TT_COL_LONGORSHORT)="S" ),
      Transactions[[#This Row],[PL]],
      IF(INDEX(TransTypes[],Transactions[[#This Row],[TTR]],TT_COL_LONGORSHORT)="S",0,Transactions[[#This Row],[CalCashImpact]])
)</f>
        <v>-53001.19</v>
      </c>
      <c r="N1237" s="161">
        <f>IF(VLOOKUP(Transactions[[#This Row],[Symbol]],Symbols[],COLUMN(Symbols[Currency])-COLUMN(Symbols[])+1,FALSE)=
       VLOOKUP(Transactions[[#This Row],[Account]],Accounts[],COLUMN(Accounts[Currency])-COLUMN(Accounts[])+1,FALSE),
     Transactions[[#This Row],[OrigCashImpact]],
     0
)</f>
        <v>-53001.19</v>
      </c>
      <c r="O12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596509.88999999897</v>
      </c>
      <c r="P12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237" s="41">
        <f>ROW()</f>
        <v>1237</v>
      </c>
      <c r="S12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53001.19</v>
      </c>
      <c r="T12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53001.19</v>
      </c>
      <c r="U12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37" s="166">
        <f>IF(INDEX(TransTypes[],Transactions[[#This Row],[TTR]],TT_COL_GLFlag)=1,Transactions[[#This Row],[CalCashImpact]]+Transactions[[#This Row],[CostImpact]],0)</f>
        <v>0</v>
      </c>
      <c r="W1237" s="167">
        <f>Transactions[[#This Row],[Amount]]*INDEX(TransTypes[],Transactions[[#This Row],[TTR]],TT_COL_AmntSign)</f>
        <v>-53001.19</v>
      </c>
      <c r="X1237" s="167">
        <f>IF(INDEX(TransTypes[],Transactions[[#This Row],[TTR]],TT_COL_LONGORSHORT)="S",
      IF( OR(INDEX(TransTypes[],Transactions[[#This Row],[TTR]],TT_COL_GLFlag)=1, INDEX(TransTypes[], Transactions[[#This Row],[TTR]], TT_COL_ShareTransferFlag)=1),
            Transactions[[#This Row],[CostImpact]]*-1,
            Transactions[[#This Row],[CalCashImpact]]
      ),
     0
)</f>
        <v>0</v>
      </c>
      <c r="Y1237" s="168" t="str">
        <f>VLOOKUP(Transactions[[#This Row],[Symbol]],Symbols[], COLUMN(Symbols[Currency])-COLUMN(Symbols[])+1,FALSE)</f>
        <v>CNY</v>
      </c>
    </row>
    <row r="1238" spans="1:25">
      <c r="A1238" s="155" t="s">
        <v>82</v>
      </c>
      <c r="B1238" s="156">
        <v>42587</v>
      </c>
      <c r="C1238" s="155" t="s">
        <v>115</v>
      </c>
      <c r="D1238" s="155"/>
      <c r="E1238" s="155" t="s">
        <v>642</v>
      </c>
      <c r="F1238" s="157">
        <v>5000</v>
      </c>
      <c r="G1238" s="158">
        <v>27.93</v>
      </c>
      <c r="H1238" s="157">
        <v>195.52</v>
      </c>
      <c r="I1238" s="157"/>
      <c r="J1238" s="159">
        <v>139454.48000000001</v>
      </c>
      <c r="K1238" s="6" t="s">
        <v>641</v>
      </c>
      <c r="L1238" s="20">
        <f>IF(ISNA(MATCH(Transactions[[#This Row],[TransType]],TransTypes[TransType],0)),1,MATCH(Transactions[[#This Row],[TransType]],TransTypes[TransType],0))</f>
        <v>3</v>
      </c>
      <c r="M1238" s="160">
        <f>IF( AND( INDEX(TransTypes[],Transactions[[#This Row],[TTR]],TT_COL_GLFlag)=1, INDEX(TransTypes[],Transactions[[#This Row],[TTR]],TT_COL_LONGORSHORT)="S" ),
      Transactions[[#This Row],[PL]],
      IF(INDEX(TransTypes[],Transactions[[#This Row],[TTR]],TT_COL_LONGORSHORT)="S",0,Transactions[[#This Row],[CalCashImpact]])
)</f>
        <v>139454.48000000001</v>
      </c>
      <c r="N1238" s="161">
        <f>IF(VLOOKUP(Transactions[[#This Row],[Symbol]],Symbols[],COLUMN(Symbols[Currency])-COLUMN(Symbols[])+1,FALSE)=
       VLOOKUP(Transactions[[#This Row],[Account]],Accounts[],COLUMN(Accounts[Currency])-COLUMN(Accounts[])+1,FALSE),
     Transactions[[#This Row],[OrigCashImpact]],
     0
)</f>
        <v>139454.48000000001</v>
      </c>
      <c r="O12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735964.36999999906</v>
      </c>
      <c r="P12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38" s="41">
        <f>ROW()</f>
        <v>1238</v>
      </c>
      <c r="S12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-132894.80089285711</v>
      </c>
      <c r="T12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38" s="166">
        <f>IF(INDEX(TransTypes[],Transactions[[#This Row],[TTR]],TT_COL_GLFlag)=1,Transactions[[#This Row],[CalCashImpact]]+Transactions[[#This Row],[CostImpact]],0)</f>
        <v>6559.6791071429034</v>
      </c>
      <c r="W1238" s="167">
        <f>Transactions[[#This Row],[Amount]]*INDEX(TransTypes[],Transactions[[#This Row],[TTR]],TT_COL_AmntSign)</f>
        <v>139454.48000000001</v>
      </c>
      <c r="X1238" s="167">
        <f>IF(INDEX(TransTypes[],Transactions[[#This Row],[TTR]],TT_COL_LONGORSHORT)="S",
      IF( OR(INDEX(TransTypes[],Transactions[[#This Row],[TTR]],TT_COL_GLFlag)=1, INDEX(TransTypes[], Transactions[[#This Row],[TTR]], TT_COL_ShareTransferFlag)=1),
            Transactions[[#This Row],[CostImpact]]*-1,
            Transactions[[#This Row],[CalCashImpact]]
      ),
     0
)</f>
        <v>0</v>
      </c>
      <c r="Y1238" s="168" t="str">
        <f>VLOOKUP(Transactions[[#This Row],[Symbol]],Symbols[], COLUMN(Symbols[Currency])-COLUMN(Symbols[])+1,FALSE)</f>
        <v>CNY</v>
      </c>
    </row>
    <row r="1239" spans="1:25">
      <c r="A1239" s="155" t="s">
        <v>82</v>
      </c>
      <c r="B1239" s="156">
        <v>42587</v>
      </c>
      <c r="C1239" s="155" t="s">
        <v>115</v>
      </c>
      <c r="D1239" s="155"/>
      <c r="E1239" s="155" t="s">
        <v>683</v>
      </c>
      <c r="F1239" s="157">
        <v>5000</v>
      </c>
      <c r="G1239" s="158">
        <v>16.07</v>
      </c>
      <c r="H1239" s="157">
        <v>112.49</v>
      </c>
      <c r="I1239" s="157"/>
      <c r="J1239" s="159">
        <v>80237.509999999995</v>
      </c>
      <c r="K1239" s="6" t="s">
        <v>641</v>
      </c>
      <c r="L1239" s="20">
        <f>IF(ISNA(MATCH(Transactions[[#This Row],[TransType]],TransTypes[TransType],0)),1,MATCH(Transactions[[#This Row],[TransType]],TransTypes[TransType],0))</f>
        <v>3</v>
      </c>
      <c r="M1239" s="160">
        <f>IF( AND( INDEX(TransTypes[],Transactions[[#This Row],[TTR]],TT_COL_GLFlag)=1, INDEX(TransTypes[],Transactions[[#This Row],[TTR]],TT_COL_LONGORSHORT)="S" ),
      Transactions[[#This Row],[PL]],
      IF(INDEX(TransTypes[],Transactions[[#This Row],[TTR]],TT_COL_LONGORSHORT)="S",0,Transactions[[#This Row],[CalCashImpact]])
)</f>
        <v>80237.509999999995</v>
      </c>
      <c r="N1239" s="161">
        <f>IF(VLOOKUP(Transactions[[#This Row],[Symbol]],Symbols[],COLUMN(Symbols[Currency])-COLUMN(Symbols[])+1,FALSE)=
       VLOOKUP(Transactions[[#This Row],[Account]],Accounts[],COLUMN(Accounts[Currency])-COLUMN(Accounts[])+1,FALSE),
     Transactions[[#This Row],[OrigCashImpact]],
     0
)</f>
        <v>80237.509999999995</v>
      </c>
      <c r="O12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816201.87999999896</v>
      </c>
      <c r="P12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39" s="41">
        <f>ROW()</f>
        <v>1239</v>
      </c>
      <c r="S12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-81932.759999999995</v>
      </c>
      <c r="T12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39" s="166">
        <f>IF(INDEX(TransTypes[],Transactions[[#This Row],[TTR]],TT_COL_GLFlag)=1,Transactions[[#This Row],[CalCashImpact]]+Transactions[[#This Row],[CostImpact]],0)</f>
        <v>-1695.25</v>
      </c>
      <c r="W1239" s="167">
        <f>Transactions[[#This Row],[Amount]]*INDEX(TransTypes[],Transactions[[#This Row],[TTR]],TT_COL_AmntSign)</f>
        <v>80237.509999999995</v>
      </c>
      <c r="X1239" s="167">
        <f>IF(INDEX(TransTypes[],Transactions[[#This Row],[TTR]],TT_COL_LONGORSHORT)="S",
      IF( OR(INDEX(TransTypes[],Transactions[[#This Row],[TTR]],TT_COL_GLFlag)=1, INDEX(TransTypes[], Transactions[[#This Row],[TTR]], TT_COL_ShareTransferFlag)=1),
            Transactions[[#This Row],[CostImpact]]*-1,
            Transactions[[#This Row],[CalCashImpact]]
      ),
     0
)</f>
        <v>0</v>
      </c>
      <c r="Y1239" s="168" t="str">
        <f>VLOOKUP(Transactions[[#This Row],[Symbol]],Symbols[], COLUMN(Symbols[Currency])-COLUMN(Symbols[])+1,FALSE)</f>
        <v>CNY</v>
      </c>
    </row>
    <row r="1240" spans="1:25">
      <c r="A1240" s="155" t="s">
        <v>82</v>
      </c>
      <c r="B1240" s="156">
        <v>42587</v>
      </c>
      <c r="C1240" s="155" t="s">
        <v>113</v>
      </c>
      <c r="D1240" s="155"/>
      <c r="E1240" s="155" t="s">
        <v>708</v>
      </c>
      <c r="F1240" s="157">
        <v>8000</v>
      </c>
      <c r="G1240" s="158">
        <v>20.870999999999999</v>
      </c>
      <c r="H1240" s="157">
        <v>70.13</v>
      </c>
      <c r="I1240" s="157"/>
      <c r="J1240" s="159">
        <v>167038.13</v>
      </c>
      <c r="K1240" s="6" t="s">
        <v>641</v>
      </c>
      <c r="L1240" s="20">
        <f>IF(ISNA(MATCH(Transactions[[#This Row],[TransType]],TransTypes[TransType],0)),1,MATCH(Transactions[[#This Row],[TransType]],TransTypes[TransType],0))</f>
        <v>2</v>
      </c>
      <c r="M1240" s="160">
        <f>IF( AND( INDEX(TransTypes[],Transactions[[#This Row],[TTR]],TT_COL_GLFlag)=1, INDEX(TransTypes[],Transactions[[#This Row],[TTR]],TT_COL_LONGORSHORT)="S" ),
      Transactions[[#This Row],[PL]],
      IF(INDEX(TransTypes[],Transactions[[#This Row],[TTR]],TT_COL_LONGORSHORT)="S",0,Transactions[[#This Row],[CalCashImpact]])
)</f>
        <v>-167038.13</v>
      </c>
      <c r="N1240" s="161">
        <f>IF(VLOOKUP(Transactions[[#This Row],[Symbol]],Symbols[],COLUMN(Symbols[Currency])-COLUMN(Symbols[])+1,FALSE)=
       VLOOKUP(Transactions[[#This Row],[Account]],Accounts[],COLUMN(Accounts[Currency])-COLUMN(Accounts[])+1,FALSE),
     Transactions[[#This Row],[OrigCashImpact]],
     0
)</f>
        <v>-167038.13</v>
      </c>
      <c r="O12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649163.74999999907</v>
      </c>
      <c r="P12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2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240" s="41">
        <f>ROW()</f>
        <v>1240</v>
      </c>
      <c r="S12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167038.13</v>
      </c>
      <c r="T12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167038.13</v>
      </c>
      <c r="U12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240" s="166">
        <f>IF(INDEX(TransTypes[],Transactions[[#This Row],[TTR]],TT_COL_GLFlag)=1,Transactions[[#This Row],[CalCashImpact]]+Transactions[[#This Row],[CostImpact]],0)</f>
        <v>0</v>
      </c>
      <c r="W1240" s="167">
        <f>Transactions[[#This Row],[Amount]]*INDEX(TransTypes[],Transactions[[#This Row],[TTR]],TT_COL_AmntSign)</f>
        <v>-167038.13</v>
      </c>
      <c r="X1240" s="167">
        <f>IF(INDEX(TransTypes[],Transactions[[#This Row],[TTR]],TT_COL_LONGORSHORT)="S",
      IF( OR(INDEX(TransTypes[],Transactions[[#This Row],[TTR]],TT_COL_GLFlag)=1, INDEX(TransTypes[], Transactions[[#This Row],[TTR]], TT_COL_ShareTransferFlag)=1),
            Transactions[[#This Row],[CostImpact]]*-1,
            Transactions[[#This Row],[CalCashImpact]]
      ),
     0
)</f>
        <v>0</v>
      </c>
      <c r="Y1240" s="168" t="str">
        <f>VLOOKUP(Transactions[[#This Row],[Symbol]],Symbols[], COLUMN(Symbols[Currency])-COLUMN(Symbols[])+1,FALSE)</f>
        <v>CNY</v>
      </c>
    </row>
    <row r="1241" spans="1:25">
      <c r="A1241" s="155" t="s">
        <v>82</v>
      </c>
      <c r="B1241" s="156">
        <v>42592</v>
      </c>
      <c r="C1241" s="155" t="s">
        <v>113</v>
      </c>
      <c r="D1241" s="155"/>
      <c r="E1241" s="155" t="s">
        <v>700</v>
      </c>
      <c r="F1241" s="157">
        <v>5000</v>
      </c>
      <c r="G1241" s="158">
        <v>12.28</v>
      </c>
      <c r="H1241" s="157">
        <v>24.56</v>
      </c>
      <c r="I1241" s="157"/>
      <c r="J1241" s="159">
        <v>61424.56</v>
      </c>
      <c r="K1241" s="6" t="s">
        <v>641</v>
      </c>
      <c r="L1241" s="20">
        <f>IF(ISNA(MATCH(Transactions[[#This Row],[TransType]],TransTypes[TransType],0)),1,MATCH(Transactions[[#This Row],[TransType]],TransTypes[TransType],0))</f>
        <v>2</v>
      </c>
      <c r="M1241" s="160">
        <f>IF( AND( INDEX(TransTypes[],Transactions[[#This Row],[TTR]],TT_COL_GLFlag)=1, INDEX(TransTypes[],Transactions[[#This Row],[TTR]],TT_COL_LONGORSHORT)="S" ),
      Transactions[[#This Row],[PL]],
      IF(INDEX(TransTypes[],Transactions[[#This Row],[TTR]],TT_COL_LONGORSHORT)="S",0,Transactions[[#This Row],[CalCashImpact]])
)</f>
        <v>-61424.56</v>
      </c>
      <c r="N1241" s="161">
        <f>IF(VLOOKUP(Transactions[[#This Row],[Symbol]],Symbols[],COLUMN(Symbols[Currency])-COLUMN(Symbols[])+1,FALSE)=
       VLOOKUP(Transactions[[#This Row],[Account]],Accounts[],COLUMN(Accounts[Currency])-COLUMN(Accounts[])+1,FALSE),
     Transactions[[#This Row],[OrigCashImpact]],
     0
)</f>
        <v>-61424.56</v>
      </c>
      <c r="O12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587739.18999999901</v>
      </c>
      <c r="P12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241" s="41">
        <f>ROW()</f>
        <v>1241</v>
      </c>
      <c r="S12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61424.56</v>
      </c>
      <c r="T12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61424.56</v>
      </c>
      <c r="U12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41" s="166">
        <f>IF(INDEX(TransTypes[],Transactions[[#This Row],[TTR]],TT_COL_GLFlag)=1,Transactions[[#This Row],[CalCashImpact]]+Transactions[[#This Row],[CostImpact]],0)</f>
        <v>0</v>
      </c>
      <c r="W1241" s="167">
        <f>Transactions[[#This Row],[Amount]]*INDEX(TransTypes[],Transactions[[#This Row],[TTR]],TT_COL_AmntSign)</f>
        <v>-61424.56</v>
      </c>
      <c r="X1241" s="167">
        <f>IF(INDEX(TransTypes[],Transactions[[#This Row],[TTR]],TT_COL_LONGORSHORT)="S",
      IF( OR(INDEX(TransTypes[],Transactions[[#This Row],[TTR]],TT_COL_GLFlag)=1, INDEX(TransTypes[], Transactions[[#This Row],[TTR]], TT_COL_ShareTransferFlag)=1),
            Transactions[[#This Row],[CostImpact]]*-1,
            Transactions[[#This Row],[CalCashImpact]]
      ),
     0
)</f>
        <v>0</v>
      </c>
      <c r="Y1241" s="168" t="str">
        <f>VLOOKUP(Transactions[[#This Row],[Symbol]],Symbols[], COLUMN(Symbols[Currency])-COLUMN(Symbols[])+1,FALSE)</f>
        <v>CNY</v>
      </c>
    </row>
    <row r="1242" spans="1:25">
      <c r="A1242" s="155" t="s">
        <v>82</v>
      </c>
      <c r="B1242" s="156">
        <v>42592</v>
      </c>
      <c r="C1242" s="155" t="s">
        <v>115</v>
      </c>
      <c r="D1242" s="155"/>
      <c r="E1242" s="155" t="s">
        <v>708</v>
      </c>
      <c r="F1242" s="157">
        <v>4000</v>
      </c>
      <c r="G1242" s="158">
        <v>20.427</v>
      </c>
      <c r="H1242" s="157">
        <v>116.02</v>
      </c>
      <c r="I1242" s="157"/>
      <c r="J1242" s="159">
        <v>81591.98</v>
      </c>
      <c r="K1242" s="6" t="s">
        <v>641</v>
      </c>
      <c r="L1242" s="20">
        <f>IF(ISNA(MATCH(Transactions[[#This Row],[TransType]],TransTypes[TransType],0)),1,MATCH(Transactions[[#This Row],[TransType]],TransTypes[TransType],0))</f>
        <v>3</v>
      </c>
      <c r="M1242" s="160">
        <f>IF( AND( INDEX(TransTypes[],Transactions[[#This Row],[TTR]],TT_COL_GLFlag)=1, INDEX(TransTypes[],Transactions[[#This Row],[TTR]],TT_COL_LONGORSHORT)="S" ),
      Transactions[[#This Row],[PL]],
      IF(INDEX(TransTypes[],Transactions[[#This Row],[TTR]],TT_COL_LONGORSHORT)="S",0,Transactions[[#This Row],[CalCashImpact]])
)</f>
        <v>81591.98</v>
      </c>
      <c r="N1242" s="161">
        <f>IF(VLOOKUP(Transactions[[#This Row],[Symbol]],Symbols[],COLUMN(Symbols[Currency])-COLUMN(Symbols[])+1,FALSE)=
       VLOOKUP(Transactions[[#This Row],[Account]],Accounts[],COLUMN(Accounts[Currency])-COLUMN(Accounts[])+1,FALSE),
     Transactions[[#This Row],[OrigCashImpact]],
     0
)</f>
        <v>81591.98</v>
      </c>
      <c r="O12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669331.16999999899</v>
      </c>
      <c r="P12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2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242" s="41">
        <f>ROW()</f>
        <v>1242</v>
      </c>
      <c r="S12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-83519.065000000002</v>
      </c>
      <c r="T12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83519.065000000002</v>
      </c>
      <c r="U12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242" s="166">
        <f>IF(INDEX(TransTypes[],Transactions[[#This Row],[TTR]],TT_COL_GLFlag)=1,Transactions[[#This Row],[CalCashImpact]]+Transactions[[#This Row],[CostImpact]],0)</f>
        <v>-1927.0850000000064</v>
      </c>
      <c r="W1242" s="167">
        <f>Transactions[[#This Row],[Amount]]*INDEX(TransTypes[],Transactions[[#This Row],[TTR]],TT_COL_AmntSign)</f>
        <v>81591.98</v>
      </c>
      <c r="X1242" s="167">
        <f>IF(INDEX(TransTypes[],Transactions[[#This Row],[TTR]],TT_COL_LONGORSHORT)="S",
      IF( OR(INDEX(TransTypes[],Transactions[[#This Row],[TTR]],TT_COL_GLFlag)=1, INDEX(TransTypes[], Transactions[[#This Row],[TTR]], TT_COL_ShareTransferFlag)=1),
            Transactions[[#This Row],[CostImpact]]*-1,
            Transactions[[#This Row],[CalCashImpact]]
      ),
     0
)</f>
        <v>0</v>
      </c>
      <c r="Y1242" s="168" t="str">
        <f>VLOOKUP(Transactions[[#This Row],[Symbol]],Symbols[], COLUMN(Symbols[Currency])-COLUMN(Symbols[])+1,FALSE)</f>
        <v>CNY</v>
      </c>
    </row>
    <row r="1243" spans="1:25">
      <c r="A1243" s="155" t="s">
        <v>82</v>
      </c>
      <c r="B1243" s="156">
        <v>42593</v>
      </c>
      <c r="C1243" s="155" t="s">
        <v>115</v>
      </c>
      <c r="D1243" s="155"/>
      <c r="E1243" s="155" t="s">
        <v>700</v>
      </c>
      <c r="F1243" s="157">
        <v>5000</v>
      </c>
      <c r="G1243" s="158">
        <v>11.75</v>
      </c>
      <c r="H1243" s="157">
        <v>82.25</v>
      </c>
      <c r="I1243" s="157"/>
      <c r="J1243" s="159">
        <v>58667.75</v>
      </c>
      <c r="K1243" s="6" t="s">
        <v>641</v>
      </c>
      <c r="L1243" s="20">
        <f>IF(ISNA(MATCH(Transactions[[#This Row],[TransType]],TransTypes[TransType],0)),1,MATCH(Transactions[[#This Row],[TransType]],TransTypes[TransType],0))</f>
        <v>3</v>
      </c>
      <c r="M1243" s="160">
        <f>IF( AND( INDEX(TransTypes[],Transactions[[#This Row],[TTR]],TT_COL_GLFlag)=1, INDEX(TransTypes[],Transactions[[#This Row],[TTR]],TT_COL_LONGORSHORT)="S" ),
      Transactions[[#This Row],[PL]],
      IF(INDEX(TransTypes[],Transactions[[#This Row],[TTR]],TT_COL_LONGORSHORT)="S",0,Transactions[[#This Row],[CalCashImpact]])
)</f>
        <v>58667.75</v>
      </c>
      <c r="N1243" s="161">
        <f>IF(VLOOKUP(Transactions[[#This Row],[Symbol]],Symbols[],COLUMN(Symbols[Currency])-COLUMN(Symbols[])+1,FALSE)=
       VLOOKUP(Transactions[[#This Row],[Account]],Accounts[],COLUMN(Accounts[Currency])-COLUMN(Accounts[])+1,FALSE),
     Transactions[[#This Row],[OrigCashImpact]],
     0
)</f>
        <v>58667.75</v>
      </c>
      <c r="O12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727998.91999999899</v>
      </c>
      <c r="P12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43" s="41">
        <f>ROW()</f>
        <v>1243</v>
      </c>
      <c r="S12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-61424.560000000005</v>
      </c>
      <c r="T12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43" s="166">
        <f>IF(INDEX(TransTypes[],Transactions[[#This Row],[TTR]],TT_COL_GLFlag)=1,Transactions[[#This Row],[CalCashImpact]]+Transactions[[#This Row],[CostImpact]],0)</f>
        <v>-2756.8100000000049</v>
      </c>
      <c r="W1243" s="167">
        <f>Transactions[[#This Row],[Amount]]*INDEX(TransTypes[],Transactions[[#This Row],[TTR]],TT_COL_AmntSign)</f>
        <v>58667.75</v>
      </c>
      <c r="X1243" s="167">
        <f>IF(INDEX(TransTypes[],Transactions[[#This Row],[TTR]],TT_COL_LONGORSHORT)="S",
      IF( OR(INDEX(TransTypes[],Transactions[[#This Row],[TTR]],TT_COL_GLFlag)=1, INDEX(TransTypes[], Transactions[[#This Row],[TTR]], TT_COL_ShareTransferFlag)=1),
            Transactions[[#This Row],[CostImpact]]*-1,
            Transactions[[#This Row],[CalCashImpact]]
      ),
     0
)</f>
        <v>0</v>
      </c>
      <c r="Y1243" s="168" t="str">
        <f>VLOOKUP(Transactions[[#This Row],[Symbol]],Symbols[], COLUMN(Symbols[Currency])-COLUMN(Symbols[])+1,FALSE)</f>
        <v>CNY</v>
      </c>
    </row>
    <row r="1244" spans="1:25">
      <c r="A1244" s="155" t="s">
        <v>82</v>
      </c>
      <c r="B1244" s="156">
        <v>42593</v>
      </c>
      <c r="C1244" s="155" t="s">
        <v>115</v>
      </c>
      <c r="D1244" s="155"/>
      <c r="E1244" s="155" t="s">
        <v>711</v>
      </c>
      <c r="F1244" s="157">
        <v>3000</v>
      </c>
      <c r="G1244" s="158">
        <v>17.28</v>
      </c>
      <c r="H1244" s="157">
        <v>72.58</v>
      </c>
      <c r="I1244" s="157"/>
      <c r="J1244" s="159">
        <v>51767.42</v>
      </c>
      <c r="K1244" s="6" t="s">
        <v>641</v>
      </c>
      <c r="L1244" s="20">
        <f>IF(ISNA(MATCH(Transactions[[#This Row],[TransType]],TransTypes[TransType],0)),1,MATCH(Transactions[[#This Row],[TransType]],TransTypes[TransType],0))</f>
        <v>3</v>
      </c>
      <c r="M1244" s="160">
        <f>IF( AND( INDEX(TransTypes[],Transactions[[#This Row],[TTR]],TT_COL_GLFlag)=1, INDEX(TransTypes[],Transactions[[#This Row],[TTR]],TT_COL_LONGORSHORT)="S" ),
      Transactions[[#This Row],[PL]],
      IF(INDEX(TransTypes[],Transactions[[#This Row],[TTR]],TT_COL_LONGORSHORT)="S",0,Transactions[[#This Row],[CalCashImpact]])
)</f>
        <v>51767.42</v>
      </c>
      <c r="N1244" s="161">
        <f>IF(VLOOKUP(Transactions[[#This Row],[Symbol]],Symbols[],COLUMN(Symbols[Currency])-COLUMN(Symbols[])+1,FALSE)=
       VLOOKUP(Transactions[[#This Row],[Account]],Accounts[],COLUMN(Accounts[Currency])-COLUMN(Accounts[])+1,FALSE),
     Transactions[[#This Row],[OrigCashImpact]],
     0
)</f>
        <v>51767.42</v>
      </c>
      <c r="O12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779766.33999999904</v>
      </c>
      <c r="P12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44" s="41">
        <f>ROW()</f>
        <v>1244</v>
      </c>
      <c r="S12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-53001.19</v>
      </c>
      <c r="T12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44" s="166">
        <f>IF(INDEX(TransTypes[],Transactions[[#This Row],[TTR]],TT_COL_GLFlag)=1,Transactions[[#This Row],[CalCashImpact]]+Transactions[[#This Row],[CostImpact]],0)</f>
        <v>-1233.7700000000041</v>
      </c>
      <c r="W1244" s="167">
        <f>Transactions[[#This Row],[Amount]]*INDEX(TransTypes[],Transactions[[#This Row],[TTR]],TT_COL_AmntSign)</f>
        <v>51767.42</v>
      </c>
      <c r="X1244" s="167">
        <f>IF(INDEX(TransTypes[],Transactions[[#This Row],[TTR]],TT_COL_LONGORSHORT)="S",
      IF( OR(INDEX(TransTypes[],Transactions[[#This Row],[TTR]],TT_COL_GLFlag)=1, INDEX(TransTypes[], Transactions[[#This Row],[TTR]], TT_COL_ShareTransferFlag)=1),
            Transactions[[#This Row],[CostImpact]]*-1,
            Transactions[[#This Row],[CalCashImpact]]
      ),
     0
)</f>
        <v>0</v>
      </c>
      <c r="Y1244" s="168" t="str">
        <f>VLOOKUP(Transactions[[#This Row],[Symbol]],Symbols[], COLUMN(Symbols[Currency])-COLUMN(Symbols[])+1,FALSE)</f>
        <v>CNY</v>
      </c>
    </row>
    <row r="1245" spans="1:25">
      <c r="A1245" s="155" t="s">
        <v>82</v>
      </c>
      <c r="B1245" s="156">
        <v>42593</v>
      </c>
      <c r="C1245" s="155" t="s">
        <v>115</v>
      </c>
      <c r="D1245" s="155"/>
      <c r="E1245" s="155" t="s">
        <v>644</v>
      </c>
      <c r="F1245" s="157">
        <v>500</v>
      </c>
      <c r="G1245" s="158">
        <v>71.61</v>
      </c>
      <c r="H1245" s="157">
        <v>50.13</v>
      </c>
      <c r="I1245" s="157"/>
      <c r="J1245" s="159">
        <v>35754.870000000003</v>
      </c>
      <c r="K1245" s="6" t="s">
        <v>641</v>
      </c>
      <c r="L1245" s="20">
        <f>IF(ISNA(MATCH(Transactions[[#This Row],[TransType]],TransTypes[TransType],0)),1,MATCH(Transactions[[#This Row],[TransType]],TransTypes[TransType],0))</f>
        <v>3</v>
      </c>
      <c r="M1245" s="160">
        <f>IF( AND( INDEX(TransTypes[],Transactions[[#This Row],[TTR]],TT_COL_GLFlag)=1, INDEX(TransTypes[],Transactions[[#This Row],[TTR]],TT_COL_LONGORSHORT)="S" ),
      Transactions[[#This Row],[PL]],
      IF(INDEX(TransTypes[],Transactions[[#This Row],[TTR]],TT_COL_LONGORSHORT)="S",0,Transactions[[#This Row],[CalCashImpact]])
)</f>
        <v>35754.870000000003</v>
      </c>
      <c r="N1245" s="161">
        <f>IF(VLOOKUP(Transactions[[#This Row],[Symbol]],Symbols[],COLUMN(Symbols[Currency])-COLUMN(Symbols[])+1,FALSE)=
       VLOOKUP(Transactions[[#This Row],[Account]],Accounts[],COLUMN(Accounts[Currency])-COLUMN(Accounts[])+1,FALSE),
     Transactions[[#This Row],[OrigCashImpact]],
     0
)</f>
        <v>35754.870000000003</v>
      </c>
      <c r="O12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815521.20999999903</v>
      </c>
      <c r="P12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2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1245" s="41">
        <f>ROW()</f>
        <v>1245</v>
      </c>
      <c r="S12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-31569.576648148151</v>
      </c>
      <c r="T12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157847.88324074075</v>
      </c>
      <c r="U12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45" s="166">
        <f>IF(INDEX(TransTypes[],Transactions[[#This Row],[TTR]],TT_COL_GLFlag)=1,Transactions[[#This Row],[CalCashImpact]]+Transactions[[#This Row],[CostImpact]],0)</f>
        <v>4185.2933518518512</v>
      </c>
      <c r="W1245" s="167">
        <f>Transactions[[#This Row],[Amount]]*INDEX(TransTypes[],Transactions[[#This Row],[TTR]],TT_COL_AmntSign)</f>
        <v>35754.870000000003</v>
      </c>
      <c r="X1245" s="167">
        <f>IF(INDEX(TransTypes[],Transactions[[#This Row],[TTR]],TT_COL_LONGORSHORT)="S",
      IF( OR(INDEX(TransTypes[],Transactions[[#This Row],[TTR]],TT_COL_GLFlag)=1, INDEX(TransTypes[], Transactions[[#This Row],[TTR]], TT_COL_ShareTransferFlag)=1),
            Transactions[[#This Row],[CostImpact]]*-1,
            Transactions[[#This Row],[CalCashImpact]]
      ),
     0
)</f>
        <v>0</v>
      </c>
      <c r="Y1245" s="168" t="str">
        <f>VLOOKUP(Transactions[[#This Row],[Symbol]],Symbols[], COLUMN(Symbols[Currency])-COLUMN(Symbols[])+1,FALSE)</f>
        <v>CNY</v>
      </c>
    </row>
    <row r="1246" spans="1:25">
      <c r="A1246" s="155" t="s">
        <v>82</v>
      </c>
      <c r="B1246" s="156">
        <v>42593</v>
      </c>
      <c r="C1246" s="155" t="s">
        <v>113</v>
      </c>
      <c r="D1246" s="155"/>
      <c r="E1246" s="155" t="s">
        <v>710</v>
      </c>
      <c r="F1246" s="157">
        <v>2000</v>
      </c>
      <c r="G1246" s="158">
        <v>21.11</v>
      </c>
      <c r="H1246" s="157">
        <v>16.89</v>
      </c>
      <c r="I1246" s="157"/>
      <c r="J1246" s="159">
        <v>42236.89</v>
      </c>
      <c r="K1246" s="6" t="s">
        <v>641</v>
      </c>
      <c r="L1246" s="20">
        <f>IF(ISNA(MATCH(Transactions[[#This Row],[TransType]],TransTypes[TransType],0)),1,MATCH(Transactions[[#This Row],[TransType]],TransTypes[TransType],0))</f>
        <v>2</v>
      </c>
      <c r="M1246" s="160">
        <f>IF( AND( INDEX(TransTypes[],Transactions[[#This Row],[TTR]],TT_COL_GLFlag)=1, INDEX(TransTypes[],Transactions[[#This Row],[TTR]],TT_COL_LONGORSHORT)="S" ),
      Transactions[[#This Row],[PL]],
      IF(INDEX(TransTypes[],Transactions[[#This Row],[TTR]],TT_COL_LONGORSHORT)="S",0,Transactions[[#This Row],[CalCashImpact]])
)</f>
        <v>-42236.89</v>
      </c>
      <c r="N1246" s="161">
        <f>IF(VLOOKUP(Transactions[[#This Row],[Symbol]],Symbols[],COLUMN(Symbols[Currency])-COLUMN(Symbols[])+1,FALSE)=
       VLOOKUP(Transactions[[#This Row],[Account]],Accounts[],COLUMN(Accounts[Currency])-COLUMN(Accounts[])+1,FALSE),
     Transactions[[#This Row],[OrigCashImpact]],
     0
)</f>
        <v>-42236.89</v>
      </c>
      <c r="O12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773284.31999999902</v>
      </c>
      <c r="P12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246" s="41">
        <f>ROW()</f>
        <v>1246</v>
      </c>
      <c r="S12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42236.89</v>
      </c>
      <c r="T12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105313.11</v>
      </c>
      <c r="U12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46" s="166">
        <f>IF(INDEX(TransTypes[],Transactions[[#This Row],[TTR]],TT_COL_GLFlag)=1,Transactions[[#This Row],[CalCashImpact]]+Transactions[[#This Row],[CostImpact]],0)</f>
        <v>0</v>
      </c>
      <c r="W1246" s="167">
        <f>Transactions[[#This Row],[Amount]]*INDEX(TransTypes[],Transactions[[#This Row],[TTR]],TT_COL_AmntSign)</f>
        <v>-42236.89</v>
      </c>
      <c r="X1246" s="167">
        <f>IF(INDEX(TransTypes[],Transactions[[#This Row],[TTR]],TT_COL_LONGORSHORT)="S",
      IF( OR(INDEX(TransTypes[],Transactions[[#This Row],[TTR]],TT_COL_GLFlag)=1, INDEX(TransTypes[], Transactions[[#This Row],[TTR]], TT_COL_ShareTransferFlag)=1),
            Transactions[[#This Row],[CostImpact]]*-1,
            Transactions[[#This Row],[CalCashImpact]]
      ),
     0
)</f>
        <v>0</v>
      </c>
      <c r="Y1246" s="168" t="str">
        <f>VLOOKUP(Transactions[[#This Row],[Symbol]],Symbols[], COLUMN(Symbols[Currency])-COLUMN(Symbols[])+1,FALSE)</f>
        <v>CNY</v>
      </c>
    </row>
    <row r="1247" spans="1:25">
      <c r="A1247" s="155" t="s">
        <v>82</v>
      </c>
      <c r="B1247" s="156">
        <v>42593</v>
      </c>
      <c r="C1247" s="155" t="s">
        <v>115</v>
      </c>
      <c r="D1247" s="155"/>
      <c r="E1247" s="155" t="s">
        <v>708</v>
      </c>
      <c r="F1247" s="157">
        <v>4000</v>
      </c>
      <c r="G1247" s="158">
        <v>19.45</v>
      </c>
      <c r="H1247" s="157">
        <v>100.48</v>
      </c>
      <c r="I1247" s="157"/>
      <c r="J1247" s="159">
        <v>77699.520000000004</v>
      </c>
      <c r="K1247" s="6" t="s">
        <v>641</v>
      </c>
      <c r="L1247" s="20">
        <f>IF(ISNA(MATCH(Transactions[[#This Row],[TransType]],TransTypes[TransType],0)),1,MATCH(Transactions[[#This Row],[TransType]],TransTypes[TransType],0))</f>
        <v>3</v>
      </c>
      <c r="M1247" s="160">
        <f>IF( AND( INDEX(TransTypes[],Transactions[[#This Row],[TTR]],TT_COL_GLFlag)=1, INDEX(TransTypes[],Transactions[[#This Row],[TTR]],TT_COL_LONGORSHORT)="S" ),
      Transactions[[#This Row],[PL]],
      IF(INDEX(TransTypes[],Transactions[[#This Row],[TTR]],TT_COL_LONGORSHORT)="S",0,Transactions[[#This Row],[CalCashImpact]])
)</f>
        <v>77699.520000000004</v>
      </c>
      <c r="N1247" s="161">
        <f>IF(VLOOKUP(Transactions[[#This Row],[Symbol]],Symbols[],COLUMN(Symbols[Currency])-COLUMN(Symbols[])+1,FALSE)=
       VLOOKUP(Transactions[[#This Row],[Account]],Accounts[],COLUMN(Accounts[Currency])-COLUMN(Accounts[])+1,FALSE),
     Transactions[[#This Row],[OrigCashImpact]],
     0
)</f>
        <v>77699.520000000004</v>
      </c>
      <c r="O12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850983.83999999904</v>
      </c>
      <c r="P12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2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47" s="41">
        <f>ROW()</f>
        <v>1247</v>
      </c>
      <c r="S12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-83519.065000000002</v>
      </c>
      <c r="T12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247" s="166">
        <f>IF(INDEX(TransTypes[],Transactions[[#This Row],[TTR]],TT_COL_GLFlag)=1,Transactions[[#This Row],[CalCashImpact]]+Transactions[[#This Row],[CostImpact]],0)</f>
        <v>-5819.5449999999983</v>
      </c>
      <c r="W1247" s="167">
        <f>Transactions[[#This Row],[Amount]]*INDEX(TransTypes[],Transactions[[#This Row],[TTR]],TT_COL_AmntSign)</f>
        <v>77699.520000000004</v>
      </c>
      <c r="X1247" s="167">
        <f>IF(INDEX(TransTypes[],Transactions[[#This Row],[TTR]],TT_COL_LONGORSHORT)="S",
      IF( OR(INDEX(TransTypes[],Transactions[[#This Row],[TTR]],TT_COL_GLFlag)=1, INDEX(TransTypes[], Transactions[[#This Row],[TTR]], TT_COL_ShareTransferFlag)=1),
            Transactions[[#This Row],[CostImpact]]*-1,
            Transactions[[#This Row],[CalCashImpact]]
      ),
     0
)</f>
        <v>0</v>
      </c>
      <c r="Y1247" s="168" t="str">
        <f>VLOOKUP(Transactions[[#This Row],[Symbol]],Symbols[], COLUMN(Symbols[Currency])-COLUMN(Symbols[])+1,FALSE)</f>
        <v>CNY</v>
      </c>
    </row>
    <row r="1248" spans="1:25">
      <c r="A1248" s="155" t="s">
        <v>82</v>
      </c>
      <c r="B1248" s="156">
        <v>42594</v>
      </c>
      <c r="C1248" s="155" t="s">
        <v>113</v>
      </c>
      <c r="D1248" s="155"/>
      <c r="E1248" s="155" t="s">
        <v>712</v>
      </c>
      <c r="F1248" s="157">
        <v>200000</v>
      </c>
      <c r="G1248" s="158">
        <v>0.78800000000000003</v>
      </c>
      <c r="H1248" s="157">
        <v>63</v>
      </c>
      <c r="I1248" s="157"/>
      <c r="J1248" s="159">
        <v>157663</v>
      </c>
      <c r="K1248" s="6" t="s">
        <v>641</v>
      </c>
      <c r="L1248" s="20">
        <f>IF(ISNA(MATCH(Transactions[[#This Row],[TransType]],TransTypes[TransType],0)),1,MATCH(Transactions[[#This Row],[TransType]],TransTypes[TransType],0))</f>
        <v>2</v>
      </c>
      <c r="M1248" s="160">
        <f>IF( AND( INDEX(TransTypes[],Transactions[[#This Row],[TTR]],TT_COL_GLFlag)=1, INDEX(TransTypes[],Transactions[[#This Row],[TTR]],TT_COL_LONGORSHORT)="S" ),
      Transactions[[#This Row],[PL]],
      IF(INDEX(TransTypes[],Transactions[[#This Row],[TTR]],TT_COL_LONGORSHORT)="S",0,Transactions[[#This Row],[CalCashImpact]])
)</f>
        <v>-157663</v>
      </c>
      <c r="N1248" s="161">
        <f>IF(VLOOKUP(Transactions[[#This Row],[Symbol]],Symbols[],COLUMN(Symbols[Currency])-COLUMN(Symbols[])+1,FALSE)=
       VLOOKUP(Transactions[[#This Row],[Account]],Accounts[],COLUMN(Accounts[Currency])-COLUMN(Accounts[])+1,FALSE),
     Transactions[[#This Row],[OrigCashImpact]],
     0
)</f>
        <v>-157663</v>
      </c>
      <c r="O12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693320.83999999904</v>
      </c>
      <c r="P12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12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1248" s="41">
        <f>ROW()</f>
        <v>1248</v>
      </c>
      <c r="S12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157663</v>
      </c>
      <c r="T12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157663</v>
      </c>
      <c r="U12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1248" s="166">
        <f>IF(INDEX(TransTypes[],Transactions[[#This Row],[TTR]],TT_COL_GLFlag)=1,Transactions[[#This Row],[CalCashImpact]]+Transactions[[#This Row],[CostImpact]],0)</f>
        <v>0</v>
      </c>
      <c r="W1248" s="167">
        <f>Transactions[[#This Row],[Amount]]*INDEX(TransTypes[],Transactions[[#This Row],[TTR]],TT_COL_AmntSign)</f>
        <v>-157663</v>
      </c>
      <c r="X1248" s="167">
        <f>IF(INDEX(TransTypes[],Transactions[[#This Row],[TTR]],TT_COL_LONGORSHORT)="S",
      IF( OR(INDEX(TransTypes[],Transactions[[#This Row],[TTR]],TT_COL_GLFlag)=1, INDEX(TransTypes[], Transactions[[#This Row],[TTR]], TT_COL_ShareTransferFlag)=1),
            Transactions[[#This Row],[CostImpact]]*-1,
            Transactions[[#This Row],[CalCashImpact]]
      ),
     0
)</f>
        <v>0</v>
      </c>
      <c r="Y1248" s="168" t="str">
        <f>VLOOKUP(Transactions[[#This Row],[Symbol]],Symbols[], COLUMN(Symbols[Currency])-COLUMN(Symbols[])+1,FALSE)</f>
        <v>CNY</v>
      </c>
    </row>
    <row r="1249" spans="1:25">
      <c r="A1249" s="155" t="s">
        <v>82</v>
      </c>
      <c r="B1249" s="156">
        <v>42597</v>
      </c>
      <c r="C1249" s="155" t="s">
        <v>115</v>
      </c>
      <c r="D1249" s="155"/>
      <c r="E1249" s="155" t="s">
        <v>675</v>
      </c>
      <c r="F1249" s="157">
        <v>60000</v>
      </c>
      <c r="G1249" s="158">
        <v>1.206</v>
      </c>
      <c r="H1249" s="157">
        <v>28.94</v>
      </c>
      <c r="I1249" s="157"/>
      <c r="J1249" s="159">
        <v>72331.06</v>
      </c>
      <c r="K1249" s="6" t="s">
        <v>641</v>
      </c>
      <c r="L1249" s="20">
        <f>IF(ISNA(MATCH(Transactions[[#This Row],[TransType]],TransTypes[TransType],0)),1,MATCH(Transactions[[#This Row],[TransType]],TransTypes[TransType],0))</f>
        <v>3</v>
      </c>
      <c r="M1249" s="160">
        <f>IF( AND( INDEX(TransTypes[],Transactions[[#This Row],[TTR]],TT_COL_GLFlag)=1, INDEX(TransTypes[],Transactions[[#This Row],[TTR]],TT_COL_LONGORSHORT)="S" ),
      Transactions[[#This Row],[PL]],
      IF(INDEX(TransTypes[],Transactions[[#This Row],[TTR]],TT_COL_LONGORSHORT)="S",0,Transactions[[#This Row],[CalCashImpact]])
)</f>
        <v>72331.06</v>
      </c>
      <c r="N1249" s="161">
        <f>IF(VLOOKUP(Transactions[[#This Row],[Symbol]],Symbols[],COLUMN(Symbols[Currency])-COLUMN(Symbols[])+1,FALSE)=
       VLOOKUP(Transactions[[#This Row],[Account]],Accounts[],COLUMN(Accounts[Currency])-COLUMN(Accounts[])+1,FALSE),
     Transactions[[#This Row],[OrigCashImpact]],
     0
)</f>
        <v>72331.06</v>
      </c>
      <c r="O12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765651.89999999898</v>
      </c>
      <c r="P12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12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240000</v>
      </c>
      <c r="R1249" s="41">
        <f>ROW()</f>
        <v>1249</v>
      </c>
      <c r="S12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-58739.161351351344</v>
      </c>
      <c r="T12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234956.64540540538</v>
      </c>
      <c r="U12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1249" s="166">
        <f>IF(INDEX(TransTypes[],Transactions[[#This Row],[TTR]],TT_COL_GLFlag)=1,Transactions[[#This Row],[CalCashImpact]]+Transactions[[#This Row],[CostImpact]],0)</f>
        <v>13591.898648648654</v>
      </c>
      <c r="W1249" s="167">
        <f>Transactions[[#This Row],[Amount]]*INDEX(TransTypes[],Transactions[[#This Row],[TTR]],TT_COL_AmntSign)</f>
        <v>72331.06</v>
      </c>
      <c r="X1249" s="167">
        <f>IF(INDEX(TransTypes[],Transactions[[#This Row],[TTR]],TT_COL_LONGORSHORT)="S",
      IF( OR(INDEX(TransTypes[],Transactions[[#This Row],[TTR]],TT_COL_GLFlag)=1, INDEX(TransTypes[], Transactions[[#This Row],[TTR]], TT_COL_ShareTransferFlag)=1),
            Transactions[[#This Row],[CostImpact]]*-1,
            Transactions[[#This Row],[CalCashImpact]]
      ),
     0
)</f>
        <v>0</v>
      </c>
      <c r="Y1249" s="168" t="str">
        <f>VLOOKUP(Transactions[[#This Row],[Symbol]],Symbols[], COLUMN(Symbols[Currency])-COLUMN(Symbols[])+1,FALSE)</f>
        <v>CNY</v>
      </c>
    </row>
    <row r="1250" spans="1:25">
      <c r="A1250" s="155" t="s">
        <v>82</v>
      </c>
      <c r="B1250" s="156">
        <v>42597</v>
      </c>
      <c r="C1250" s="155" t="s">
        <v>115</v>
      </c>
      <c r="D1250" s="155"/>
      <c r="E1250" s="155" t="s">
        <v>710</v>
      </c>
      <c r="F1250" s="157">
        <v>3000</v>
      </c>
      <c r="G1250" s="158">
        <v>21.13</v>
      </c>
      <c r="H1250" s="157">
        <v>88.75</v>
      </c>
      <c r="I1250" s="157"/>
      <c r="J1250" s="159">
        <v>63301.25</v>
      </c>
      <c r="K1250" s="6" t="s">
        <v>641</v>
      </c>
      <c r="L1250" s="20">
        <f>IF(ISNA(MATCH(Transactions[[#This Row],[TransType]],TransTypes[TransType],0)),1,MATCH(Transactions[[#This Row],[TransType]],TransTypes[TransType],0))</f>
        <v>3</v>
      </c>
      <c r="M1250" s="160">
        <f>IF( AND( INDEX(TransTypes[],Transactions[[#This Row],[TTR]],TT_COL_GLFlag)=1, INDEX(TransTypes[],Transactions[[#This Row],[TTR]],TT_COL_LONGORSHORT)="S" ),
      Transactions[[#This Row],[PL]],
      IF(INDEX(TransTypes[],Transactions[[#This Row],[TTR]],TT_COL_LONGORSHORT)="S",0,Transactions[[#This Row],[CalCashImpact]])
)</f>
        <v>63301.25</v>
      </c>
      <c r="N1250" s="161">
        <f>IF(VLOOKUP(Transactions[[#This Row],[Symbol]],Symbols[],COLUMN(Symbols[Currency])-COLUMN(Symbols[])+1,FALSE)=
       VLOOKUP(Transactions[[#This Row],[Account]],Accounts[],COLUMN(Accounts[Currency])-COLUMN(Accounts[])+1,FALSE),
     Transactions[[#This Row],[OrigCashImpact]],
     0
)</f>
        <v>63301.25</v>
      </c>
      <c r="O12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828953.14999999898</v>
      </c>
      <c r="P12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250" s="41">
        <f>ROW()</f>
        <v>1250</v>
      </c>
      <c r="S12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-63187.866000000002</v>
      </c>
      <c r="T12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42125.243999999999</v>
      </c>
      <c r="U12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50" s="166">
        <f>IF(INDEX(TransTypes[],Transactions[[#This Row],[TTR]],TT_COL_GLFlag)=1,Transactions[[#This Row],[CalCashImpact]]+Transactions[[#This Row],[CostImpact]],0)</f>
        <v>113.3839999999982</v>
      </c>
      <c r="W1250" s="167">
        <f>Transactions[[#This Row],[Amount]]*INDEX(TransTypes[],Transactions[[#This Row],[TTR]],TT_COL_AmntSign)</f>
        <v>63301.25</v>
      </c>
      <c r="X1250" s="167">
        <f>IF(INDEX(TransTypes[],Transactions[[#This Row],[TTR]],TT_COL_LONGORSHORT)="S",
      IF( OR(INDEX(TransTypes[],Transactions[[#This Row],[TTR]],TT_COL_GLFlag)=1, INDEX(TransTypes[], Transactions[[#This Row],[TTR]], TT_COL_ShareTransferFlag)=1),
            Transactions[[#This Row],[CostImpact]]*-1,
            Transactions[[#This Row],[CalCashImpact]]
      ),
     0
)</f>
        <v>0</v>
      </c>
      <c r="Y1250" s="168" t="str">
        <f>VLOOKUP(Transactions[[#This Row],[Symbol]],Symbols[], COLUMN(Symbols[Currency])-COLUMN(Symbols[])+1,FALSE)</f>
        <v>CNY</v>
      </c>
    </row>
    <row r="1251" spans="1:25">
      <c r="A1251" s="155" t="s">
        <v>82</v>
      </c>
      <c r="B1251" s="156">
        <v>42597</v>
      </c>
      <c r="C1251" s="155" t="s">
        <v>113</v>
      </c>
      <c r="D1251" s="155"/>
      <c r="E1251" s="155" t="s">
        <v>468</v>
      </c>
      <c r="F1251" s="157">
        <v>2000</v>
      </c>
      <c r="G1251" s="158">
        <v>33.86</v>
      </c>
      <c r="H1251" s="157">
        <v>28.44</v>
      </c>
      <c r="I1251" s="157"/>
      <c r="J1251" s="159">
        <v>67748.44</v>
      </c>
      <c r="K1251" s="6" t="s">
        <v>641</v>
      </c>
      <c r="L1251" s="20">
        <f>IF(ISNA(MATCH(Transactions[[#This Row],[TransType]],TransTypes[TransType],0)),1,MATCH(Transactions[[#This Row],[TransType]],TransTypes[TransType],0))</f>
        <v>2</v>
      </c>
      <c r="M1251" s="160">
        <f>IF( AND( INDEX(TransTypes[],Transactions[[#This Row],[TTR]],TT_COL_GLFlag)=1, INDEX(TransTypes[],Transactions[[#This Row],[TTR]],TT_COL_LONGORSHORT)="S" ),
      Transactions[[#This Row],[PL]],
      IF(INDEX(TransTypes[],Transactions[[#This Row],[TTR]],TT_COL_LONGORSHORT)="S",0,Transactions[[#This Row],[CalCashImpact]])
)</f>
        <v>-67748.44</v>
      </c>
      <c r="N1251" s="161">
        <f>IF(VLOOKUP(Transactions[[#This Row],[Symbol]],Symbols[],COLUMN(Symbols[Currency])-COLUMN(Symbols[])+1,FALSE)=
       VLOOKUP(Transactions[[#This Row],[Account]],Accounts[],COLUMN(Accounts[Currency])-COLUMN(Accounts[])+1,FALSE),
     Transactions[[#This Row],[OrigCashImpact]],
     0
)</f>
        <v>-67748.44</v>
      </c>
      <c r="O12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761204.70999999903</v>
      </c>
      <c r="P12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251" s="41">
        <f>ROW()</f>
        <v>1251</v>
      </c>
      <c r="S12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67748.44</v>
      </c>
      <c r="T12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67748.44</v>
      </c>
      <c r="U12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251" s="166">
        <f>IF(INDEX(TransTypes[],Transactions[[#This Row],[TTR]],TT_COL_GLFlag)=1,Transactions[[#This Row],[CalCashImpact]]+Transactions[[#This Row],[CostImpact]],0)</f>
        <v>0</v>
      </c>
      <c r="W1251" s="167">
        <f>Transactions[[#This Row],[Amount]]*INDEX(TransTypes[],Transactions[[#This Row],[TTR]],TT_COL_AmntSign)</f>
        <v>-67748.44</v>
      </c>
      <c r="X1251" s="167">
        <f>IF(INDEX(TransTypes[],Transactions[[#This Row],[TTR]],TT_COL_LONGORSHORT)="S",
      IF( OR(INDEX(TransTypes[],Transactions[[#This Row],[TTR]],TT_COL_GLFlag)=1, INDEX(TransTypes[], Transactions[[#This Row],[TTR]], TT_COL_ShareTransferFlag)=1),
            Transactions[[#This Row],[CostImpact]]*-1,
            Transactions[[#This Row],[CalCashImpact]]
      ),
     0
)</f>
        <v>0</v>
      </c>
      <c r="Y1251" s="168" t="str">
        <f>VLOOKUP(Transactions[[#This Row],[Symbol]],Symbols[], COLUMN(Symbols[Currency])-COLUMN(Symbols[])+1,FALSE)</f>
        <v>CNY</v>
      </c>
    </row>
    <row r="1252" spans="1:25">
      <c r="A1252" s="155" t="s">
        <v>82</v>
      </c>
      <c r="B1252" s="156">
        <v>42597</v>
      </c>
      <c r="C1252" s="155" t="s">
        <v>113</v>
      </c>
      <c r="D1252" s="155"/>
      <c r="E1252" s="155" t="s">
        <v>713</v>
      </c>
      <c r="F1252" s="157">
        <v>4900</v>
      </c>
      <c r="G1252" s="158">
        <v>16.46</v>
      </c>
      <c r="H1252" s="157">
        <v>33.869999999999997</v>
      </c>
      <c r="I1252" s="157"/>
      <c r="J1252" s="159">
        <v>80687.87</v>
      </c>
      <c r="K1252" s="6" t="s">
        <v>641</v>
      </c>
      <c r="L1252" s="20">
        <f>IF(ISNA(MATCH(Transactions[[#This Row],[TransType]],TransTypes[TransType],0)),1,MATCH(Transactions[[#This Row],[TransType]],TransTypes[TransType],0))</f>
        <v>2</v>
      </c>
      <c r="M1252" s="160">
        <f>IF( AND( INDEX(TransTypes[],Transactions[[#This Row],[TTR]],TT_COL_GLFlag)=1, INDEX(TransTypes[],Transactions[[#This Row],[TTR]],TT_COL_LONGORSHORT)="S" ),
      Transactions[[#This Row],[PL]],
      IF(INDEX(TransTypes[],Transactions[[#This Row],[TTR]],TT_COL_LONGORSHORT)="S",0,Transactions[[#This Row],[CalCashImpact]])
)</f>
        <v>-80687.87</v>
      </c>
      <c r="N1252" s="161">
        <f>IF(VLOOKUP(Transactions[[#This Row],[Symbol]],Symbols[],COLUMN(Symbols[Currency])-COLUMN(Symbols[])+1,FALSE)=
       VLOOKUP(Transactions[[#This Row],[Account]],Accounts[],COLUMN(Accounts[Currency])-COLUMN(Accounts[])+1,FALSE),
     Transactions[[#This Row],[OrigCashImpact]],
     0
)</f>
        <v>-80687.87</v>
      </c>
      <c r="O12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680516.83999999904</v>
      </c>
      <c r="P12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4900</v>
      </c>
      <c r="Q12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4900</v>
      </c>
      <c r="R1252" s="41">
        <f>ROW()</f>
        <v>1252</v>
      </c>
      <c r="S12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80687.87</v>
      </c>
      <c r="T12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80687.87</v>
      </c>
      <c r="U12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4900</v>
      </c>
      <c r="V1252" s="166">
        <f>IF(INDEX(TransTypes[],Transactions[[#This Row],[TTR]],TT_COL_GLFlag)=1,Transactions[[#This Row],[CalCashImpact]]+Transactions[[#This Row],[CostImpact]],0)</f>
        <v>0</v>
      </c>
      <c r="W1252" s="167">
        <f>Transactions[[#This Row],[Amount]]*INDEX(TransTypes[],Transactions[[#This Row],[TTR]],TT_COL_AmntSign)</f>
        <v>-80687.87</v>
      </c>
      <c r="X1252" s="167">
        <f>IF(INDEX(TransTypes[],Transactions[[#This Row],[TTR]],TT_COL_LONGORSHORT)="S",
      IF( OR(INDEX(TransTypes[],Transactions[[#This Row],[TTR]],TT_COL_GLFlag)=1, INDEX(TransTypes[], Transactions[[#This Row],[TTR]], TT_COL_ShareTransferFlag)=1),
            Transactions[[#This Row],[CostImpact]]*-1,
            Transactions[[#This Row],[CalCashImpact]]
      ),
     0
)</f>
        <v>0</v>
      </c>
      <c r="Y1252" s="168" t="str">
        <f>VLOOKUP(Transactions[[#This Row],[Symbol]],Symbols[], COLUMN(Symbols[Currency])-COLUMN(Symbols[])+1,FALSE)</f>
        <v>CNY</v>
      </c>
    </row>
    <row r="1253" spans="1:25">
      <c r="A1253" s="155" t="s">
        <v>82</v>
      </c>
      <c r="B1253" s="156">
        <v>42597</v>
      </c>
      <c r="C1253" s="155" t="s">
        <v>115</v>
      </c>
      <c r="D1253" s="155"/>
      <c r="E1253" s="155" t="s">
        <v>705</v>
      </c>
      <c r="F1253" s="157">
        <v>2000</v>
      </c>
      <c r="G1253" s="158">
        <v>21.59</v>
      </c>
      <c r="H1253" s="157">
        <v>61.31</v>
      </c>
      <c r="I1253" s="157"/>
      <c r="J1253" s="159">
        <v>43118.69</v>
      </c>
      <c r="K1253" s="6" t="s">
        <v>641</v>
      </c>
      <c r="L1253" s="20">
        <f>IF(ISNA(MATCH(Transactions[[#This Row],[TransType]],TransTypes[TransType],0)),1,MATCH(Transactions[[#This Row],[TransType]],TransTypes[TransType],0))</f>
        <v>3</v>
      </c>
      <c r="M1253" s="160">
        <f>IF( AND( INDEX(TransTypes[],Transactions[[#This Row],[TTR]],TT_COL_GLFlag)=1, INDEX(TransTypes[],Transactions[[#This Row],[TTR]],TT_COL_LONGORSHORT)="S" ),
      Transactions[[#This Row],[PL]],
      IF(INDEX(TransTypes[],Transactions[[#This Row],[TTR]],TT_COL_LONGORSHORT)="S",0,Transactions[[#This Row],[CalCashImpact]])
)</f>
        <v>43118.69</v>
      </c>
      <c r="N1253" s="161">
        <f>IF(VLOOKUP(Transactions[[#This Row],[Symbol]],Symbols[],COLUMN(Symbols[Currency])-COLUMN(Symbols[])+1,FALSE)=
       VLOOKUP(Transactions[[#This Row],[Account]],Accounts[],COLUMN(Accounts[Currency])-COLUMN(Accounts[])+1,FALSE),
     Transactions[[#This Row],[OrigCashImpact]],
     0
)</f>
        <v>43118.69</v>
      </c>
      <c r="O12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723635.5299999991</v>
      </c>
      <c r="P12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253" s="41">
        <f>ROW()</f>
        <v>1253</v>
      </c>
      <c r="S12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-38316.091428571432</v>
      </c>
      <c r="T12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95790.228571428568</v>
      </c>
      <c r="U12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253" s="166">
        <f>IF(INDEX(TransTypes[],Transactions[[#This Row],[TTR]],TT_COL_GLFlag)=1,Transactions[[#This Row],[CalCashImpact]]+Transactions[[#This Row],[CostImpact]],0)</f>
        <v>4802.5985714285707</v>
      </c>
      <c r="W1253" s="167">
        <f>Transactions[[#This Row],[Amount]]*INDEX(TransTypes[],Transactions[[#This Row],[TTR]],TT_COL_AmntSign)</f>
        <v>43118.69</v>
      </c>
      <c r="X1253" s="167">
        <f>IF(INDEX(TransTypes[],Transactions[[#This Row],[TTR]],TT_COL_LONGORSHORT)="S",
      IF( OR(INDEX(TransTypes[],Transactions[[#This Row],[TTR]],TT_COL_GLFlag)=1, INDEX(TransTypes[], Transactions[[#This Row],[TTR]], TT_COL_ShareTransferFlag)=1),
            Transactions[[#This Row],[CostImpact]]*-1,
            Transactions[[#This Row],[CalCashImpact]]
      ),
     0
)</f>
        <v>0</v>
      </c>
      <c r="Y1253" s="168" t="str">
        <f>VLOOKUP(Transactions[[#This Row],[Symbol]],Symbols[], COLUMN(Symbols[Currency])-COLUMN(Symbols[])+1,FALSE)</f>
        <v>CNY</v>
      </c>
    </row>
    <row r="1254" spans="1:25">
      <c r="A1254" s="155" t="s">
        <v>82</v>
      </c>
      <c r="B1254" s="156">
        <v>42598</v>
      </c>
      <c r="C1254" s="155" t="s">
        <v>113</v>
      </c>
      <c r="D1254" s="155"/>
      <c r="E1254" s="155" t="s">
        <v>712</v>
      </c>
      <c r="F1254" s="157">
        <v>70000</v>
      </c>
      <c r="G1254" s="158">
        <v>0.82799999999999996</v>
      </c>
      <c r="H1254" s="157">
        <v>23.18</v>
      </c>
      <c r="I1254" s="157"/>
      <c r="J1254" s="159">
        <v>57983.18</v>
      </c>
      <c r="K1254" s="6" t="s">
        <v>641</v>
      </c>
      <c r="L1254" s="20">
        <f>IF(ISNA(MATCH(Transactions[[#This Row],[TransType]],TransTypes[TransType],0)),1,MATCH(Transactions[[#This Row],[TransType]],TransTypes[TransType],0))</f>
        <v>2</v>
      </c>
      <c r="M1254" s="160">
        <f>IF( AND( INDEX(TransTypes[],Transactions[[#This Row],[TTR]],TT_COL_GLFlag)=1, INDEX(TransTypes[],Transactions[[#This Row],[TTR]],TT_COL_LONGORSHORT)="S" ),
      Transactions[[#This Row],[PL]],
      IF(INDEX(TransTypes[],Transactions[[#This Row],[TTR]],TT_COL_LONGORSHORT)="S",0,Transactions[[#This Row],[CalCashImpact]])
)</f>
        <v>-57983.18</v>
      </c>
      <c r="N1254" s="161">
        <f>IF(VLOOKUP(Transactions[[#This Row],[Symbol]],Symbols[],COLUMN(Symbols[Currency])-COLUMN(Symbols[])+1,FALSE)=
       VLOOKUP(Transactions[[#This Row],[Account]],Accounts[],COLUMN(Accounts[Currency])-COLUMN(Accounts[])+1,FALSE),
     Transactions[[#This Row],[OrigCashImpact]],
     0
)</f>
        <v>-57983.18</v>
      </c>
      <c r="O12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665652.34999999905</v>
      </c>
      <c r="P12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70000</v>
      </c>
      <c r="Q12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270000</v>
      </c>
      <c r="R1254" s="41">
        <f>ROW()</f>
        <v>1254</v>
      </c>
      <c r="S12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57983.18</v>
      </c>
      <c r="T12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215646.18</v>
      </c>
      <c r="U12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270000</v>
      </c>
      <c r="V1254" s="166">
        <f>IF(INDEX(TransTypes[],Transactions[[#This Row],[TTR]],TT_COL_GLFlag)=1,Transactions[[#This Row],[CalCashImpact]]+Transactions[[#This Row],[CostImpact]],0)</f>
        <v>0</v>
      </c>
      <c r="W1254" s="167">
        <f>Transactions[[#This Row],[Amount]]*INDEX(TransTypes[],Transactions[[#This Row],[TTR]],TT_COL_AmntSign)</f>
        <v>-57983.18</v>
      </c>
      <c r="X1254" s="167">
        <f>IF(INDEX(TransTypes[],Transactions[[#This Row],[TTR]],TT_COL_LONGORSHORT)="S",
      IF( OR(INDEX(TransTypes[],Transactions[[#This Row],[TTR]],TT_COL_GLFlag)=1, INDEX(TransTypes[], Transactions[[#This Row],[TTR]], TT_COL_ShareTransferFlag)=1),
            Transactions[[#This Row],[CostImpact]]*-1,
            Transactions[[#This Row],[CalCashImpact]]
      ),
     0
)</f>
        <v>0</v>
      </c>
      <c r="Y1254" s="168" t="str">
        <f>VLOOKUP(Transactions[[#This Row],[Symbol]],Symbols[], COLUMN(Symbols[Currency])-COLUMN(Symbols[])+1,FALSE)</f>
        <v>CNY</v>
      </c>
    </row>
    <row r="1255" spans="1:25">
      <c r="A1255" s="155" t="s">
        <v>82</v>
      </c>
      <c r="B1255" s="156">
        <v>42598</v>
      </c>
      <c r="C1255" s="155" t="s">
        <v>115</v>
      </c>
      <c r="D1255" s="155"/>
      <c r="E1255" s="155" t="s">
        <v>468</v>
      </c>
      <c r="F1255" s="157">
        <v>1000</v>
      </c>
      <c r="G1255" s="158">
        <v>34.14</v>
      </c>
      <c r="H1255" s="157">
        <v>48.48</v>
      </c>
      <c r="I1255" s="157"/>
      <c r="J1255" s="159">
        <v>34091.519999999997</v>
      </c>
      <c r="K1255" s="6" t="s">
        <v>641</v>
      </c>
      <c r="L1255" s="20">
        <f>IF(ISNA(MATCH(Transactions[[#This Row],[TransType]],TransTypes[TransType],0)),1,MATCH(Transactions[[#This Row],[TransType]],TransTypes[TransType],0))</f>
        <v>3</v>
      </c>
      <c r="M1255" s="160">
        <f>IF( AND( INDEX(TransTypes[],Transactions[[#This Row],[TTR]],TT_COL_GLFlag)=1, INDEX(TransTypes[],Transactions[[#This Row],[TTR]],TT_COL_LONGORSHORT)="S" ),
      Transactions[[#This Row],[PL]],
      IF(INDEX(TransTypes[],Transactions[[#This Row],[TTR]],TT_COL_LONGORSHORT)="S",0,Transactions[[#This Row],[CalCashImpact]])
)</f>
        <v>34091.519999999997</v>
      </c>
      <c r="N1255" s="161">
        <f>IF(VLOOKUP(Transactions[[#This Row],[Symbol]],Symbols[],COLUMN(Symbols[Currency])-COLUMN(Symbols[])+1,FALSE)=
       VLOOKUP(Transactions[[#This Row],[Account]],Accounts[],COLUMN(Accounts[Currency])-COLUMN(Accounts[])+1,FALSE),
     Transactions[[#This Row],[OrigCashImpact]],
     0
)</f>
        <v>34091.519999999997</v>
      </c>
      <c r="O12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699743.86999999906</v>
      </c>
      <c r="P12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2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255" s="41">
        <f>ROW()</f>
        <v>1255</v>
      </c>
      <c r="S12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-33874.22</v>
      </c>
      <c r="T12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33874.22</v>
      </c>
      <c r="U12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255" s="166">
        <f>IF(INDEX(TransTypes[],Transactions[[#This Row],[TTR]],TT_COL_GLFlag)=1,Transactions[[#This Row],[CalCashImpact]]+Transactions[[#This Row],[CostImpact]],0)</f>
        <v>217.29999999999563</v>
      </c>
      <c r="W1255" s="167">
        <f>Transactions[[#This Row],[Amount]]*INDEX(TransTypes[],Transactions[[#This Row],[TTR]],TT_COL_AmntSign)</f>
        <v>34091.519999999997</v>
      </c>
      <c r="X1255" s="167">
        <f>IF(INDEX(TransTypes[],Transactions[[#This Row],[TTR]],TT_COL_LONGORSHORT)="S",
      IF( OR(INDEX(TransTypes[],Transactions[[#This Row],[TTR]],TT_COL_GLFlag)=1, INDEX(TransTypes[], Transactions[[#This Row],[TTR]], TT_COL_ShareTransferFlag)=1),
            Transactions[[#This Row],[CostImpact]]*-1,
            Transactions[[#This Row],[CalCashImpact]]
      ),
     0
)</f>
        <v>0</v>
      </c>
      <c r="Y1255" s="168" t="str">
        <f>VLOOKUP(Transactions[[#This Row],[Symbol]],Symbols[], COLUMN(Symbols[Currency])-COLUMN(Symbols[])+1,FALSE)</f>
        <v>CNY</v>
      </c>
    </row>
    <row r="1256" spans="1:25">
      <c r="A1256" s="155" t="s">
        <v>82</v>
      </c>
      <c r="B1256" s="156">
        <v>42598</v>
      </c>
      <c r="C1256" s="155" t="s">
        <v>115</v>
      </c>
      <c r="D1256" s="155"/>
      <c r="E1256" s="155" t="s">
        <v>713</v>
      </c>
      <c r="F1256" s="157">
        <v>4900</v>
      </c>
      <c r="G1256" s="158">
        <v>16.399999999999999</v>
      </c>
      <c r="H1256" s="157">
        <v>114.11</v>
      </c>
      <c r="I1256" s="157"/>
      <c r="J1256" s="159">
        <v>80245.89</v>
      </c>
      <c r="K1256" s="6" t="s">
        <v>641</v>
      </c>
      <c r="L1256" s="20">
        <f>IF(ISNA(MATCH(Transactions[[#This Row],[TransType]],TransTypes[TransType],0)),1,MATCH(Transactions[[#This Row],[TransType]],TransTypes[TransType],0))</f>
        <v>3</v>
      </c>
      <c r="M1256" s="160">
        <f>IF( AND( INDEX(TransTypes[],Transactions[[#This Row],[TTR]],TT_COL_GLFlag)=1, INDEX(TransTypes[],Transactions[[#This Row],[TTR]],TT_COL_LONGORSHORT)="S" ),
      Transactions[[#This Row],[PL]],
      IF(INDEX(TransTypes[],Transactions[[#This Row],[TTR]],TT_COL_LONGORSHORT)="S",0,Transactions[[#This Row],[CalCashImpact]])
)</f>
        <v>80245.89</v>
      </c>
      <c r="N1256" s="161">
        <f>IF(VLOOKUP(Transactions[[#This Row],[Symbol]],Symbols[],COLUMN(Symbols[Currency])-COLUMN(Symbols[])+1,FALSE)=
       VLOOKUP(Transactions[[#This Row],[Account]],Accounts[],COLUMN(Accounts[Currency])-COLUMN(Accounts[])+1,FALSE),
     Transactions[[#This Row],[OrigCashImpact]],
     0
)</f>
        <v>80245.89</v>
      </c>
      <c r="O12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779989.75999999908</v>
      </c>
      <c r="P12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-4900</v>
      </c>
      <c r="Q12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56" s="41">
        <f>ROW()</f>
        <v>1256</v>
      </c>
      <c r="S12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-80687.87</v>
      </c>
      <c r="T12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4900</v>
      </c>
      <c r="V1256" s="166">
        <f>IF(INDEX(TransTypes[],Transactions[[#This Row],[TTR]],TT_COL_GLFlag)=1,Transactions[[#This Row],[CalCashImpact]]+Transactions[[#This Row],[CostImpact]],0)</f>
        <v>-441.97999999999593</v>
      </c>
      <c r="W1256" s="167">
        <f>Transactions[[#This Row],[Amount]]*INDEX(TransTypes[],Transactions[[#This Row],[TTR]],TT_COL_AmntSign)</f>
        <v>80245.89</v>
      </c>
      <c r="X1256" s="167">
        <f>IF(INDEX(TransTypes[],Transactions[[#This Row],[TTR]],TT_COL_LONGORSHORT)="S",
      IF( OR(INDEX(TransTypes[],Transactions[[#This Row],[TTR]],TT_COL_GLFlag)=1, INDEX(TransTypes[], Transactions[[#This Row],[TTR]], TT_COL_ShareTransferFlag)=1),
            Transactions[[#This Row],[CostImpact]]*-1,
            Transactions[[#This Row],[CalCashImpact]]
      ),
     0
)</f>
        <v>0</v>
      </c>
      <c r="Y1256" s="168" t="str">
        <f>VLOOKUP(Transactions[[#This Row],[Symbol]],Symbols[], COLUMN(Symbols[Currency])-COLUMN(Symbols[])+1,FALSE)</f>
        <v>CNY</v>
      </c>
    </row>
    <row r="1257" spans="1:25">
      <c r="A1257" s="155" t="s">
        <v>82</v>
      </c>
      <c r="B1257" s="156">
        <v>42599</v>
      </c>
      <c r="C1257" s="155" t="s">
        <v>113</v>
      </c>
      <c r="D1257" s="155"/>
      <c r="E1257" s="155" t="s">
        <v>710</v>
      </c>
      <c r="F1257" s="157">
        <v>6000</v>
      </c>
      <c r="G1257" s="158">
        <v>22.477</v>
      </c>
      <c r="H1257" s="157">
        <v>53.94</v>
      </c>
      <c r="I1257" s="157"/>
      <c r="J1257" s="159">
        <v>134915.94</v>
      </c>
      <c r="K1257" s="6" t="s">
        <v>641</v>
      </c>
      <c r="L1257" s="20">
        <f>IF(ISNA(MATCH(Transactions[[#This Row],[TransType]],TransTypes[TransType],0)),1,MATCH(Transactions[[#This Row],[TransType]],TransTypes[TransType],0))</f>
        <v>2</v>
      </c>
      <c r="M1257" s="160">
        <f>IF( AND( INDEX(TransTypes[],Transactions[[#This Row],[TTR]],TT_COL_GLFlag)=1, INDEX(TransTypes[],Transactions[[#This Row],[TTR]],TT_COL_LONGORSHORT)="S" ),
      Transactions[[#This Row],[PL]],
      IF(INDEX(TransTypes[],Transactions[[#This Row],[TTR]],TT_COL_LONGORSHORT)="S",0,Transactions[[#This Row],[CalCashImpact]])
)</f>
        <v>-134915.94</v>
      </c>
      <c r="N1257" s="161">
        <f>IF(VLOOKUP(Transactions[[#This Row],[Symbol]],Symbols[],COLUMN(Symbols[Currency])-COLUMN(Symbols[])+1,FALSE)=
       VLOOKUP(Transactions[[#This Row],[Account]],Accounts[],COLUMN(Accounts[Currency])-COLUMN(Accounts[])+1,FALSE),
     Transactions[[#This Row],[OrigCashImpact]],
     0
)</f>
        <v>-134915.94</v>
      </c>
      <c r="O12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645073.81999999913</v>
      </c>
      <c r="P12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2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257" s="41">
        <f>ROW()</f>
        <v>1257</v>
      </c>
      <c r="S12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134915.94</v>
      </c>
      <c r="T12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177041.18400000001</v>
      </c>
      <c r="U12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257" s="166">
        <f>IF(INDEX(TransTypes[],Transactions[[#This Row],[TTR]],TT_COL_GLFlag)=1,Transactions[[#This Row],[CalCashImpact]]+Transactions[[#This Row],[CostImpact]],0)</f>
        <v>0</v>
      </c>
      <c r="W1257" s="167">
        <f>Transactions[[#This Row],[Amount]]*INDEX(TransTypes[],Transactions[[#This Row],[TTR]],TT_COL_AmntSign)</f>
        <v>-134915.94</v>
      </c>
      <c r="X1257" s="167">
        <f>IF(INDEX(TransTypes[],Transactions[[#This Row],[TTR]],TT_COL_LONGORSHORT)="S",
      IF( OR(INDEX(TransTypes[],Transactions[[#This Row],[TTR]],TT_COL_GLFlag)=1, INDEX(TransTypes[], Transactions[[#This Row],[TTR]], TT_COL_ShareTransferFlag)=1),
            Transactions[[#This Row],[CostImpact]]*-1,
            Transactions[[#This Row],[CalCashImpact]]
      ),
     0
)</f>
        <v>0</v>
      </c>
      <c r="Y1257" s="168" t="str">
        <f>VLOOKUP(Transactions[[#This Row],[Symbol]],Symbols[], COLUMN(Symbols[Currency])-COLUMN(Symbols[])+1,FALSE)</f>
        <v>CNY</v>
      </c>
    </row>
    <row r="1258" spans="1:25">
      <c r="A1258" s="155" t="s">
        <v>82</v>
      </c>
      <c r="B1258" s="156">
        <v>42600</v>
      </c>
      <c r="C1258" s="155" t="s">
        <v>115</v>
      </c>
      <c r="D1258" s="155"/>
      <c r="E1258" s="155" t="s">
        <v>712</v>
      </c>
      <c r="F1258" s="157">
        <v>270000</v>
      </c>
      <c r="G1258" s="158">
        <v>0.80500000000000005</v>
      </c>
      <c r="H1258" s="157">
        <v>86.94</v>
      </c>
      <c r="I1258" s="157"/>
      <c r="J1258" s="159">
        <v>217263.06</v>
      </c>
      <c r="K1258" s="6" t="s">
        <v>641</v>
      </c>
      <c r="L1258" s="20">
        <f>IF(ISNA(MATCH(Transactions[[#This Row],[TransType]],TransTypes[TransType],0)),1,MATCH(Transactions[[#This Row],[TransType]],TransTypes[TransType],0))</f>
        <v>3</v>
      </c>
      <c r="M1258" s="160">
        <f>IF( AND( INDEX(TransTypes[],Transactions[[#This Row],[TTR]],TT_COL_GLFlag)=1, INDEX(TransTypes[],Transactions[[#This Row],[TTR]],TT_COL_LONGORSHORT)="S" ),
      Transactions[[#This Row],[PL]],
      IF(INDEX(TransTypes[],Transactions[[#This Row],[TTR]],TT_COL_LONGORSHORT)="S",0,Transactions[[#This Row],[CalCashImpact]])
)</f>
        <v>217263.06</v>
      </c>
      <c r="N1258" s="161">
        <f>IF(VLOOKUP(Transactions[[#This Row],[Symbol]],Symbols[],COLUMN(Symbols[Currency])-COLUMN(Symbols[])+1,FALSE)=
       VLOOKUP(Transactions[[#This Row],[Account]],Accounts[],COLUMN(Accounts[Currency])-COLUMN(Accounts[])+1,FALSE),
     Transactions[[#This Row],[OrigCashImpact]],
     0
)</f>
        <v>217263.06</v>
      </c>
      <c r="O12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862336.87999999919</v>
      </c>
      <c r="P12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-270000</v>
      </c>
      <c r="Q12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58" s="41">
        <f>ROW()</f>
        <v>1258</v>
      </c>
      <c r="S12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-215646.18</v>
      </c>
      <c r="T12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270000</v>
      </c>
      <c r="V1258" s="166">
        <f>IF(INDEX(TransTypes[],Transactions[[#This Row],[TTR]],TT_COL_GLFlag)=1,Transactions[[#This Row],[CalCashImpact]]+Transactions[[#This Row],[CostImpact]],0)</f>
        <v>1616.8800000000047</v>
      </c>
      <c r="W1258" s="167">
        <f>Transactions[[#This Row],[Amount]]*INDEX(TransTypes[],Transactions[[#This Row],[TTR]],TT_COL_AmntSign)</f>
        <v>217263.06</v>
      </c>
      <c r="X1258" s="167">
        <f>IF(INDEX(TransTypes[],Transactions[[#This Row],[TTR]],TT_COL_LONGORSHORT)="S",
      IF( OR(INDEX(TransTypes[],Transactions[[#This Row],[TTR]],TT_COL_GLFlag)=1, INDEX(TransTypes[], Transactions[[#This Row],[TTR]], TT_COL_ShareTransferFlag)=1),
            Transactions[[#This Row],[CostImpact]]*-1,
            Transactions[[#This Row],[CalCashImpact]]
      ),
     0
)</f>
        <v>0</v>
      </c>
      <c r="Y1258" s="168" t="str">
        <f>VLOOKUP(Transactions[[#This Row],[Symbol]],Symbols[], COLUMN(Symbols[Currency])-COLUMN(Symbols[])+1,FALSE)</f>
        <v>CNY</v>
      </c>
    </row>
    <row r="1259" spans="1:25">
      <c r="A1259" s="155" t="s">
        <v>82</v>
      </c>
      <c r="B1259" s="156">
        <v>42600</v>
      </c>
      <c r="C1259" s="155" t="s">
        <v>113</v>
      </c>
      <c r="D1259" s="155"/>
      <c r="E1259" s="155" t="s">
        <v>644</v>
      </c>
      <c r="F1259" s="157">
        <v>500</v>
      </c>
      <c r="G1259" s="158">
        <v>71.3</v>
      </c>
      <c r="H1259" s="157">
        <v>14.26</v>
      </c>
      <c r="I1259" s="157"/>
      <c r="J1259" s="159">
        <v>35664.26</v>
      </c>
      <c r="K1259" s="6" t="s">
        <v>641</v>
      </c>
      <c r="L1259" s="20">
        <f>IF(ISNA(MATCH(Transactions[[#This Row],[TransType]],TransTypes[TransType],0)),1,MATCH(Transactions[[#This Row],[TransType]],TransTypes[TransType],0))</f>
        <v>2</v>
      </c>
      <c r="M1259" s="160">
        <f>IF( AND( INDEX(TransTypes[],Transactions[[#This Row],[TTR]],TT_COL_GLFlag)=1, INDEX(TransTypes[],Transactions[[#This Row],[TTR]],TT_COL_LONGORSHORT)="S" ),
      Transactions[[#This Row],[PL]],
      IF(INDEX(TransTypes[],Transactions[[#This Row],[TTR]],TT_COL_LONGORSHORT)="S",0,Transactions[[#This Row],[CalCashImpact]])
)</f>
        <v>-35664.26</v>
      </c>
      <c r="N1259" s="161">
        <f>IF(VLOOKUP(Transactions[[#This Row],[Symbol]],Symbols[],COLUMN(Symbols[Currency])-COLUMN(Symbols[])+1,FALSE)=
       VLOOKUP(Transactions[[#This Row],[Account]],Accounts[],COLUMN(Accounts[Currency])-COLUMN(Accounts[])+1,FALSE),
     Transactions[[#This Row],[OrigCashImpact]],
     0
)</f>
        <v>-35664.26</v>
      </c>
      <c r="O12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826672.61999999918</v>
      </c>
      <c r="P12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2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259" s="41">
        <f>ROW()</f>
        <v>1259</v>
      </c>
      <c r="S12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35664.26</v>
      </c>
      <c r="T12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193512.14324074076</v>
      </c>
      <c r="U12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59" s="166">
        <f>IF(INDEX(TransTypes[],Transactions[[#This Row],[TTR]],TT_COL_GLFlag)=1,Transactions[[#This Row],[CalCashImpact]]+Transactions[[#This Row],[CostImpact]],0)</f>
        <v>0</v>
      </c>
      <c r="W1259" s="167">
        <f>Transactions[[#This Row],[Amount]]*INDEX(TransTypes[],Transactions[[#This Row],[TTR]],TT_COL_AmntSign)</f>
        <v>-35664.26</v>
      </c>
      <c r="X1259" s="167">
        <f>IF(INDEX(TransTypes[],Transactions[[#This Row],[TTR]],TT_COL_LONGORSHORT)="S",
      IF( OR(INDEX(TransTypes[],Transactions[[#This Row],[TTR]],TT_COL_GLFlag)=1, INDEX(TransTypes[], Transactions[[#This Row],[TTR]], TT_COL_ShareTransferFlag)=1),
            Transactions[[#This Row],[CostImpact]]*-1,
            Transactions[[#This Row],[CalCashImpact]]
      ),
     0
)</f>
        <v>0</v>
      </c>
      <c r="Y1259" s="168" t="str">
        <f>VLOOKUP(Transactions[[#This Row],[Symbol]],Symbols[], COLUMN(Symbols[Currency])-COLUMN(Symbols[])+1,FALSE)</f>
        <v>CNY</v>
      </c>
    </row>
    <row r="1260" spans="1:25">
      <c r="A1260" s="155" t="s">
        <v>82</v>
      </c>
      <c r="B1260" s="156">
        <v>42600</v>
      </c>
      <c r="C1260" s="155" t="s">
        <v>115</v>
      </c>
      <c r="D1260" s="155"/>
      <c r="E1260" s="155" t="s">
        <v>493</v>
      </c>
      <c r="F1260" s="157">
        <v>2000</v>
      </c>
      <c r="G1260" s="158">
        <v>39.4</v>
      </c>
      <c r="H1260" s="157">
        <v>110.32</v>
      </c>
      <c r="I1260" s="157"/>
      <c r="J1260" s="159">
        <v>78689.679999999993</v>
      </c>
      <c r="K1260" s="6" t="s">
        <v>641</v>
      </c>
      <c r="L1260" s="20">
        <f>IF(ISNA(MATCH(Transactions[[#This Row],[TransType]],TransTypes[TransType],0)),1,MATCH(Transactions[[#This Row],[TransType]],TransTypes[TransType],0))</f>
        <v>3</v>
      </c>
      <c r="M1260" s="160">
        <f>IF( AND( INDEX(TransTypes[],Transactions[[#This Row],[TTR]],TT_COL_GLFlag)=1, INDEX(TransTypes[],Transactions[[#This Row],[TTR]],TT_COL_LONGORSHORT)="S" ),
      Transactions[[#This Row],[PL]],
      IF(INDEX(TransTypes[],Transactions[[#This Row],[TTR]],TT_COL_LONGORSHORT)="S",0,Transactions[[#This Row],[CalCashImpact]])
)</f>
        <v>78689.679999999993</v>
      </c>
      <c r="N1260" s="161">
        <f>IF(VLOOKUP(Transactions[[#This Row],[Symbol]],Symbols[],COLUMN(Symbols[Currency])-COLUMN(Symbols[])+1,FALSE)=
       VLOOKUP(Transactions[[#This Row],[Account]],Accounts[],COLUMN(Accounts[Currency])-COLUMN(Accounts[])+1,FALSE),
     Transactions[[#This Row],[OrigCashImpact]],
     0
)</f>
        <v>78689.679999999993</v>
      </c>
      <c r="O12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905362.29999999912</v>
      </c>
      <c r="P12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60" s="41">
        <f>ROW()</f>
        <v>1260</v>
      </c>
      <c r="S12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-77108.83</v>
      </c>
      <c r="T12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260" s="166">
        <f>IF(INDEX(TransTypes[],Transactions[[#This Row],[TTR]],TT_COL_GLFlag)=1,Transactions[[#This Row],[CalCashImpact]]+Transactions[[#This Row],[CostImpact]],0)</f>
        <v>1580.8499999999913</v>
      </c>
      <c r="W1260" s="167">
        <f>Transactions[[#This Row],[Amount]]*INDEX(TransTypes[],Transactions[[#This Row],[TTR]],TT_COL_AmntSign)</f>
        <v>78689.679999999993</v>
      </c>
      <c r="X1260" s="167">
        <f>IF(INDEX(TransTypes[],Transactions[[#This Row],[TTR]],TT_COL_LONGORSHORT)="S",
      IF( OR(INDEX(TransTypes[],Transactions[[#This Row],[TTR]],TT_COL_GLFlag)=1, INDEX(TransTypes[], Transactions[[#This Row],[TTR]], TT_COL_ShareTransferFlag)=1),
            Transactions[[#This Row],[CostImpact]]*-1,
            Transactions[[#This Row],[CalCashImpact]]
      ),
     0
)</f>
        <v>0</v>
      </c>
      <c r="Y1260" s="168" t="str">
        <f>VLOOKUP(Transactions[[#This Row],[Symbol]],Symbols[], COLUMN(Symbols[Currency])-COLUMN(Symbols[])+1,FALSE)</f>
        <v>CNY</v>
      </c>
    </row>
    <row r="1261" spans="1:25">
      <c r="A1261" s="155" t="s">
        <v>82</v>
      </c>
      <c r="B1261" s="156">
        <v>42601</v>
      </c>
      <c r="C1261" s="155" t="s">
        <v>112</v>
      </c>
      <c r="D1261" s="155"/>
      <c r="E1261" s="155" t="s">
        <v>211</v>
      </c>
      <c r="F1261" s="157"/>
      <c r="G1261" s="158"/>
      <c r="H1261" s="157"/>
      <c r="I1261" s="157"/>
      <c r="J1261" s="159">
        <v>5592.57</v>
      </c>
      <c r="K1261" s="6" t="s">
        <v>714</v>
      </c>
      <c r="L1261" s="20">
        <f>IF(ISNA(MATCH(Transactions[[#This Row],[TransType]],TransTypes[TransType],0)),1,MATCH(Transactions[[#This Row],[TransType]],TransTypes[TransType],0))</f>
        <v>1</v>
      </c>
      <c r="M1261" s="160">
        <f>IF( AND( INDEX(TransTypes[],Transactions[[#This Row],[TTR]],TT_COL_GLFlag)=1, INDEX(TransTypes[],Transactions[[#This Row],[TTR]],TT_COL_LONGORSHORT)="S" ),
      Transactions[[#This Row],[PL]],
      IF(INDEX(TransTypes[],Transactions[[#This Row],[TTR]],TT_COL_LONGORSHORT)="S",0,Transactions[[#This Row],[CalCashImpact]])
)</f>
        <v>5592.57</v>
      </c>
      <c r="N1261" s="161">
        <f>IF(VLOOKUP(Transactions[[#This Row],[Symbol]],Symbols[],COLUMN(Symbols[Currency])-COLUMN(Symbols[])+1,FALSE)=
       VLOOKUP(Transactions[[#This Row],[Account]],Accounts[],COLUMN(Accounts[Currency])-COLUMN(Accounts[])+1,FALSE),
     Transactions[[#This Row],[OrigCashImpact]],
     0
)</f>
        <v>5592.57</v>
      </c>
      <c r="O12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910954.86999999906</v>
      </c>
      <c r="P12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2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61" s="41">
        <f>ROW()</f>
        <v>1261</v>
      </c>
      <c r="S12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2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261" s="166">
        <f>IF(INDEX(TransTypes[],Transactions[[#This Row],[TTR]],TT_COL_GLFlag)=1,Transactions[[#This Row],[CalCashImpact]]+Transactions[[#This Row],[CostImpact]],0)</f>
        <v>0</v>
      </c>
      <c r="W1261" s="167">
        <f>Transactions[[#This Row],[Amount]]*INDEX(TransTypes[],Transactions[[#This Row],[TTR]],TT_COL_AmntSign)</f>
        <v>5592.57</v>
      </c>
      <c r="X1261" s="167">
        <f>IF(INDEX(TransTypes[],Transactions[[#This Row],[TTR]],TT_COL_LONGORSHORT)="S",
      IF( OR(INDEX(TransTypes[],Transactions[[#This Row],[TTR]],TT_COL_GLFlag)=1, INDEX(TransTypes[], Transactions[[#This Row],[TTR]], TT_COL_ShareTransferFlag)=1),
            Transactions[[#This Row],[CostImpact]]*-1,
            Transactions[[#This Row],[CalCashImpact]]
      ),
     0
)</f>
        <v>0</v>
      </c>
      <c r="Y1261" s="168" t="str">
        <f>VLOOKUP(Transactions[[#This Row],[Symbol]],Symbols[], COLUMN(Symbols[Currency])-COLUMN(Symbols[])+1,FALSE)</f>
        <v>CNY</v>
      </c>
    </row>
    <row r="1262" spans="1:25">
      <c r="A1262" s="155" t="s">
        <v>82</v>
      </c>
      <c r="B1262" s="156">
        <v>42601</v>
      </c>
      <c r="C1262" s="155" t="s">
        <v>113</v>
      </c>
      <c r="D1262" s="155"/>
      <c r="E1262" s="155" t="s">
        <v>712</v>
      </c>
      <c r="F1262" s="157">
        <v>200000</v>
      </c>
      <c r="G1262" s="158">
        <v>0.80900000000000005</v>
      </c>
      <c r="H1262" s="157">
        <v>64.72</v>
      </c>
      <c r="I1262" s="157"/>
      <c r="J1262" s="159">
        <v>161864.72</v>
      </c>
      <c r="K1262" s="6" t="s">
        <v>641</v>
      </c>
      <c r="L1262" s="20">
        <f>IF(ISNA(MATCH(Transactions[[#This Row],[TransType]],TransTypes[TransType],0)),1,MATCH(Transactions[[#This Row],[TransType]],TransTypes[TransType],0))</f>
        <v>2</v>
      </c>
      <c r="M1262" s="160">
        <f>IF( AND( INDEX(TransTypes[],Transactions[[#This Row],[TTR]],TT_COL_GLFlag)=1, INDEX(TransTypes[],Transactions[[#This Row],[TTR]],TT_COL_LONGORSHORT)="S" ),
      Transactions[[#This Row],[PL]],
      IF(INDEX(TransTypes[],Transactions[[#This Row],[TTR]],TT_COL_LONGORSHORT)="S",0,Transactions[[#This Row],[CalCashImpact]])
)</f>
        <v>-161864.72</v>
      </c>
      <c r="N1262" s="161">
        <f>IF(VLOOKUP(Transactions[[#This Row],[Symbol]],Symbols[],COLUMN(Symbols[Currency])-COLUMN(Symbols[])+1,FALSE)=
       VLOOKUP(Transactions[[#This Row],[Account]],Accounts[],COLUMN(Accounts[Currency])-COLUMN(Accounts[])+1,FALSE),
     Transactions[[#This Row],[OrigCashImpact]],
     0
)</f>
        <v>-161864.72</v>
      </c>
      <c r="O12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749090.14999999909</v>
      </c>
      <c r="P12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12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1262" s="41">
        <f>ROW()</f>
        <v>1262</v>
      </c>
      <c r="S12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161864.72</v>
      </c>
      <c r="T12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161864.72</v>
      </c>
      <c r="U12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1262" s="166">
        <f>IF(INDEX(TransTypes[],Transactions[[#This Row],[TTR]],TT_COL_GLFlag)=1,Transactions[[#This Row],[CalCashImpact]]+Transactions[[#This Row],[CostImpact]],0)</f>
        <v>0</v>
      </c>
      <c r="W1262" s="167">
        <f>Transactions[[#This Row],[Amount]]*INDEX(TransTypes[],Transactions[[#This Row],[TTR]],TT_COL_AmntSign)</f>
        <v>-161864.72</v>
      </c>
      <c r="X1262" s="167">
        <f>IF(INDEX(TransTypes[],Transactions[[#This Row],[TTR]],TT_COL_LONGORSHORT)="S",
      IF( OR(INDEX(TransTypes[],Transactions[[#This Row],[TTR]],TT_COL_GLFlag)=1, INDEX(TransTypes[], Transactions[[#This Row],[TTR]], TT_COL_ShareTransferFlag)=1),
            Transactions[[#This Row],[CostImpact]]*-1,
            Transactions[[#This Row],[CalCashImpact]]
      ),
     0
)</f>
        <v>0</v>
      </c>
      <c r="Y1262" s="168" t="str">
        <f>VLOOKUP(Transactions[[#This Row],[Symbol]],Symbols[], COLUMN(Symbols[Currency])-COLUMN(Symbols[])+1,FALSE)</f>
        <v>CNY</v>
      </c>
    </row>
    <row r="1263" spans="1:25">
      <c r="A1263" s="155" t="s">
        <v>82</v>
      </c>
      <c r="B1263" s="156">
        <v>42606</v>
      </c>
      <c r="C1263" s="155" t="s">
        <v>113</v>
      </c>
      <c r="D1263" s="155"/>
      <c r="E1263" s="155" t="s">
        <v>715</v>
      </c>
      <c r="F1263" s="157">
        <v>470000</v>
      </c>
      <c r="G1263" s="158">
        <v>0.42499999999999999</v>
      </c>
      <c r="H1263" s="157">
        <v>79.849999999999994</v>
      </c>
      <c r="I1263" s="157"/>
      <c r="J1263" s="159">
        <v>199829.85</v>
      </c>
      <c r="K1263" s="6" t="s">
        <v>641</v>
      </c>
      <c r="L1263" s="20">
        <f>IF(ISNA(MATCH(Transactions[[#This Row],[TransType]],TransTypes[TransType],0)),1,MATCH(Transactions[[#This Row],[TransType]],TransTypes[TransType],0))</f>
        <v>2</v>
      </c>
      <c r="M1263" s="160">
        <f>IF( AND( INDEX(TransTypes[],Transactions[[#This Row],[TTR]],TT_COL_GLFlag)=1, INDEX(TransTypes[],Transactions[[#This Row],[TTR]],TT_COL_LONGORSHORT)="S" ),
      Transactions[[#This Row],[PL]],
      IF(INDEX(TransTypes[],Transactions[[#This Row],[TTR]],TT_COL_LONGORSHORT)="S",0,Transactions[[#This Row],[CalCashImpact]])
)</f>
        <v>-199829.85</v>
      </c>
      <c r="N1263" s="161">
        <f>IF(VLOOKUP(Transactions[[#This Row],[Symbol]],Symbols[],COLUMN(Symbols[Currency])-COLUMN(Symbols[])+1,FALSE)=
       VLOOKUP(Transactions[[#This Row],[Account]],Accounts[],COLUMN(Accounts[Currency])-COLUMN(Accounts[])+1,FALSE),
     Transactions[[#This Row],[OrigCashImpact]],
     0
)</f>
        <v>-199829.85</v>
      </c>
      <c r="O12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549260.29999999912</v>
      </c>
      <c r="P12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470000</v>
      </c>
      <c r="Q12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470000</v>
      </c>
      <c r="R1263" s="41">
        <f>ROW()</f>
        <v>1263</v>
      </c>
      <c r="S12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199829.85</v>
      </c>
      <c r="T12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199829.85</v>
      </c>
      <c r="U12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470000</v>
      </c>
      <c r="V1263" s="166">
        <f>IF(INDEX(TransTypes[],Transactions[[#This Row],[TTR]],TT_COL_GLFlag)=1,Transactions[[#This Row],[CalCashImpact]]+Transactions[[#This Row],[CostImpact]],0)</f>
        <v>0</v>
      </c>
      <c r="W1263" s="167">
        <f>Transactions[[#This Row],[Amount]]*INDEX(TransTypes[],Transactions[[#This Row],[TTR]],TT_COL_AmntSign)</f>
        <v>-199829.85</v>
      </c>
      <c r="X1263" s="167">
        <f>IF(INDEX(TransTypes[],Transactions[[#This Row],[TTR]],TT_COL_LONGORSHORT)="S",
      IF( OR(INDEX(TransTypes[],Transactions[[#This Row],[TTR]],TT_COL_GLFlag)=1, INDEX(TransTypes[], Transactions[[#This Row],[TTR]], TT_COL_ShareTransferFlag)=1),
            Transactions[[#This Row],[CostImpact]]*-1,
            Transactions[[#This Row],[CalCashImpact]]
      ),
     0
)</f>
        <v>0</v>
      </c>
      <c r="Y1263" s="168" t="str">
        <f>VLOOKUP(Transactions[[#This Row],[Symbol]],Symbols[], COLUMN(Symbols[Currency])-COLUMN(Symbols[])+1,FALSE)</f>
        <v>CNY</v>
      </c>
    </row>
    <row r="1264" spans="1:25">
      <c r="A1264" s="155" t="s">
        <v>82</v>
      </c>
      <c r="B1264" s="156">
        <v>42606</v>
      </c>
      <c r="C1264" s="155" t="s">
        <v>113</v>
      </c>
      <c r="D1264" s="155"/>
      <c r="E1264" s="155" t="s">
        <v>710</v>
      </c>
      <c r="F1264" s="157">
        <v>2000</v>
      </c>
      <c r="G1264" s="158">
        <v>22.2</v>
      </c>
      <c r="H1264" s="157">
        <v>17.760000000000002</v>
      </c>
      <c r="I1264" s="157"/>
      <c r="J1264" s="159">
        <v>44417.760000000002</v>
      </c>
      <c r="K1264" s="6" t="s">
        <v>641</v>
      </c>
      <c r="L1264" s="20">
        <f>IF(ISNA(MATCH(Transactions[[#This Row],[TransType]],TransTypes[TransType],0)),1,MATCH(Transactions[[#This Row],[TransType]],TransTypes[TransType],0))</f>
        <v>2</v>
      </c>
      <c r="M1264" s="160">
        <f>IF( AND( INDEX(TransTypes[],Transactions[[#This Row],[TTR]],TT_COL_GLFlag)=1, INDEX(TransTypes[],Transactions[[#This Row],[TTR]],TT_COL_LONGORSHORT)="S" ),
      Transactions[[#This Row],[PL]],
      IF(INDEX(TransTypes[],Transactions[[#This Row],[TTR]],TT_COL_LONGORSHORT)="S",0,Transactions[[#This Row],[CalCashImpact]])
)</f>
        <v>-44417.760000000002</v>
      </c>
      <c r="N1264" s="161">
        <f>IF(VLOOKUP(Transactions[[#This Row],[Symbol]],Symbols[],COLUMN(Symbols[Currency])-COLUMN(Symbols[])+1,FALSE)=
       VLOOKUP(Transactions[[#This Row],[Account]],Accounts[],COLUMN(Accounts[Currency])-COLUMN(Accounts[])+1,FALSE),
     Transactions[[#This Row],[OrigCashImpact]],
     0
)</f>
        <v>-44417.760000000002</v>
      </c>
      <c r="O12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504842.53999999911</v>
      </c>
      <c r="P12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264" s="41">
        <f>ROW()</f>
        <v>1264</v>
      </c>
      <c r="S12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44417.760000000002</v>
      </c>
      <c r="T12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221458.94400000002</v>
      </c>
      <c r="U12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264" s="166">
        <f>IF(INDEX(TransTypes[],Transactions[[#This Row],[TTR]],TT_COL_GLFlag)=1,Transactions[[#This Row],[CalCashImpact]]+Transactions[[#This Row],[CostImpact]],0)</f>
        <v>0</v>
      </c>
      <c r="W1264" s="167">
        <f>Transactions[[#This Row],[Amount]]*INDEX(TransTypes[],Transactions[[#This Row],[TTR]],TT_COL_AmntSign)</f>
        <v>-44417.760000000002</v>
      </c>
      <c r="X1264" s="167">
        <f>IF(INDEX(TransTypes[],Transactions[[#This Row],[TTR]],TT_COL_LONGORSHORT)="S",
      IF( OR(INDEX(TransTypes[],Transactions[[#This Row],[TTR]],TT_COL_GLFlag)=1, INDEX(TransTypes[], Transactions[[#This Row],[TTR]], TT_COL_ShareTransferFlag)=1),
            Transactions[[#This Row],[CostImpact]]*-1,
            Transactions[[#This Row],[CalCashImpact]]
      ),
     0
)</f>
        <v>0</v>
      </c>
      <c r="Y1264" s="168" t="str">
        <f>VLOOKUP(Transactions[[#This Row],[Symbol]],Symbols[], COLUMN(Symbols[Currency])-COLUMN(Symbols[])+1,FALSE)</f>
        <v>CNY</v>
      </c>
    </row>
    <row r="1265" spans="1:25">
      <c r="A1265" s="155" t="s">
        <v>82</v>
      </c>
      <c r="B1265" s="156">
        <v>42607</v>
      </c>
      <c r="C1265" s="155" t="s">
        <v>115</v>
      </c>
      <c r="D1265" s="155"/>
      <c r="E1265" s="155" t="s">
        <v>715</v>
      </c>
      <c r="F1265" s="157">
        <v>470000</v>
      </c>
      <c r="G1265" s="158">
        <v>0.41599999999999998</v>
      </c>
      <c r="H1265" s="157">
        <v>78.209999999999994</v>
      </c>
      <c r="I1265" s="157"/>
      <c r="J1265" s="159">
        <v>195441.79</v>
      </c>
      <c r="K1265" s="6" t="s">
        <v>641</v>
      </c>
      <c r="L1265" s="20">
        <f>IF(ISNA(MATCH(Transactions[[#This Row],[TransType]],TransTypes[TransType],0)),1,MATCH(Transactions[[#This Row],[TransType]],TransTypes[TransType],0))</f>
        <v>3</v>
      </c>
      <c r="M1265" s="160">
        <f>IF( AND( INDEX(TransTypes[],Transactions[[#This Row],[TTR]],TT_COL_GLFlag)=1, INDEX(TransTypes[],Transactions[[#This Row],[TTR]],TT_COL_LONGORSHORT)="S" ),
      Transactions[[#This Row],[PL]],
      IF(INDEX(TransTypes[],Transactions[[#This Row],[TTR]],TT_COL_LONGORSHORT)="S",0,Transactions[[#This Row],[CalCashImpact]])
)</f>
        <v>195441.79</v>
      </c>
      <c r="N1265" s="161">
        <f>IF(VLOOKUP(Transactions[[#This Row],[Symbol]],Symbols[],COLUMN(Symbols[Currency])-COLUMN(Symbols[])+1,FALSE)=
       VLOOKUP(Transactions[[#This Row],[Account]],Accounts[],COLUMN(Accounts[Currency])-COLUMN(Accounts[])+1,FALSE),
     Transactions[[#This Row],[OrigCashImpact]],
     0
)</f>
        <v>195441.79</v>
      </c>
      <c r="O12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700284.32999999914</v>
      </c>
      <c r="P12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-470000</v>
      </c>
      <c r="Q12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65" s="41">
        <f>ROW()</f>
        <v>1265</v>
      </c>
      <c r="S12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-199829.85</v>
      </c>
      <c r="T12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470000</v>
      </c>
      <c r="V1265" s="166">
        <f>IF(INDEX(TransTypes[],Transactions[[#This Row],[TTR]],TT_COL_GLFlag)=1,Transactions[[#This Row],[CalCashImpact]]+Transactions[[#This Row],[CostImpact]],0)</f>
        <v>-4388.0599999999977</v>
      </c>
      <c r="W1265" s="167">
        <f>Transactions[[#This Row],[Amount]]*INDEX(TransTypes[],Transactions[[#This Row],[TTR]],TT_COL_AmntSign)</f>
        <v>195441.79</v>
      </c>
      <c r="X1265" s="167">
        <f>IF(INDEX(TransTypes[],Transactions[[#This Row],[TTR]],TT_COL_LONGORSHORT)="S",
      IF( OR(INDEX(TransTypes[],Transactions[[#This Row],[TTR]],TT_COL_GLFlag)=1, INDEX(TransTypes[], Transactions[[#This Row],[TTR]], TT_COL_ShareTransferFlag)=1),
            Transactions[[#This Row],[CostImpact]]*-1,
            Transactions[[#This Row],[CalCashImpact]]
      ),
     0
)</f>
        <v>0</v>
      </c>
      <c r="Y1265" s="168" t="str">
        <f>VLOOKUP(Transactions[[#This Row],[Symbol]],Symbols[], COLUMN(Symbols[Currency])-COLUMN(Symbols[])+1,FALSE)</f>
        <v>CNY</v>
      </c>
    </row>
    <row r="1266" spans="1:25">
      <c r="A1266" s="155" t="s">
        <v>82</v>
      </c>
      <c r="B1266" s="156">
        <v>42608</v>
      </c>
      <c r="C1266" s="155" t="s">
        <v>113</v>
      </c>
      <c r="D1266" s="155"/>
      <c r="E1266" s="155" t="s">
        <v>711</v>
      </c>
      <c r="F1266" s="157">
        <v>2000</v>
      </c>
      <c r="G1266" s="158">
        <v>17.71</v>
      </c>
      <c r="H1266" s="157">
        <v>14.17</v>
      </c>
      <c r="I1266" s="157"/>
      <c r="J1266" s="159">
        <v>35434.17</v>
      </c>
      <c r="K1266" s="6" t="s">
        <v>641</v>
      </c>
      <c r="L1266" s="20">
        <f>IF(ISNA(MATCH(Transactions[[#This Row],[TransType]],TransTypes[TransType],0)),1,MATCH(Transactions[[#This Row],[TransType]],TransTypes[TransType],0))</f>
        <v>2</v>
      </c>
      <c r="M1266" s="160">
        <f>IF( AND( INDEX(TransTypes[],Transactions[[#This Row],[TTR]],TT_COL_GLFlag)=1, INDEX(TransTypes[],Transactions[[#This Row],[TTR]],TT_COL_LONGORSHORT)="S" ),
      Transactions[[#This Row],[PL]],
      IF(INDEX(TransTypes[],Transactions[[#This Row],[TTR]],TT_COL_LONGORSHORT)="S",0,Transactions[[#This Row],[CalCashImpact]])
)</f>
        <v>-35434.17</v>
      </c>
      <c r="N1266" s="161">
        <f>IF(VLOOKUP(Transactions[[#This Row],[Symbol]],Symbols[],COLUMN(Symbols[Currency])-COLUMN(Symbols[])+1,FALSE)=
       VLOOKUP(Transactions[[#This Row],[Account]],Accounts[],COLUMN(Accounts[Currency])-COLUMN(Accounts[])+1,FALSE),
     Transactions[[#This Row],[OrigCashImpact]],
     0
)</f>
        <v>-35434.17</v>
      </c>
      <c r="O12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664850.1599999991</v>
      </c>
      <c r="P12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266" s="41">
        <f>ROW()</f>
        <v>1266</v>
      </c>
      <c r="S12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35434.17</v>
      </c>
      <c r="T12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35434.17</v>
      </c>
      <c r="U12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266" s="166">
        <f>IF(INDEX(TransTypes[],Transactions[[#This Row],[TTR]],TT_COL_GLFlag)=1,Transactions[[#This Row],[CalCashImpact]]+Transactions[[#This Row],[CostImpact]],0)</f>
        <v>0</v>
      </c>
      <c r="W1266" s="167">
        <f>Transactions[[#This Row],[Amount]]*INDEX(TransTypes[],Transactions[[#This Row],[TTR]],TT_COL_AmntSign)</f>
        <v>-35434.17</v>
      </c>
      <c r="X1266" s="167">
        <f>IF(INDEX(TransTypes[],Transactions[[#This Row],[TTR]],TT_COL_LONGORSHORT)="S",
      IF( OR(INDEX(TransTypes[],Transactions[[#This Row],[TTR]],TT_COL_GLFlag)=1, INDEX(TransTypes[], Transactions[[#This Row],[TTR]], TT_COL_ShareTransferFlag)=1),
            Transactions[[#This Row],[CostImpact]]*-1,
            Transactions[[#This Row],[CalCashImpact]]
      ),
     0
)</f>
        <v>0</v>
      </c>
      <c r="Y1266" s="168" t="str">
        <f>VLOOKUP(Transactions[[#This Row],[Symbol]],Symbols[], COLUMN(Symbols[Currency])-COLUMN(Symbols[])+1,FALSE)</f>
        <v>CNY</v>
      </c>
    </row>
    <row r="1267" spans="1:25">
      <c r="A1267" s="155" t="s">
        <v>82</v>
      </c>
      <c r="B1267" s="156">
        <v>42608</v>
      </c>
      <c r="C1267" s="155" t="s">
        <v>113</v>
      </c>
      <c r="D1267" s="155"/>
      <c r="E1267" s="155" t="s">
        <v>644</v>
      </c>
      <c r="F1267" s="157">
        <v>500</v>
      </c>
      <c r="G1267" s="158">
        <v>71.819999999999993</v>
      </c>
      <c r="H1267" s="157">
        <v>14.36</v>
      </c>
      <c r="I1267" s="157"/>
      <c r="J1267" s="159">
        <v>35924.36</v>
      </c>
      <c r="K1267" s="6" t="s">
        <v>641</v>
      </c>
      <c r="L1267" s="20">
        <f>IF(ISNA(MATCH(Transactions[[#This Row],[TransType]],TransTypes[TransType],0)),1,MATCH(Transactions[[#This Row],[TransType]],TransTypes[TransType],0))</f>
        <v>2</v>
      </c>
      <c r="M1267" s="160">
        <f>IF( AND( INDEX(TransTypes[],Transactions[[#This Row],[TTR]],TT_COL_GLFlag)=1, INDEX(TransTypes[],Transactions[[#This Row],[TTR]],TT_COL_LONGORSHORT)="S" ),
      Transactions[[#This Row],[PL]],
      IF(INDEX(TransTypes[],Transactions[[#This Row],[TTR]],TT_COL_LONGORSHORT)="S",0,Transactions[[#This Row],[CalCashImpact]])
)</f>
        <v>-35924.36</v>
      </c>
      <c r="N1267" s="161">
        <f>IF(VLOOKUP(Transactions[[#This Row],[Symbol]],Symbols[],COLUMN(Symbols[Currency])-COLUMN(Symbols[])+1,FALSE)=
       VLOOKUP(Transactions[[#This Row],[Account]],Accounts[],COLUMN(Accounts[Currency])-COLUMN(Accounts[])+1,FALSE),
     Transactions[[#This Row],[OrigCashImpact]],
     0
)</f>
        <v>-35924.36</v>
      </c>
      <c r="O12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628925.79999999912</v>
      </c>
      <c r="P12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2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1267" s="41">
        <f>ROW()</f>
        <v>1267</v>
      </c>
      <c r="S12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35924.36</v>
      </c>
      <c r="T12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229436.50324074074</v>
      </c>
      <c r="U12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267" s="166">
        <f>IF(INDEX(TransTypes[],Transactions[[#This Row],[TTR]],TT_COL_GLFlag)=1,Transactions[[#This Row],[CalCashImpact]]+Transactions[[#This Row],[CostImpact]],0)</f>
        <v>0</v>
      </c>
      <c r="W1267" s="167">
        <f>Transactions[[#This Row],[Amount]]*INDEX(TransTypes[],Transactions[[#This Row],[TTR]],TT_COL_AmntSign)</f>
        <v>-35924.36</v>
      </c>
      <c r="X1267" s="167">
        <f>IF(INDEX(TransTypes[],Transactions[[#This Row],[TTR]],TT_COL_LONGORSHORT)="S",
      IF( OR(INDEX(TransTypes[],Transactions[[#This Row],[TTR]],TT_COL_GLFlag)=1, INDEX(TransTypes[], Transactions[[#This Row],[TTR]], TT_COL_ShareTransferFlag)=1),
            Transactions[[#This Row],[CostImpact]]*-1,
            Transactions[[#This Row],[CalCashImpact]]
      ),
     0
)</f>
        <v>0</v>
      </c>
      <c r="Y1267" s="168" t="str">
        <f>VLOOKUP(Transactions[[#This Row],[Symbol]],Symbols[], COLUMN(Symbols[Currency])-COLUMN(Symbols[])+1,FALSE)</f>
        <v>CNY</v>
      </c>
    </row>
    <row r="1268" spans="1:25">
      <c r="A1268" s="155" t="s">
        <v>82</v>
      </c>
      <c r="B1268" s="156">
        <v>42608</v>
      </c>
      <c r="C1268" s="155" t="s">
        <v>113</v>
      </c>
      <c r="D1268" s="155"/>
      <c r="E1268" s="155" t="s">
        <v>464</v>
      </c>
      <c r="F1268" s="157">
        <v>100</v>
      </c>
      <c r="G1268" s="158">
        <v>304.02999999999997</v>
      </c>
      <c r="H1268" s="157">
        <v>12.77</v>
      </c>
      <c r="I1268" s="157"/>
      <c r="J1268" s="159">
        <v>30415.77</v>
      </c>
      <c r="K1268" s="6" t="s">
        <v>641</v>
      </c>
      <c r="L1268" s="20">
        <f>IF(ISNA(MATCH(Transactions[[#This Row],[TransType]],TransTypes[TransType],0)),1,MATCH(Transactions[[#This Row],[TransType]],TransTypes[TransType],0))</f>
        <v>2</v>
      </c>
      <c r="M1268" s="160">
        <f>IF( AND( INDEX(TransTypes[],Transactions[[#This Row],[TTR]],TT_COL_GLFlag)=1, INDEX(TransTypes[],Transactions[[#This Row],[TTR]],TT_COL_LONGORSHORT)="S" ),
      Transactions[[#This Row],[PL]],
      IF(INDEX(TransTypes[],Transactions[[#This Row],[TTR]],TT_COL_LONGORSHORT)="S",0,Transactions[[#This Row],[CalCashImpact]])
)</f>
        <v>-30415.77</v>
      </c>
      <c r="N1268" s="161">
        <f>IF(VLOOKUP(Transactions[[#This Row],[Symbol]],Symbols[],COLUMN(Symbols[Currency])-COLUMN(Symbols[])+1,FALSE)=
       VLOOKUP(Transactions[[#This Row],[Account]],Accounts[],COLUMN(Accounts[Currency])-COLUMN(Accounts[])+1,FALSE),
     Transactions[[#This Row],[OrigCashImpact]],
     0
)</f>
        <v>-30415.77</v>
      </c>
      <c r="O12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598510.0299999991</v>
      </c>
      <c r="P12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2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268" s="41">
        <f>ROW()</f>
        <v>1268</v>
      </c>
      <c r="S12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30415.77</v>
      </c>
      <c r="T12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54530.725519999993</v>
      </c>
      <c r="U12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1268" s="166">
        <f>IF(INDEX(TransTypes[],Transactions[[#This Row],[TTR]],TT_COL_GLFlag)=1,Transactions[[#This Row],[CalCashImpact]]+Transactions[[#This Row],[CostImpact]],0)</f>
        <v>0</v>
      </c>
      <c r="W1268" s="167">
        <f>Transactions[[#This Row],[Amount]]*INDEX(TransTypes[],Transactions[[#This Row],[TTR]],TT_COL_AmntSign)</f>
        <v>-30415.77</v>
      </c>
      <c r="X1268" s="167">
        <f>IF(INDEX(TransTypes[],Transactions[[#This Row],[TTR]],TT_COL_LONGORSHORT)="S",
      IF( OR(INDEX(TransTypes[],Transactions[[#This Row],[TTR]],TT_COL_GLFlag)=1, INDEX(TransTypes[], Transactions[[#This Row],[TTR]], TT_COL_ShareTransferFlag)=1),
            Transactions[[#This Row],[CostImpact]]*-1,
            Transactions[[#This Row],[CalCashImpact]]
      ),
     0
)</f>
        <v>0</v>
      </c>
      <c r="Y1268" s="168" t="str">
        <f>VLOOKUP(Transactions[[#This Row],[Symbol]],Symbols[], COLUMN(Symbols[Currency])-COLUMN(Symbols[])+1,FALSE)</f>
        <v>CNY</v>
      </c>
    </row>
    <row r="1269" spans="1:25">
      <c r="A1269" s="155" t="s">
        <v>82</v>
      </c>
      <c r="B1269" s="156">
        <v>42611</v>
      </c>
      <c r="C1269" s="155" t="s">
        <v>113</v>
      </c>
      <c r="D1269" s="155"/>
      <c r="E1269" s="155" t="s">
        <v>711</v>
      </c>
      <c r="F1269" s="157">
        <v>3000</v>
      </c>
      <c r="G1269" s="158">
        <v>18.2</v>
      </c>
      <c r="H1269" s="157">
        <v>21.84</v>
      </c>
      <c r="I1269" s="157"/>
      <c r="J1269" s="159">
        <v>54621.84</v>
      </c>
      <c r="K1269" s="6" t="s">
        <v>641</v>
      </c>
      <c r="L1269" s="20">
        <f>IF(ISNA(MATCH(Transactions[[#This Row],[TransType]],TransTypes[TransType],0)),1,MATCH(Transactions[[#This Row],[TransType]],TransTypes[TransType],0))</f>
        <v>2</v>
      </c>
      <c r="M1269" s="160">
        <f>IF( AND( INDEX(TransTypes[],Transactions[[#This Row],[TTR]],TT_COL_GLFlag)=1, INDEX(TransTypes[],Transactions[[#This Row],[TTR]],TT_COL_LONGORSHORT)="S" ),
      Transactions[[#This Row],[PL]],
      IF(INDEX(TransTypes[],Transactions[[#This Row],[TTR]],TT_COL_LONGORSHORT)="S",0,Transactions[[#This Row],[CalCashImpact]])
)</f>
        <v>-54621.84</v>
      </c>
      <c r="N1269" s="161">
        <f>IF(VLOOKUP(Transactions[[#This Row],[Symbol]],Symbols[],COLUMN(Symbols[Currency])-COLUMN(Symbols[])+1,FALSE)=
       VLOOKUP(Transactions[[#This Row],[Account]],Accounts[],COLUMN(Accounts[Currency])-COLUMN(Accounts[])+1,FALSE),
     Transactions[[#This Row],[OrigCashImpact]],
     0
)</f>
        <v>-54621.84</v>
      </c>
      <c r="O12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543888.18999999913</v>
      </c>
      <c r="P12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269" s="41">
        <f>ROW()</f>
        <v>1269</v>
      </c>
      <c r="S12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54621.84</v>
      </c>
      <c r="T12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90056.01</v>
      </c>
      <c r="U12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69" s="166">
        <f>IF(INDEX(TransTypes[],Transactions[[#This Row],[TTR]],TT_COL_GLFlag)=1,Transactions[[#This Row],[CalCashImpact]]+Transactions[[#This Row],[CostImpact]],0)</f>
        <v>0</v>
      </c>
      <c r="W1269" s="167">
        <f>Transactions[[#This Row],[Amount]]*INDEX(TransTypes[],Transactions[[#This Row],[TTR]],TT_COL_AmntSign)</f>
        <v>-54621.84</v>
      </c>
      <c r="X1269" s="167">
        <f>IF(INDEX(TransTypes[],Transactions[[#This Row],[TTR]],TT_COL_LONGORSHORT)="S",
      IF( OR(INDEX(TransTypes[],Transactions[[#This Row],[TTR]],TT_COL_GLFlag)=1, INDEX(TransTypes[], Transactions[[#This Row],[TTR]], TT_COL_ShareTransferFlag)=1),
            Transactions[[#This Row],[CostImpact]]*-1,
            Transactions[[#This Row],[CalCashImpact]]
      ),
     0
)</f>
        <v>0</v>
      </c>
      <c r="Y1269" s="168" t="str">
        <f>VLOOKUP(Transactions[[#This Row],[Symbol]],Symbols[], COLUMN(Symbols[Currency])-COLUMN(Symbols[])+1,FALSE)</f>
        <v>CNY</v>
      </c>
    </row>
    <row r="1270" spans="1:25">
      <c r="A1270" s="155" t="s">
        <v>82</v>
      </c>
      <c r="B1270" s="156">
        <v>42611</v>
      </c>
      <c r="C1270" s="155" t="s">
        <v>115</v>
      </c>
      <c r="D1270" s="155"/>
      <c r="E1270" s="155" t="s">
        <v>644</v>
      </c>
      <c r="F1270" s="157">
        <v>500</v>
      </c>
      <c r="G1270" s="158">
        <v>72.86</v>
      </c>
      <c r="H1270" s="157">
        <v>51</v>
      </c>
      <c r="I1270" s="157"/>
      <c r="J1270" s="159">
        <v>36379</v>
      </c>
      <c r="K1270" s="6" t="s">
        <v>641</v>
      </c>
      <c r="L1270" s="20">
        <f>IF(ISNA(MATCH(Transactions[[#This Row],[TransType]],TransTypes[TransType],0)),1,MATCH(Transactions[[#This Row],[TransType]],TransTypes[TransType],0))</f>
        <v>3</v>
      </c>
      <c r="M1270" s="160">
        <f>IF( AND( INDEX(TransTypes[],Transactions[[#This Row],[TTR]],TT_COL_GLFlag)=1, INDEX(TransTypes[],Transactions[[#This Row],[TTR]],TT_COL_LONGORSHORT)="S" ),
      Transactions[[#This Row],[PL]],
      IF(INDEX(TransTypes[],Transactions[[#This Row],[TTR]],TT_COL_LONGORSHORT)="S",0,Transactions[[#This Row],[CalCashImpact]])
)</f>
        <v>36379</v>
      </c>
      <c r="N1270" s="161">
        <f>IF(VLOOKUP(Transactions[[#This Row],[Symbol]],Symbols[],COLUMN(Symbols[Currency])-COLUMN(Symbols[])+1,FALSE)=
       VLOOKUP(Transactions[[#This Row],[Account]],Accounts[],COLUMN(Accounts[Currency])-COLUMN(Accounts[])+1,FALSE),
     Transactions[[#This Row],[OrigCashImpact]],
     0
)</f>
        <v>36379</v>
      </c>
      <c r="O12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580267.18999999913</v>
      </c>
      <c r="P12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2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270" s="41">
        <f>ROW()</f>
        <v>1270</v>
      </c>
      <c r="S12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-32776.643320105817</v>
      </c>
      <c r="T12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196659.85992063492</v>
      </c>
      <c r="U12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270" s="166">
        <f>IF(INDEX(TransTypes[],Transactions[[#This Row],[TTR]],TT_COL_GLFlag)=1,Transactions[[#This Row],[CalCashImpact]]+Transactions[[#This Row],[CostImpact]],0)</f>
        <v>3602.3566798941829</v>
      </c>
      <c r="W1270" s="167">
        <f>Transactions[[#This Row],[Amount]]*INDEX(TransTypes[],Transactions[[#This Row],[TTR]],TT_COL_AmntSign)</f>
        <v>36379</v>
      </c>
      <c r="X1270" s="167">
        <f>IF(INDEX(TransTypes[],Transactions[[#This Row],[TTR]],TT_COL_LONGORSHORT)="S",
      IF( OR(INDEX(TransTypes[],Transactions[[#This Row],[TTR]],TT_COL_GLFlag)=1, INDEX(TransTypes[], Transactions[[#This Row],[TTR]], TT_COL_ShareTransferFlag)=1),
            Transactions[[#This Row],[CostImpact]]*-1,
            Transactions[[#This Row],[CalCashImpact]]
      ),
     0
)</f>
        <v>0</v>
      </c>
      <c r="Y1270" s="168" t="str">
        <f>VLOOKUP(Transactions[[#This Row],[Symbol]],Symbols[], COLUMN(Symbols[Currency])-COLUMN(Symbols[])+1,FALSE)</f>
        <v>CNY</v>
      </c>
    </row>
    <row r="1271" spans="1:25">
      <c r="A1271" s="155" t="s">
        <v>82</v>
      </c>
      <c r="B1271" s="156">
        <v>42611</v>
      </c>
      <c r="C1271" s="155" t="s">
        <v>115</v>
      </c>
      <c r="D1271" s="155"/>
      <c r="E1271" s="155" t="s">
        <v>468</v>
      </c>
      <c r="F1271" s="157">
        <v>1000</v>
      </c>
      <c r="G1271" s="158">
        <v>33.932000000000002</v>
      </c>
      <c r="H1271" s="157">
        <v>48.18</v>
      </c>
      <c r="I1271" s="157"/>
      <c r="J1271" s="159">
        <v>33883.82</v>
      </c>
      <c r="K1271" s="6" t="s">
        <v>641</v>
      </c>
      <c r="L1271" s="20">
        <f>IF(ISNA(MATCH(Transactions[[#This Row],[TransType]],TransTypes[TransType],0)),1,MATCH(Transactions[[#This Row],[TransType]],TransTypes[TransType],0))</f>
        <v>3</v>
      </c>
      <c r="M1271" s="160">
        <f>IF( AND( INDEX(TransTypes[],Transactions[[#This Row],[TTR]],TT_COL_GLFlag)=1, INDEX(TransTypes[],Transactions[[#This Row],[TTR]],TT_COL_LONGORSHORT)="S" ),
      Transactions[[#This Row],[PL]],
      IF(INDEX(TransTypes[],Transactions[[#This Row],[TTR]],TT_COL_LONGORSHORT)="S",0,Transactions[[#This Row],[CalCashImpact]])
)</f>
        <v>33883.82</v>
      </c>
      <c r="N1271" s="161">
        <f>IF(VLOOKUP(Transactions[[#This Row],[Symbol]],Symbols[],COLUMN(Symbols[Currency])-COLUMN(Symbols[])+1,FALSE)=
       VLOOKUP(Transactions[[#This Row],[Account]],Accounts[],COLUMN(Accounts[Currency])-COLUMN(Accounts[])+1,FALSE),
     Transactions[[#This Row],[OrigCashImpact]],
     0
)</f>
        <v>33883.82</v>
      </c>
      <c r="O12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614151.00999999908</v>
      </c>
      <c r="P12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2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71" s="41">
        <f>ROW()</f>
        <v>1271</v>
      </c>
      <c r="S12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-33874.22</v>
      </c>
      <c r="T12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271" s="166">
        <f>IF(INDEX(TransTypes[],Transactions[[#This Row],[TTR]],TT_COL_GLFlag)=1,Transactions[[#This Row],[CalCashImpact]]+Transactions[[#This Row],[CostImpact]],0)</f>
        <v>9.5999999999985448</v>
      </c>
      <c r="W1271" s="167">
        <f>Transactions[[#This Row],[Amount]]*INDEX(TransTypes[],Transactions[[#This Row],[TTR]],TT_COL_AmntSign)</f>
        <v>33883.82</v>
      </c>
      <c r="X1271" s="167">
        <f>IF(INDEX(TransTypes[],Transactions[[#This Row],[TTR]],TT_COL_LONGORSHORT)="S",
      IF( OR(INDEX(TransTypes[],Transactions[[#This Row],[TTR]],TT_COL_GLFlag)=1, INDEX(TransTypes[], Transactions[[#This Row],[TTR]], TT_COL_ShareTransferFlag)=1),
            Transactions[[#This Row],[CostImpact]]*-1,
            Transactions[[#This Row],[CalCashImpact]]
      ),
     0
)</f>
        <v>0</v>
      </c>
      <c r="Y1271" s="168" t="str">
        <f>VLOOKUP(Transactions[[#This Row],[Symbol]],Symbols[], COLUMN(Symbols[Currency])-COLUMN(Symbols[])+1,FALSE)</f>
        <v>CNY</v>
      </c>
    </row>
    <row r="1272" spans="1:25">
      <c r="A1272" s="155" t="s">
        <v>82</v>
      </c>
      <c r="B1272" s="156">
        <v>42611</v>
      </c>
      <c r="C1272" s="155" t="s">
        <v>113</v>
      </c>
      <c r="D1272" s="155"/>
      <c r="E1272" s="155" t="s">
        <v>708</v>
      </c>
      <c r="F1272" s="157">
        <v>425</v>
      </c>
      <c r="G1272" s="158">
        <v>19.86</v>
      </c>
      <c r="H1272" s="157">
        <v>5.17</v>
      </c>
      <c r="I1272" s="157"/>
      <c r="J1272" s="159">
        <v>8445.67</v>
      </c>
      <c r="K1272" s="6" t="s">
        <v>641</v>
      </c>
      <c r="L1272" s="20">
        <f>IF(ISNA(MATCH(Transactions[[#This Row],[TransType]],TransTypes[TransType],0)),1,MATCH(Transactions[[#This Row],[TransType]],TransTypes[TransType],0))</f>
        <v>2</v>
      </c>
      <c r="M1272" s="160">
        <f>IF( AND( INDEX(TransTypes[],Transactions[[#This Row],[TTR]],TT_COL_GLFlag)=1, INDEX(TransTypes[],Transactions[[#This Row],[TTR]],TT_COL_LONGORSHORT)="S" ),
      Transactions[[#This Row],[PL]],
      IF(INDEX(TransTypes[],Transactions[[#This Row],[TTR]],TT_COL_LONGORSHORT)="S",0,Transactions[[#This Row],[CalCashImpact]])
)</f>
        <v>-8445.67</v>
      </c>
      <c r="N1272" s="161">
        <f>IF(VLOOKUP(Transactions[[#This Row],[Symbol]],Symbols[],COLUMN(Symbols[Currency])-COLUMN(Symbols[])+1,FALSE)=
       VLOOKUP(Transactions[[#This Row],[Account]],Accounts[],COLUMN(Accounts[Currency])-COLUMN(Accounts[])+1,FALSE),
     Transactions[[#This Row],[OrigCashImpact]],
     0
)</f>
        <v>-8445.67</v>
      </c>
      <c r="O12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605705.33999999915</v>
      </c>
      <c r="P12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425</v>
      </c>
      <c r="Q12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425</v>
      </c>
      <c r="R1272" s="41">
        <f>ROW()</f>
        <v>1272</v>
      </c>
      <c r="S12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8445.67</v>
      </c>
      <c r="T12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8445.67</v>
      </c>
      <c r="U12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425</v>
      </c>
      <c r="V1272" s="166">
        <f>IF(INDEX(TransTypes[],Transactions[[#This Row],[TTR]],TT_COL_GLFlag)=1,Transactions[[#This Row],[CalCashImpact]]+Transactions[[#This Row],[CostImpact]],0)</f>
        <v>0</v>
      </c>
      <c r="W1272" s="167">
        <f>Transactions[[#This Row],[Amount]]*INDEX(TransTypes[],Transactions[[#This Row],[TTR]],TT_COL_AmntSign)</f>
        <v>-8445.67</v>
      </c>
      <c r="X1272" s="167">
        <f>IF(INDEX(TransTypes[],Transactions[[#This Row],[TTR]],TT_COL_LONGORSHORT)="S",
      IF( OR(INDEX(TransTypes[],Transactions[[#This Row],[TTR]],TT_COL_GLFlag)=1, INDEX(TransTypes[], Transactions[[#This Row],[TTR]], TT_COL_ShareTransferFlag)=1),
            Transactions[[#This Row],[CostImpact]]*-1,
            Transactions[[#This Row],[CalCashImpact]]
      ),
     0
)</f>
        <v>0</v>
      </c>
      <c r="Y1272" s="168" t="str">
        <f>VLOOKUP(Transactions[[#This Row],[Symbol]],Symbols[], COLUMN(Symbols[Currency])-COLUMN(Symbols[])+1,FALSE)</f>
        <v>CNY</v>
      </c>
    </row>
    <row r="1273" spans="1:25">
      <c r="A1273" s="155" t="s">
        <v>82</v>
      </c>
      <c r="B1273" s="156">
        <v>42618</v>
      </c>
      <c r="C1273" s="155" t="s">
        <v>113</v>
      </c>
      <c r="D1273" s="155"/>
      <c r="E1273" s="155" t="s">
        <v>708</v>
      </c>
      <c r="F1273" s="157">
        <v>3000</v>
      </c>
      <c r="G1273" s="158">
        <v>20.41</v>
      </c>
      <c r="H1273" s="157">
        <v>25.71</v>
      </c>
      <c r="I1273" s="157"/>
      <c r="J1273" s="159">
        <v>61255.71</v>
      </c>
      <c r="K1273" s="6" t="s">
        <v>641</v>
      </c>
      <c r="L1273" s="20">
        <f>IF(ISNA(MATCH(Transactions[[#This Row],[TransType]],TransTypes[TransType],0)),1,MATCH(Transactions[[#This Row],[TransType]],TransTypes[TransType],0))</f>
        <v>2</v>
      </c>
      <c r="M1273" s="160">
        <f>IF( AND( INDEX(TransTypes[],Transactions[[#This Row],[TTR]],TT_COL_GLFlag)=1, INDEX(TransTypes[],Transactions[[#This Row],[TTR]],TT_COL_LONGORSHORT)="S" ),
      Transactions[[#This Row],[PL]],
      IF(INDEX(TransTypes[],Transactions[[#This Row],[TTR]],TT_COL_LONGORSHORT)="S",0,Transactions[[#This Row],[CalCashImpact]])
)</f>
        <v>-61255.71</v>
      </c>
      <c r="N1273" s="161">
        <f>IF(VLOOKUP(Transactions[[#This Row],[Symbol]],Symbols[],COLUMN(Symbols[Currency])-COLUMN(Symbols[])+1,FALSE)=
       VLOOKUP(Transactions[[#This Row],[Account]],Accounts[],COLUMN(Accounts[Currency])-COLUMN(Accounts[])+1,FALSE),
     Transactions[[#This Row],[OrigCashImpact]],
     0
)</f>
        <v>-61255.71</v>
      </c>
      <c r="O12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544449.62999999907</v>
      </c>
      <c r="P12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3425</v>
      </c>
      <c r="R1273" s="41">
        <f>ROW()</f>
        <v>1273</v>
      </c>
      <c r="S12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61255.71</v>
      </c>
      <c r="T12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69701.38</v>
      </c>
      <c r="U12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3425</v>
      </c>
      <c r="V1273" s="166">
        <f>IF(INDEX(TransTypes[],Transactions[[#This Row],[TTR]],TT_COL_GLFlag)=1,Transactions[[#This Row],[CalCashImpact]]+Transactions[[#This Row],[CostImpact]],0)</f>
        <v>0</v>
      </c>
      <c r="W1273" s="167">
        <f>Transactions[[#This Row],[Amount]]*INDEX(TransTypes[],Transactions[[#This Row],[TTR]],TT_COL_AmntSign)</f>
        <v>-61255.71</v>
      </c>
      <c r="X1273" s="167">
        <f>IF(INDEX(TransTypes[],Transactions[[#This Row],[TTR]],TT_COL_LONGORSHORT)="S",
      IF( OR(INDEX(TransTypes[],Transactions[[#This Row],[TTR]],TT_COL_GLFlag)=1, INDEX(TransTypes[], Transactions[[#This Row],[TTR]], TT_COL_ShareTransferFlag)=1),
            Transactions[[#This Row],[CostImpact]]*-1,
            Transactions[[#This Row],[CalCashImpact]]
      ),
     0
)</f>
        <v>0</v>
      </c>
      <c r="Y1273" s="168" t="str">
        <f>VLOOKUP(Transactions[[#This Row],[Symbol]],Symbols[], COLUMN(Symbols[Currency])-COLUMN(Symbols[])+1,FALSE)</f>
        <v>CNY</v>
      </c>
    </row>
    <row r="1274" spans="1:25">
      <c r="A1274" s="155" t="s">
        <v>82</v>
      </c>
      <c r="B1274" s="156">
        <v>42618</v>
      </c>
      <c r="C1274" s="155" t="s">
        <v>112</v>
      </c>
      <c r="D1274" s="155"/>
      <c r="E1274" s="155" t="s">
        <v>211</v>
      </c>
      <c r="F1274" s="157"/>
      <c r="G1274" s="158"/>
      <c r="H1274" s="157"/>
      <c r="I1274" s="157"/>
      <c r="J1274" s="159">
        <v>2200000</v>
      </c>
      <c r="K1274" s="6" t="s">
        <v>641</v>
      </c>
      <c r="L1274" s="20">
        <f>IF(ISNA(MATCH(Transactions[[#This Row],[TransType]],TransTypes[TransType],0)),1,MATCH(Transactions[[#This Row],[TransType]],TransTypes[TransType],0))</f>
        <v>1</v>
      </c>
      <c r="M1274" s="160">
        <f>IF( AND( INDEX(TransTypes[],Transactions[[#This Row],[TTR]],TT_COL_GLFlag)=1, INDEX(TransTypes[],Transactions[[#This Row],[TTR]],TT_COL_LONGORSHORT)="S" ),
      Transactions[[#This Row],[PL]],
      IF(INDEX(TransTypes[],Transactions[[#This Row],[TTR]],TT_COL_LONGORSHORT)="S",0,Transactions[[#This Row],[CalCashImpact]])
)</f>
        <v>2200000</v>
      </c>
      <c r="N1274" s="161">
        <f>IF(VLOOKUP(Transactions[[#This Row],[Symbol]],Symbols[],COLUMN(Symbols[Currency])-COLUMN(Symbols[])+1,FALSE)=
       VLOOKUP(Transactions[[#This Row],[Account]],Accounts[],COLUMN(Accounts[Currency])-COLUMN(Accounts[])+1,FALSE),
     Transactions[[#This Row],[OrigCashImpact]],
     0
)</f>
        <v>2200000</v>
      </c>
      <c r="O12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2744449.629999999</v>
      </c>
      <c r="P12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2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74" s="41">
        <f>ROW()</f>
        <v>1274</v>
      </c>
      <c r="S12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2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274" s="166">
        <f>IF(INDEX(TransTypes[],Transactions[[#This Row],[TTR]],TT_COL_GLFlag)=1,Transactions[[#This Row],[CalCashImpact]]+Transactions[[#This Row],[CostImpact]],0)</f>
        <v>0</v>
      </c>
      <c r="W1274" s="167">
        <f>Transactions[[#This Row],[Amount]]*INDEX(TransTypes[],Transactions[[#This Row],[TTR]],TT_COL_AmntSign)</f>
        <v>2200000</v>
      </c>
      <c r="X1274" s="167">
        <f>IF(INDEX(TransTypes[],Transactions[[#This Row],[TTR]],TT_COL_LONGORSHORT)="S",
      IF( OR(INDEX(TransTypes[],Transactions[[#This Row],[TTR]],TT_COL_GLFlag)=1, INDEX(TransTypes[], Transactions[[#This Row],[TTR]], TT_COL_ShareTransferFlag)=1),
            Transactions[[#This Row],[CostImpact]]*-1,
            Transactions[[#This Row],[CalCashImpact]]
      ),
     0
)</f>
        <v>0</v>
      </c>
      <c r="Y1274" s="168" t="str">
        <f>VLOOKUP(Transactions[[#This Row],[Symbol]],Symbols[], COLUMN(Symbols[Currency])-COLUMN(Symbols[])+1,FALSE)</f>
        <v>CNY</v>
      </c>
    </row>
    <row r="1275" spans="1:25">
      <c r="A1275" s="155" t="s">
        <v>82</v>
      </c>
      <c r="B1275" s="156">
        <v>42619</v>
      </c>
      <c r="C1275" s="155" t="s">
        <v>113</v>
      </c>
      <c r="D1275" s="155"/>
      <c r="E1275" s="155" t="s">
        <v>644</v>
      </c>
      <c r="F1275" s="157">
        <v>500</v>
      </c>
      <c r="G1275" s="158">
        <v>69.81</v>
      </c>
      <c r="H1275" s="157">
        <v>13.96</v>
      </c>
      <c r="I1275" s="157"/>
      <c r="J1275" s="159">
        <v>34918.959999999999</v>
      </c>
      <c r="K1275" s="6" t="s">
        <v>641</v>
      </c>
      <c r="L1275" s="20">
        <f>IF(ISNA(MATCH(Transactions[[#This Row],[TransType]],TransTypes[TransType],0)),1,MATCH(Transactions[[#This Row],[TransType]],TransTypes[TransType],0))</f>
        <v>2</v>
      </c>
      <c r="M1275" s="160">
        <f>IF( AND( INDEX(TransTypes[],Transactions[[#This Row],[TTR]],TT_COL_GLFlag)=1, INDEX(TransTypes[],Transactions[[#This Row],[TTR]],TT_COL_LONGORSHORT)="S" ),
      Transactions[[#This Row],[PL]],
      IF(INDEX(TransTypes[],Transactions[[#This Row],[TTR]],TT_COL_LONGORSHORT)="S",0,Transactions[[#This Row],[CalCashImpact]])
)</f>
        <v>-34918.959999999999</v>
      </c>
      <c r="N1275" s="161">
        <f>IF(VLOOKUP(Transactions[[#This Row],[Symbol]],Symbols[],COLUMN(Symbols[Currency])-COLUMN(Symbols[])+1,FALSE)=
       VLOOKUP(Transactions[[#This Row],[Account]],Accounts[],COLUMN(Accounts[Currency])-COLUMN(Accounts[])+1,FALSE),
     Transactions[[#This Row],[OrigCashImpact]],
     0
)</f>
        <v>-34918.959999999999</v>
      </c>
      <c r="O12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2709530.669999999</v>
      </c>
      <c r="P12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2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1275" s="41">
        <f>ROW()</f>
        <v>1275</v>
      </c>
      <c r="S12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34918.959999999999</v>
      </c>
      <c r="T12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231578.81992063491</v>
      </c>
      <c r="U12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275" s="166">
        <f>IF(INDEX(TransTypes[],Transactions[[#This Row],[TTR]],TT_COL_GLFlag)=1,Transactions[[#This Row],[CalCashImpact]]+Transactions[[#This Row],[CostImpact]],0)</f>
        <v>0</v>
      </c>
      <c r="W1275" s="167">
        <f>Transactions[[#This Row],[Amount]]*INDEX(TransTypes[],Transactions[[#This Row],[TTR]],TT_COL_AmntSign)</f>
        <v>-34918.959999999999</v>
      </c>
      <c r="X1275" s="167">
        <f>IF(INDEX(TransTypes[],Transactions[[#This Row],[TTR]],TT_COL_LONGORSHORT)="S",
      IF( OR(INDEX(TransTypes[],Transactions[[#This Row],[TTR]],TT_COL_GLFlag)=1, INDEX(TransTypes[], Transactions[[#This Row],[TTR]], TT_COL_ShareTransferFlag)=1),
            Transactions[[#This Row],[CostImpact]]*-1,
            Transactions[[#This Row],[CalCashImpact]]
      ),
     0
)</f>
        <v>0</v>
      </c>
      <c r="Y1275" s="168" t="str">
        <f>VLOOKUP(Transactions[[#This Row],[Symbol]],Symbols[], COLUMN(Symbols[Currency])-COLUMN(Symbols[])+1,FALSE)</f>
        <v>CNY</v>
      </c>
    </row>
    <row r="1276" spans="1:25">
      <c r="A1276" s="155" t="s">
        <v>82</v>
      </c>
      <c r="B1276" s="156">
        <v>42619</v>
      </c>
      <c r="C1276" s="155" t="s">
        <v>113</v>
      </c>
      <c r="D1276" s="155"/>
      <c r="E1276" s="155" t="s">
        <v>710</v>
      </c>
      <c r="F1276" s="157">
        <v>2000</v>
      </c>
      <c r="G1276" s="158">
        <v>23.05</v>
      </c>
      <c r="H1276" s="157">
        <v>18.440000000000001</v>
      </c>
      <c r="I1276" s="157"/>
      <c r="J1276" s="159">
        <v>46118.44</v>
      </c>
      <c r="K1276" s="6" t="s">
        <v>641</v>
      </c>
      <c r="L1276" s="20">
        <f>IF(ISNA(MATCH(Transactions[[#This Row],[TransType]],TransTypes[TransType],0)),1,MATCH(Transactions[[#This Row],[TransType]],TransTypes[TransType],0))</f>
        <v>2</v>
      </c>
      <c r="M1276" s="160">
        <f>IF( AND( INDEX(TransTypes[],Transactions[[#This Row],[TTR]],TT_COL_GLFlag)=1, INDEX(TransTypes[],Transactions[[#This Row],[TTR]],TT_COL_LONGORSHORT)="S" ),
      Transactions[[#This Row],[PL]],
      IF(INDEX(TransTypes[],Transactions[[#This Row],[TTR]],TT_COL_LONGORSHORT)="S",0,Transactions[[#This Row],[CalCashImpact]])
)</f>
        <v>-46118.44</v>
      </c>
      <c r="N1276" s="161">
        <f>IF(VLOOKUP(Transactions[[#This Row],[Symbol]],Symbols[],COLUMN(Symbols[Currency])-COLUMN(Symbols[])+1,FALSE)=
       VLOOKUP(Transactions[[#This Row],[Account]],Accounts[],COLUMN(Accounts[Currency])-COLUMN(Accounts[])+1,FALSE),
     Transactions[[#This Row],[OrigCashImpact]],
     0
)</f>
        <v>-46118.44</v>
      </c>
      <c r="O12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2663412.2299999991</v>
      </c>
      <c r="P12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276" s="41">
        <f>ROW()</f>
        <v>1276</v>
      </c>
      <c r="S12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46118.44</v>
      </c>
      <c r="T12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267577.38400000002</v>
      </c>
      <c r="U12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276" s="166">
        <f>IF(INDEX(TransTypes[],Transactions[[#This Row],[TTR]],TT_COL_GLFlag)=1,Transactions[[#This Row],[CalCashImpact]]+Transactions[[#This Row],[CostImpact]],0)</f>
        <v>0</v>
      </c>
      <c r="W1276" s="167">
        <f>Transactions[[#This Row],[Amount]]*INDEX(TransTypes[],Transactions[[#This Row],[TTR]],TT_COL_AmntSign)</f>
        <v>-46118.44</v>
      </c>
      <c r="X1276" s="167">
        <f>IF(INDEX(TransTypes[],Transactions[[#This Row],[TTR]],TT_COL_LONGORSHORT)="S",
      IF( OR(INDEX(TransTypes[],Transactions[[#This Row],[TTR]],TT_COL_GLFlag)=1, INDEX(TransTypes[], Transactions[[#This Row],[TTR]], TT_COL_ShareTransferFlag)=1),
            Transactions[[#This Row],[CostImpact]]*-1,
            Transactions[[#This Row],[CalCashImpact]]
      ),
     0
)</f>
        <v>0</v>
      </c>
      <c r="Y1276" s="168" t="str">
        <f>VLOOKUP(Transactions[[#This Row],[Symbol]],Symbols[], COLUMN(Symbols[Currency])-COLUMN(Symbols[])+1,FALSE)</f>
        <v>CNY</v>
      </c>
    </row>
    <row r="1277" spans="1:25">
      <c r="A1277" s="155" t="s">
        <v>82</v>
      </c>
      <c r="B1277" s="156">
        <v>42619</v>
      </c>
      <c r="C1277" s="155" t="s">
        <v>113</v>
      </c>
      <c r="D1277" s="155"/>
      <c r="E1277" s="155" t="s">
        <v>711</v>
      </c>
      <c r="F1277" s="157">
        <v>5000</v>
      </c>
      <c r="G1277" s="158">
        <v>18.681000000000001</v>
      </c>
      <c r="H1277" s="157">
        <v>37.36</v>
      </c>
      <c r="I1277" s="157"/>
      <c r="J1277" s="159">
        <v>93442.36</v>
      </c>
      <c r="K1277" s="6" t="s">
        <v>641</v>
      </c>
      <c r="L1277" s="20">
        <f>IF(ISNA(MATCH(Transactions[[#This Row],[TransType]],TransTypes[TransType],0)),1,MATCH(Transactions[[#This Row],[TransType]],TransTypes[TransType],0))</f>
        <v>2</v>
      </c>
      <c r="M1277" s="160">
        <f>IF( AND( INDEX(TransTypes[],Transactions[[#This Row],[TTR]],TT_COL_GLFlag)=1, INDEX(TransTypes[],Transactions[[#This Row],[TTR]],TT_COL_LONGORSHORT)="S" ),
      Transactions[[#This Row],[PL]],
      IF(INDEX(TransTypes[],Transactions[[#This Row],[TTR]],TT_COL_LONGORSHORT)="S",0,Transactions[[#This Row],[CalCashImpact]])
)</f>
        <v>-93442.36</v>
      </c>
      <c r="N1277" s="161">
        <f>IF(VLOOKUP(Transactions[[#This Row],[Symbol]],Symbols[],COLUMN(Symbols[Currency])-COLUMN(Symbols[])+1,FALSE)=
       VLOOKUP(Transactions[[#This Row],[Account]],Accounts[],COLUMN(Accounts[Currency])-COLUMN(Accounts[])+1,FALSE),
     Transactions[[#This Row],[OrigCashImpact]],
     0
)</f>
        <v>-93442.36</v>
      </c>
      <c r="O12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2569969.8699999992</v>
      </c>
      <c r="P12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2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277" s="41">
        <f>ROW()</f>
        <v>1277</v>
      </c>
      <c r="S12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93442.36</v>
      </c>
      <c r="T12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183498.37</v>
      </c>
      <c r="U12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277" s="166">
        <f>IF(INDEX(TransTypes[],Transactions[[#This Row],[TTR]],TT_COL_GLFlag)=1,Transactions[[#This Row],[CalCashImpact]]+Transactions[[#This Row],[CostImpact]],0)</f>
        <v>0</v>
      </c>
      <c r="W1277" s="167">
        <f>Transactions[[#This Row],[Amount]]*INDEX(TransTypes[],Transactions[[#This Row],[TTR]],TT_COL_AmntSign)</f>
        <v>-93442.36</v>
      </c>
      <c r="X1277" s="167">
        <f>IF(INDEX(TransTypes[],Transactions[[#This Row],[TTR]],TT_COL_LONGORSHORT)="S",
      IF( OR(INDEX(TransTypes[],Transactions[[#This Row],[TTR]],TT_COL_GLFlag)=1, INDEX(TransTypes[], Transactions[[#This Row],[TTR]], TT_COL_ShareTransferFlag)=1),
            Transactions[[#This Row],[CostImpact]]*-1,
            Transactions[[#This Row],[CalCashImpact]]
      ),
     0
)</f>
        <v>0</v>
      </c>
      <c r="Y1277" s="168" t="str">
        <f>VLOOKUP(Transactions[[#This Row],[Symbol]],Symbols[], COLUMN(Symbols[Currency])-COLUMN(Symbols[])+1,FALSE)</f>
        <v>CNY</v>
      </c>
    </row>
    <row r="1278" spans="1:25">
      <c r="A1278" s="155" t="s">
        <v>82</v>
      </c>
      <c r="B1278" s="156">
        <v>42619</v>
      </c>
      <c r="C1278" s="155" t="s">
        <v>113</v>
      </c>
      <c r="D1278" s="155"/>
      <c r="E1278" s="155" t="s">
        <v>665</v>
      </c>
      <c r="F1278" s="157">
        <v>100000</v>
      </c>
      <c r="G1278" s="158">
        <v>1.0620000000000001</v>
      </c>
      <c r="H1278" s="157">
        <v>42.48</v>
      </c>
      <c r="I1278" s="157"/>
      <c r="J1278" s="159">
        <v>106242.48</v>
      </c>
      <c r="K1278" s="6" t="s">
        <v>641</v>
      </c>
      <c r="L1278" s="20">
        <f>IF(ISNA(MATCH(Transactions[[#This Row],[TransType]],TransTypes[TransType],0)),1,MATCH(Transactions[[#This Row],[TransType]],TransTypes[TransType],0))</f>
        <v>2</v>
      </c>
      <c r="M1278" s="160">
        <f>IF( AND( INDEX(TransTypes[],Transactions[[#This Row],[TTR]],TT_COL_GLFlag)=1, INDEX(TransTypes[],Transactions[[#This Row],[TTR]],TT_COL_LONGORSHORT)="S" ),
      Transactions[[#This Row],[PL]],
      IF(INDEX(TransTypes[],Transactions[[#This Row],[TTR]],TT_COL_LONGORSHORT)="S",0,Transactions[[#This Row],[CalCashImpact]])
)</f>
        <v>-106242.48</v>
      </c>
      <c r="N1278" s="161">
        <f>IF(VLOOKUP(Transactions[[#This Row],[Symbol]],Symbols[],COLUMN(Symbols[Currency])-COLUMN(Symbols[])+1,FALSE)=
       VLOOKUP(Transactions[[#This Row],[Account]],Accounts[],COLUMN(Accounts[Currency])-COLUMN(Accounts[])+1,FALSE),
     Transactions[[#This Row],[OrigCashImpact]],
     0
)</f>
        <v>-106242.48</v>
      </c>
      <c r="O12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2463727.3899999987</v>
      </c>
      <c r="P12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12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280000</v>
      </c>
      <c r="R1278" s="41">
        <f>ROW()</f>
        <v>1278</v>
      </c>
      <c r="S12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106242.48</v>
      </c>
      <c r="T12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257454.72816275747</v>
      </c>
      <c r="U12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280000</v>
      </c>
      <c r="V1278" s="166">
        <f>IF(INDEX(TransTypes[],Transactions[[#This Row],[TTR]],TT_COL_GLFlag)=1,Transactions[[#This Row],[CalCashImpact]]+Transactions[[#This Row],[CostImpact]],0)</f>
        <v>0</v>
      </c>
      <c r="W1278" s="167">
        <f>Transactions[[#This Row],[Amount]]*INDEX(TransTypes[],Transactions[[#This Row],[TTR]],TT_COL_AmntSign)</f>
        <v>-106242.48</v>
      </c>
      <c r="X1278" s="167">
        <f>IF(INDEX(TransTypes[],Transactions[[#This Row],[TTR]],TT_COL_LONGORSHORT)="S",
      IF( OR(INDEX(TransTypes[],Transactions[[#This Row],[TTR]],TT_COL_GLFlag)=1, INDEX(TransTypes[], Transactions[[#This Row],[TTR]], TT_COL_ShareTransferFlag)=1),
            Transactions[[#This Row],[CostImpact]]*-1,
            Transactions[[#This Row],[CalCashImpact]]
      ),
     0
)</f>
        <v>0</v>
      </c>
      <c r="Y1278" s="168" t="str">
        <f>VLOOKUP(Transactions[[#This Row],[Symbol]],Symbols[], COLUMN(Symbols[Currency])-COLUMN(Symbols[])+1,FALSE)</f>
        <v>CNY</v>
      </c>
    </row>
    <row r="1279" spans="1:25">
      <c r="A1279" s="155" t="s">
        <v>82</v>
      </c>
      <c r="B1279" s="156">
        <v>42619</v>
      </c>
      <c r="C1279" s="155" t="s">
        <v>113</v>
      </c>
      <c r="D1279" s="155"/>
      <c r="E1279" s="155" t="s">
        <v>708</v>
      </c>
      <c r="F1279" s="157">
        <v>3000</v>
      </c>
      <c r="G1279" s="158">
        <v>22.071999999999999</v>
      </c>
      <c r="H1279" s="157">
        <v>27.81</v>
      </c>
      <c r="I1279" s="157"/>
      <c r="J1279" s="159">
        <v>66243.81</v>
      </c>
      <c r="K1279" s="6" t="s">
        <v>641</v>
      </c>
      <c r="L1279" s="20">
        <f>IF(ISNA(MATCH(Transactions[[#This Row],[TransType]],TransTypes[TransType],0)),1,MATCH(Transactions[[#This Row],[TransType]],TransTypes[TransType],0))</f>
        <v>2</v>
      </c>
      <c r="M1279" s="160">
        <f>IF( AND( INDEX(TransTypes[],Transactions[[#This Row],[TTR]],TT_COL_GLFlag)=1, INDEX(TransTypes[],Transactions[[#This Row],[TTR]],TT_COL_LONGORSHORT)="S" ),
      Transactions[[#This Row],[PL]],
      IF(INDEX(TransTypes[],Transactions[[#This Row],[TTR]],TT_COL_LONGORSHORT)="S",0,Transactions[[#This Row],[CalCashImpact]])
)</f>
        <v>-66243.81</v>
      </c>
      <c r="N1279" s="161">
        <f>IF(VLOOKUP(Transactions[[#This Row],[Symbol]],Symbols[],COLUMN(Symbols[Currency])-COLUMN(Symbols[])+1,FALSE)=
       VLOOKUP(Transactions[[#This Row],[Account]],Accounts[],COLUMN(Accounts[Currency])-COLUMN(Accounts[])+1,FALSE),
     Transactions[[#This Row],[OrigCashImpact]],
     0
)</f>
        <v>-66243.81</v>
      </c>
      <c r="O12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2397483.5799999991</v>
      </c>
      <c r="P12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6425</v>
      </c>
      <c r="R1279" s="41">
        <f>ROW()</f>
        <v>1279</v>
      </c>
      <c r="S12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66243.81</v>
      </c>
      <c r="T12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135945.19</v>
      </c>
      <c r="U12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6425</v>
      </c>
      <c r="V1279" s="166">
        <f>IF(INDEX(TransTypes[],Transactions[[#This Row],[TTR]],TT_COL_GLFlag)=1,Transactions[[#This Row],[CalCashImpact]]+Transactions[[#This Row],[CostImpact]],0)</f>
        <v>0</v>
      </c>
      <c r="W1279" s="167">
        <f>Transactions[[#This Row],[Amount]]*INDEX(TransTypes[],Transactions[[#This Row],[TTR]],TT_COL_AmntSign)</f>
        <v>-66243.81</v>
      </c>
      <c r="X1279" s="167">
        <f>IF(INDEX(TransTypes[],Transactions[[#This Row],[TTR]],TT_COL_LONGORSHORT)="S",
      IF( OR(INDEX(TransTypes[],Transactions[[#This Row],[TTR]],TT_COL_GLFlag)=1, INDEX(TransTypes[], Transactions[[#This Row],[TTR]], TT_COL_ShareTransferFlag)=1),
            Transactions[[#This Row],[CostImpact]]*-1,
            Transactions[[#This Row],[CalCashImpact]]
      ),
     0
)</f>
        <v>0</v>
      </c>
      <c r="Y1279" s="168" t="str">
        <f>VLOOKUP(Transactions[[#This Row],[Symbol]],Symbols[], COLUMN(Symbols[Currency])-COLUMN(Symbols[])+1,FALSE)</f>
        <v>CNY</v>
      </c>
    </row>
    <row r="1280" spans="1:25">
      <c r="A1280" s="155" t="s">
        <v>82</v>
      </c>
      <c r="B1280" s="156">
        <v>42619</v>
      </c>
      <c r="C1280" s="155" t="s">
        <v>115</v>
      </c>
      <c r="D1280" s="155"/>
      <c r="E1280" s="155" t="s">
        <v>480</v>
      </c>
      <c r="F1280" s="157">
        <v>2000</v>
      </c>
      <c r="G1280" s="158">
        <v>43.951000000000001</v>
      </c>
      <c r="H1280" s="157">
        <v>124.83</v>
      </c>
      <c r="I1280" s="157"/>
      <c r="J1280" s="159">
        <v>87777.17</v>
      </c>
      <c r="K1280" s="6" t="s">
        <v>641</v>
      </c>
      <c r="L1280" s="20">
        <f>IF(ISNA(MATCH(Transactions[[#This Row],[TransType]],TransTypes[TransType],0)),1,MATCH(Transactions[[#This Row],[TransType]],TransTypes[TransType],0))</f>
        <v>3</v>
      </c>
      <c r="M1280" s="160">
        <f>IF( AND( INDEX(TransTypes[],Transactions[[#This Row],[TTR]],TT_COL_GLFlag)=1, INDEX(TransTypes[],Transactions[[#This Row],[TTR]],TT_COL_LONGORSHORT)="S" ),
      Transactions[[#This Row],[PL]],
      IF(INDEX(TransTypes[],Transactions[[#This Row],[TTR]],TT_COL_LONGORSHORT)="S",0,Transactions[[#This Row],[CalCashImpact]])
)</f>
        <v>87777.17</v>
      </c>
      <c r="N1280" s="161">
        <f>IF(VLOOKUP(Transactions[[#This Row],[Symbol]],Symbols[],COLUMN(Symbols[Currency])-COLUMN(Symbols[])+1,FALSE)=
       VLOOKUP(Transactions[[#This Row],[Account]],Accounts[],COLUMN(Accounts[Currency])-COLUMN(Accounts[])+1,FALSE),
     Transactions[[#This Row],[OrigCashImpact]],
     0
)</f>
        <v>87777.17</v>
      </c>
      <c r="O12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2485260.7499999991</v>
      </c>
      <c r="P12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80" s="41">
        <f>ROW()</f>
        <v>1280</v>
      </c>
      <c r="S12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-77790.991666666669</v>
      </c>
      <c r="T12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280" s="166">
        <f>IF(INDEX(TransTypes[],Transactions[[#This Row],[TTR]],TT_COL_GLFlag)=1,Transactions[[#This Row],[CalCashImpact]]+Transactions[[#This Row],[CostImpact]],0)</f>
        <v>9986.1783333333296</v>
      </c>
      <c r="W1280" s="167">
        <f>Transactions[[#This Row],[Amount]]*INDEX(TransTypes[],Transactions[[#This Row],[TTR]],TT_COL_AmntSign)</f>
        <v>87777.17</v>
      </c>
      <c r="X1280" s="167">
        <f>IF(INDEX(TransTypes[],Transactions[[#This Row],[TTR]],TT_COL_LONGORSHORT)="S",
      IF( OR(INDEX(TransTypes[],Transactions[[#This Row],[TTR]],TT_COL_GLFlag)=1, INDEX(TransTypes[], Transactions[[#This Row],[TTR]], TT_COL_ShareTransferFlag)=1),
            Transactions[[#This Row],[CostImpact]]*-1,
            Transactions[[#This Row],[CalCashImpact]]
      ),
     0
)</f>
        <v>0</v>
      </c>
      <c r="Y1280" s="168" t="str">
        <f>VLOOKUP(Transactions[[#This Row],[Symbol]],Symbols[], COLUMN(Symbols[Currency])-COLUMN(Symbols[])+1,FALSE)</f>
        <v>CNY</v>
      </c>
    </row>
    <row r="1281" spans="1:25">
      <c r="A1281" s="155" t="s">
        <v>82</v>
      </c>
      <c r="B1281" s="156">
        <v>42621</v>
      </c>
      <c r="C1281" s="155" t="s">
        <v>113</v>
      </c>
      <c r="D1281" s="155"/>
      <c r="E1281" s="155" t="s">
        <v>683</v>
      </c>
      <c r="F1281" s="157">
        <v>3000</v>
      </c>
      <c r="G1281" s="158">
        <v>15.86</v>
      </c>
      <c r="H1281" s="157">
        <v>19.03</v>
      </c>
      <c r="I1281" s="157"/>
      <c r="J1281" s="159">
        <v>47599.03</v>
      </c>
      <c r="K1281" s="6" t="s">
        <v>641</v>
      </c>
      <c r="L1281" s="20">
        <f>IF(ISNA(MATCH(Transactions[[#This Row],[TransType]],TransTypes[TransType],0)),1,MATCH(Transactions[[#This Row],[TransType]],TransTypes[TransType],0))</f>
        <v>2</v>
      </c>
      <c r="M1281" s="160">
        <f>IF( AND( INDEX(TransTypes[],Transactions[[#This Row],[TTR]],TT_COL_GLFlag)=1, INDEX(TransTypes[],Transactions[[#This Row],[TTR]],TT_COL_LONGORSHORT)="S" ),
      Transactions[[#This Row],[PL]],
      IF(INDEX(TransTypes[],Transactions[[#This Row],[TTR]],TT_COL_LONGORSHORT)="S",0,Transactions[[#This Row],[CalCashImpact]])
)</f>
        <v>-47599.03</v>
      </c>
      <c r="N1281" s="161">
        <f>IF(VLOOKUP(Transactions[[#This Row],[Symbol]],Symbols[],COLUMN(Symbols[Currency])-COLUMN(Symbols[])+1,FALSE)=
       VLOOKUP(Transactions[[#This Row],[Account]],Accounts[],COLUMN(Accounts[Currency])-COLUMN(Accounts[])+1,FALSE),
     Transactions[[#This Row],[OrigCashImpact]],
     0
)</f>
        <v>-47599.03</v>
      </c>
      <c r="O12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2437661.7199999993</v>
      </c>
      <c r="P12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281" s="41">
        <f>ROW()</f>
        <v>1281</v>
      </c>
      <c r="S12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47599.03</v>
      </c>
      <c r="T12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47599.03</v>
      </c>
      <c r="U12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281" s="166">
        <f>IF(INDEX(TransTypes[],Transactions[[#This Row],[TTR]],TT_COL_GLFlag)=1,Transactions[[#This Row],[CalCashImpact]]+Transactions[[#This Row],[CostImpact]],0)</f>
        <v>0</v>
      </c>
      <c r="W1281" s="167">
        <f>Transactions[[#This Row],[Amount]]*INDEX(TransTypes[],Transactions[[#This Row],[TTR]],TT_COL_AmntSign)</f>
        <v>-47599.03</v>
      </c>
      <c r="X1281" s="167">
        <f>IF(INDEX(TransTypes[],Transactions[[#This Row],[TTR]],TT_COL_LONGORSHORT)="S",
      IF( OR(INDEX(TransTypes[],Transactions[[#This Row],[TTR]],TT_COL_GLFlag)=1, INDEX(TransTypes[], Transactions[[#This Row],[TTR]], TT_COL_ShareTransferFlag)=1),
            Transactions[[#This Row],[CostImpact]]*-1,
            Transactions[[#This Row],[CalCashImpact]]
      ),
     0
)</f>
        <v>0</v>
      </c>
      <c r="Y1281" s="168" t="str">
        <f>VLOOKUP(Transactions[[#This Row],[Symbol]],Symbols[], COLUMN(Symbols[Currency])-COLUMN(Symbols[])+1,FALSE)</f>
        <v>CNY</v>
      </c>
    </row>
    <row r="1282" spans="1:25">
      <c r="A1282" s="155" t="s">
        <v>82</v>
      </c>
      <c r="B1282" s="156">
        <v>42621</v>
      </c>
      <c r="C1282" s="155" t="s">
        <v>113</v>
      </c>
      <c r="D1282" s="155"/>
      <c r="E1282" s="155" t="s">
        <v>683</v>
      </c>
      <c r="F1282" s="157">
        <v>2000</v>
      </c>
      <c r="G1282" s="158">
        <v>15.85</v>
      </c>
      <c r="H1282" s="157">
        <v>12.68</v>
      </c>
      <c r="I1282" s="157"/>
      <c r="J1282" s="159">
        <v>31712.68</v>
      </c>
      <c r="K1282" s="6" t="s">
        <v>641</v>
      </c>
      <c r="L1282" s="20">
        <f>IF(ISNA(MATCH(Transactions[[#This Row],[TransType]],TransTypes[TransType],0)),1,MATCH(Transactions[[#This Row],[TransType]],TransTypes[TransType],0))</f>
        <v>2</v>
      </c>
      <c r="M1282" s="160">
        <f>IF( AND( INDEX(TransTypes[],Transactions[[#This Row],[TTR]],TT_COL_GLFlag)=1, INDEX(TransTypes[],Transactions[[#This Row],[TTR]],TT_COL_LONGORSHORT)="S" ),
      Transactions[[#This Row],[PL]],
      IF(INDEX(TransTypes[],Transactions[[#This Row],[TTR]],TT_COL_LONGORSHORT)="S",0,Transactions[[#This Row],[CalCashImpact]])
)</f>
        <v>-31712.68</v>
      </c>
      <c r="N1282" s="161">
        <f>IF(VLOOKUP(Transactions[[#This Row],[Symbol]],Symbols[],COLUMN(Symbols[Currency])-COLUMN(Symbols[])+1,FALSE)=
       VLOOKUP(Transactions[[#This Row],[Account]],Accounts[],COLUMN(Accounts[Currency])-COLUMN(Accounts[])+1,FALSE),
     Transactions[[#This Row],[OrigCashImpact]],
     0
)</f>
        <v>-31712.68</v>
      </c>
      <c r="O12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2405949.0399999991</v>
      </c>
      <c r="P12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282" s="41">
        <f>ROW()</f>
        <v>1282</v>
      </c>
      <c r="S12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31712.68</v>
      </c>
      <c r="T12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79311.709999999992</v>
      </c>
      <c r="U12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82" s="166">
        <f>IF(INDEX(TransTypes[],Transactions[[#This Row],[TTR]],TT_COL_GLFlag)=1,Transactions[[#This Row],[CalCashImpact]]+Transactions[[#This Row],[CostImpact]],0)</f>
        <v>0</v>
      </c>
      <c r="W1282" s="167">
        <f>Transactions[[#This Row],[Amount]]*INDEX(TransTypes[],Transactions[[#This Row],[TTR]],TT_COL_AmntSign)</f>
        <v>-31712.68</v>
      </c>
      <c r="X1282" s="167">
        <f>IF(INDEX(TransTypes[],Transactions[[#This Row],[TTR]],TT_COL_LONGORSHORT)="S",
      IF( OR(INDEX(TransTypes[],Transactions[[#This Row],[TTR]],TT_COL_GLFlag)=1, INDEX(TransTypes[], Transactions[[#This Row],[TTR]], TT_COL_ShareTransferFlag)=1),
            Transactions[[#This Row],[CostImpact]]*-1,
            Transactions[[#This Row],[CalCashImpact]]
      ),
     0
)</f>
        <v>0</v>
      </c>
      <c r="Y1282" s="168" t="str">
        <f>VLOOKUP(Transactions[[#This Row],[Symbol]],Symbols[], COLUMN(Symbols[Currency])-COLUMN(Symbols[])+1,FALSE)</f>
        <v>CNY</v>
      </c>
    </row>
    <row r="1283" spans="1:25">
      <c r="A1283" s="155" t="s">
        <v>82</v>
      </c>
      <c r="B1283" s="156">
        <v>42621</v>
      </c>
      <c r="C1283" s="155" t="s">
        <v>113</v>
      </c>
      <c r="D1283" s="155"/>
      <c r="E1283" s="155" t="s">
        <v>711</v>
      </c>
      <c r="F1283" s="157">
        <v>3000</v>
      </c>
      <c r="G1283" s="158">
        <v>18.971</v>
      </c>
      <c r="H1283" s="157">
        <v>22.76</v>
      </c>
      <c r="I1283" s="157"/>
      <c r="J1283" s="159">
        <v>56935.76</v>
      </c>
      <c r="K1283" s="6" t="s">
        <v>641</v>
      </c>
      <c r="L1283" s="20">
        <f>IF(ISNA(MATCH(Transactions[[#This Row],[TransType]],TransTypes[TransType],0)),1,MATCH(Transactions[[#This Row],[TransType]],TransTypes[TransType],0))</f>
        <v>2</v>
      </c>
      <c r="M1283" s="160">
        <f>IF( AND( INDEX(TransTypes[],Transactions[[#This Row],[TTR]],TT_COL_GLFlag)=1, INDEX(TransTypes[],Transactions[[#This Row],[TTR]],TT_COL_LONGORSHORT)="S" ),
      Transactions[[#This Row],[PL]],
      IF(INDEX(TransTypes[],Transactions[[#This Row],[TTR]],TT_COL_LONGORSHORT)="S",0,Transactions[[#This Row],[CalCashImpact]])
)</f>
        <v>-56935.76</v>
      </c>
      <c r="N1283" s="161">
        <f>IF(VLOOKUP(Transactions[[#This Row],[Symbol]],Symbols[],COLUMN(Symbols[Currency])-COLUMN(Symbols[])+1,FALSE)=
       VLOOKUP(Transactions[[#This Row],[Account]],Accounts[],COLUMN(Accounts[Currency])-COLUMN(Accounts[])+1,FALSE),
     Transactions[[#This Row],[OrigCashImpact]],
     0
)</f>
        <v>-56935.76</v>
      </c>
      <c r="O12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2349013.2799999989</v>
      </c>
      <c r="P12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2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283" s="41">
        <f>ROW()</f>
        <v>1283</v>
      </c>
      <c r="S12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56935.76</v>
      </c>
      <c r="T12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240434.13</v>
      </c>
      <c r="U12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283" s="166">
        <f>IF(INDEX(TransTypes[],Transactions[[#This Row],[TTR]],TT_COL_GLFlag)=1,Transactions[[#This Row],[CalCashImpact]]+Transactions[[#This Row],[CostImpact]],0)</f>
        <v>0</v>
      </c>
      <c r="W1283" s="167">
        <f>Transactions[[#This Row],[Amount]]*INDEX(TransTypes[],Transactions[[#This Row],[TTR]],TT_COL_AmntSign)</f>
        <v>-56935.76</v>
      </c>
      <c r="X1283" s="167">
        <f>IF(INDEX(TransTypes[],Transactions[[#This Row],[TTR]],TT_COL_LONGORSHORT)="S",
      IF( OR(INDEX(TransTypes[],Transactions[[#This Row],[TTR]],TT_COL_GLFlag)=1, INDEX(TransTypes[], Transactions[[#This Row],[TTR]], TT_COL_ShareTransferFlag)=1),
            Transactions[[#This Row],[CostImpact]]*-1,
            Transactions[[#This Row],[CalCashImpact]]
      ),
     0
)</f>
        <v>0</v>
      </c>
      <c r="Y1283" s="168" t="str">
        <f>VLOOKUP(Transactions[[#This Row],[Symbol]],Symbols[], COLUMN(Symbols[Currency])-COLUMN(Symbols[])+1,FALSE)</f>
        <v>CNY</v>
      </c>
    </row>
    <row r="1284" spans="1:25">
      <c r="A1284" s="155" t="s">
        <v>82</v>
      </c>
      <c r="B1284" s="156">
        <v>42621</v>
      </c>
      <c r="C1284" s="155" t="s">
        <v>115</v>
      </c>
      <c r="D1284" s="155"/>
      <c r="E1284" s="155" t="s">
        <v>708</v>
      </c>
      <c r="F1284" s="157">
        <v>6425</v>
      </c>
      <c r="G1284" s="158">
        <v>21.341999999999999</v>
      </c>
      <c r="H1284" s="157">
        <v>194.72</v>
      </c>
      <c r="I1284" s="157"/>
      <c r="J1284" s="159">
        <v>136927.63</v>
      </c>
      <c r="K1284" s="6" t="s">
        <v>641</v>
      </c>
      <c r="L1284" s="20">
        <f>IF(ISNA(MATCH(Transactions[[#This Row],[TransType]],TransTypes[TransType],0)),1,MATCH(Transactions[[#This Row],[TransType]],TransTypes[TransType],0))</f>
        <v>3</v>
      </c>
      <c r="M1284" s="160">
        <f>IF( AND( INDEX(TransTypes[],Transactions[[#This Row],[TTR]],TT_COL_GLFlag)=1, INDEX(TransTypes[],Transactions[[#This Row],[TTR]],TT_COL_LONGORSHORT)="S" ),
      Transactions[[#This Row],[PL]],
      IF(INDEX(TransTypes[],Transactions[[#This Row],[TTR]],TT_COL_LONGORSHORT)="S",0,Transactions[[#This Row],[CalCashImpact]])
)</f>
        <v>136927.63</v>
      </c>
      <c r="N1284" s="161">
        <f>IF(VLOOKUP(Transactions[[#This Row],[Symbol]],Symbols[],COLUMN(Symbols[Currency])-COLUMN(Symbols[])+1,FALSE)=
       VLOOKUP(Transactions[[#This Row],[Account]],Accounts[],COLUMN(Accounts[Currency])-COLUMN(Accounts[])+1,FALSE),
     Transactions[[#This Row],[OrigCashImpact]],
     0
)</f>
        <v>136927.63</v>
      </c>
      <c r="O12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2485940.9099999992</v>
      </c>
      <c r="P12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-6425</v>
      </c>
      <c r="Q12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284" s="41">
        <f>ROW()</f>
        <v>1284</v>
      </c>
      <c r="S12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-135945.19</v>
      </c>
      <c r="T12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2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6425</v>
      </c>
      <c r="V1284" s="166">
        <f>IF(INDEX(TransTypes[],Transactions[[#This Row],[TTR]],TT_COL_GLFlag)=1,Transactions[[#This Row],[CalCashImpact]]+Transactions[[#This Row],[CostImpact]],0)</f>
        <v>982.44000000000233</v>
      </c>
      <c r="W1284" s="167">
        <f>Transactions[[#This Row],[Amount]]*INDEX(TransTypes[],Transactions[[#This Row],[TTR]],TT_COL_AmntSign)</f>
        <v>136927.63</v>
      </c>
      <c r="X1284" s="167">
        <f>IF(INDEX(TransTypes[],Transactions[[#This Row],[TTR]],TT_COL_LONGORSHORT)="S",
      IF( OR(INDEX(TransTypes[],Transactions[[#This Row],[TTR]],TT_COL_GLFlag)=1, INDEX(TransTypes[], Transactions[[#This Row],[TTR]], TT_COL_ShareTransferFlag)=1),
            Transactions[[#This Row],[CostImpact]]*-1,
            Transactions[[#This Row],[CalCashImpact]]
      ),
     0
)</f>
        <v>0</v>
      </c>
      <c r="Y1284" s="168" t="str">
        <f>VLOOKUP(Transactions[[#This Row],[Symbol]],Symbols[], COLUMN(Symbols[Currency])-COLUMN(Symbols[])+1,FALSE)</f>
        <v>CNY</v>
      </c>
    </row>
    <row r="1285" spans="1:25">
      <c r="A1285" s="155" t="s">
        <v>82</v>
      </c>
      <c r="B1285" s="156">
        <v>42622</v>
      </c>
      <c r="C1285" s="155" t="s">
        <v>115</v>
      </c>
      <c r="D1285" s="155"/>
      <c r="E1285" s="155" t="s">
        <v>712</v>
      </c>
      <c r="F1285" s="157">
        <v>100000</v>
      </c>
      <c r="G1285" s="158">
        <v>0.91600000000000004</v>
      </c>
      <c r="H1285" s="157">
        <v>36.64</v>
      </c>
      <c r="I1285" s="157"/>
      <c r="J1285" s="159">
        <v>91563.36</v>
      </c>
      <c r="K1285" s="6" t="s">
        <v>641</v>
      </c>
      <c r="L1285" s="20">
        <f>IF(ISNA(MATCH(Transactions[[#This Row],[TransType]],TransTypes[TransType],0)),1,MATCH(Transactions[[#This Row],[TransType]],TransTypes[TransType],0))</f>
        <v>3</v>
      </c>
      <c r="M1285" s="160">
        <f>IF( AND( INDEX(TransTypes[],Transactions[[#This Row],[TTR]],TT_COL_GLFlag)=1, INDEX(TransTypes[],Transactions[[#This Row],[TTR]],TT_COL_LONGORSHORT)="S" ),
      Transactions[[#This Row],[PL]],
      IF(INDEX(TransTypes[],Transactions[[#This Row],[TTR]],TT_COL_LONGORSHORT)="S",0,Transactions[[#This Row],[CalCashImpact]])
)</f>
        <v>91563.36</v>
      </c>
      <c r="N1285" s="161">
        <f>IF(VLOOKUP(Transactions[[#This Row],[Symbol]],Symbols[],COLUMN(Symbols[Currency])-COLUMN(Symbols[])+1,FALSE)=
       VLOOKUP(Transactions[[#This Row],[Account]],Accounts[],COLUMN(Accounts[Currency])-COLUMN(Accounts[])+1,FALSE),
     Transactions[[#This Row],[OrigCashImpact]],
     0
)</f>
        <v>91563.36</v>
      </c>
      <c r="O12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2577504.2699999991</v>
      </c>
      <c r="P12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12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100000</v>
      </c>
      <c r="R1285" s="41">
        <f>ROW()</f>
        <v>1285</v>
      </c>
      <c r="S12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-80932.36</v>
      </c>
      <c r="T12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80932.36</v>
      </c>
      <c r="U12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200000</v>
      </c>
      <c r="V1285" s="166">
        <f>IF(INDEX(TransTypes[],Transactions[[#This Row],[TTR]],TT_COL_GLFlag)=1,Transactions[[#This Row],[CalCashImpact]]+Transactions[[#This Row],[CostImpact]],0)</f>
        <v>10631</v>
      </c>
      <c r="W1285" s="167">
        <f>Transactions[[#This Row],[Amount]]*INDEX(TransTypes[],Transactions[[#This Row],[TTR]],TT_COL_AmntSign)</f>
        <v>91563.36</v>
      </c>
      <c r="X1285" s="167">
        <f>IF(INDEX(TransTypes[],Transactions[[#This Row],[TTR]],TT_COL_LONGORSHORT)="S",
      IF( OR(INDEX(TransTypes[],Transactions[[#This Row],[TTR]],TT_COL_GLFlag)=1, INDEX(TransTypes[], Transactions[[#This Row],[TTR]], TT_COL_ShareTransferFlag)=1),
            Transactions[[#This Row],[CostImpact]]*-1,
            Transactions[[#This Row],[CalCashImpact]]
      ),
     0
)</f>
        <v>0</v>
      </c>
      <c r="Y1285" s="168" t="str">
        <f>VLOOKUP(Transactions[[#This Row],[Symbol]],Symbols[], COLUMN(Symbols[Currency])-COLUMN(Symbols[])+1,FALSE)</f>
        <v>CNY</v>
      </c>
    </row>
    <row r="1286" spans="1:25">
      <c r="A1286" s="155" t="s">
        <v>82</v>
      </c>
      <c r="B1286" s="156">
        <v>42625</v>
      </c>
      <c r="C1286" s="155" t="s">
        <v>115</v>
      </c>
      <c r="D1286" s="155"/>
      <c r="E1286" s="155" t="s">
        <v>710</v>
      </c>
      <c r="F1286" s="157">
        <v>2000</v>
      </c>
      <c r="G1286" s="158">
        <v>24.24</v>
      </c>
      <c r="H1286" s="157">
        <v>67.86</v>
      </c>
      <c r="I1286" s="157"/>
      <c r="J1286" s="159">
        <v>48412.14</v>
      </c>
      <c r="K1286" s="6" t="s">
        <v>641</v>
      </c>
      <c r="L1286" s="20">
        <f>IF(ISNA(MATCH(Transactions[[#This Row],[TransType]],TransTypes[TransType],0)),1,MATCH(Transactions[[#This Row],[TransType]],TransTypes[TransType],0))</f>
        <v>3</v>
      </c>
      <c r="M1286" s="160">
        <f>IF( AND( INDEX(TransTypes[],Transactions[[#This Row],[TTR]],TT_COL_GLFlag)=1, INDEX(TransTypes[],Transactions[[#This Row],[TTR]],TT_COL_LONGORSHORT)="S" ),
      Transactions[[#This Row],[PL]],
      IF(INDEX(TransTypes[],Transactions[[#This Row],[TTR]],TT_COL_LONGORSHORT)="S",0,Transactions[[#This Row],[CalCashImpact]])
)</f>
        <v>48412.14</v>
      </c>
      <c r="N1286" s="161">
        <f>IF(VLOOKUP(Transactions[[#This Row],[Symbol]],Symbols[],COLUMN(Symbols[Currency])-COLUMN(Symbols[])+1,FALSE)=
       VLOOKUP(Transactions[[#This Row],[Account]],Accounts[],COLUMN(Accounts[Currency])-COLUMN(Accounts[])+1,FALSE),
     Transactions[[#This Row],[OrigCashImpact]],
     0
)</f>
        <v>48412.14</v>
      </c>
      <c r="O12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2625916.4099999992</v>
      </c>
      <c r="P12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286" s="41">
        <f>ROW()</f>
        <v>1286</v>
      </c>
      <c r="S12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-44596.23066666667</v>
      </c>
      <c r="T12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222981.15333333335</v>
      </c>
      <c r="U12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286" s="166">
        <f>IF(INDEX(TransTypes[],Transactions[[#This Row],[TTR]],TT_COL_GLFlag)=1,Transactions[[#This Row],[CalCashImpact]]+Transactions[[#This Row],[CostImpact]],0)</f>
        <v>3815.9093333333294</v>
      </c>
      <c r="W1286" s="167">
        <f>Transactions[[#This Row],[Amount]]*INDEX(TransTypes[],Transactions[[#This Row],[TTR]],TT_COL_AmntSign)</f>
        <v>48412.14</v>
      </c>
      <c r="X1286" s="167">
        <f>IF(INDEX(TransTypes[],Transactions[[#This Row],[TTR]],TT_COL_LONGORSHORT)="S",
      IF( OR(INDEX(TransTypes[],Transactions[[#This Row],[TTR]],TT_COL_GLFlag)=1, INDEX(TransTypes[], Transactions[[#This Row],[TTR]], TT_COL_ShareTransferFlag)=1),
            Transactions[[#This Row],[CostImpact]]*-1,
            Transactions[[#This Row],[CalCashImpact]]
      ),
     0
)</f>
        <v>0</v>
      </c>
      <c r="Y1286" s="168" t="str">
        <f>VLOOKUP(Transactions[[#This Row],[Symbol]],Symbols[], COLUMN(Symbols[Currency])-COLUMN(Symbols[])+1,FALSE)</f>
        <v>CNY</v>
      </c>
    </row>
    <row r="1287" spans="1:25">
      <c r="A1287" s="155" t="s">
        <v>82</v>
      </c>
      <c r="B1287" s="156">
        <v>42625</v>
      </c>
      <c r="C1287" s="155" t="s">
        <v>115</v>
      </c>
      <c r="D1287" s="155"/>
      <c r="E1287" s="155" t="s">
        <v>644</v>
      </c>
      <c r="F1287" s="157">
        <v>1000</v>
      </c>
      <c r="G1287" s="158">
        <v>66.84</v>
      </c>
      <c r="H1287" s="157">
        <v>93.58</v>
      </c>
      <c r="I1287" s="157"/>
      <c r="J1287" s="159">
        <v>66746.42</v>
      </c>
      <c r="K1287" s="6" t="s">
        <v>641</v>
      </c>
      <c r="L1287" s="20">
        <f>IF(ISNA(MATCH(Transactions[[#This Row],[TransType]],TransTypes[TransType],0)),1,MATCH(Transactions[[#This Row],[TransType]],TransTypes[TransType],0))</f>
        <v>3</v>
      </c>
      <c r="M1287" s="160">
        <f>IF( AND( INDEX(TransTypes[],Transactions[[#This Row],[TTR]],TT_COL_GLFlag)=1, INDEX(TransTypes[],Transactions[[#This Row],[TTR]],TT_COL_LONGORSHORT)="S" ),
      Transactions[[#This Row],[PL]],
      IF(INDEX(TransTypes[],Transactions[[#This Row],[TTR]],TT_COL_LONGORSHORT)="S",0,Transactions[[#This Row],[CalCashImpact]])
)</f>
        <v>66746.42</v>
      </c>
      <c r="N1287" s="161">
        <f>IF(VLOOKUP(Transactions[[#This Row],[Symbol]],Symbols[],COLUMN(Symbols[Currency])-COLUMN(Symbols[])+1,FALSE)=
       VLOOKUP(Transactions[[#This Row],[Account]],Accounts[],COLUMN(Accounts[Currency])-COLUMN(Accounts[])+1,FALSE),
     Transactions[[#This Row],[OrigCashImpact]],
     0
)</f>
        <v>66746.42</v>
      </c>
      <c r="O12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2692662.8299999991</v>
      </c>
      <c r="P12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2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1287" s="41">
        <f>ROW()</f>
        <v>1287</v>
      </c>
      <c r="S12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-66165.377120181409</v>
      </c>
      <c r="T12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165413.44280045351</v>
      </c>
      <c r="U12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287" s="166">
        <f>IF(INDEX(TransTypes[],Transactions[[#This Row],[TTR]],TT_COL_GLFlag)=1,Transactions[[#This Row],[CalCashImpact]]+Transactions[[#This Row],[CostImpact]],0)</f>
        <v>581.04287981858943</v>
      </c>
      <c r="W1287" s="167">
        <f>Transactions[[#This Row],[Amount]]*INDEX(TransTypes[],Transactions[[#This Row],[TTR]],TT_COL_AmntSign)</f>
        <v>66746.42</v>
      </c>
      <c r="X1287" s="167">
        <f>IF(INDEX(TransTypes[],Transactions[[#This Row],[TTR]],TT_COL_LONGORSHORT)="S",
      IF( OR(INDEX(TransTypes[],Transactions[[#This Row],[TTR]],TT_COL_GLFlag)=1, INDEX(TransTypes[], Transactions[[#This Row],[TTR]], TT_COL_ShareTransferFlag)=1),
            Transactions[[#This Row],[CostImpact]]*-1,
            Transactions[[#This Row],[CalCashImpact]]
      ),
     0
)</f>
        <v>0</v>
      </c>
      <c r="Y1287" s="168" t="str">
        <f>VLOOKUP(Transactions[[#This Row],[Symbol]],Symbols[], COLUMN(Symbols[Currency])-COLUMN(Symbols[])+1,FALSE)</f>
        <v>CNY</v>
      </c>
    </row>
    <row r="1288" spans="1:25">
      <c r="A1288" s="155" t="s">
        <v>82</v>
      </c>
      <c r="B1288" s="156">
        <v>42625</v>
      </c>
      <c r="C1288" s="155" t="s">
        <v>115</v>
      </c>
      <c r="D1288" s="155"/>
      <c r="E1288" s="155" t="s">
        <v>704</v>
      </c>
      <c r="F1288" s="157">
        <v>400</v>
      </c>
      <c r="G1288" s="158">
        <v>23.2</v>
      </c>
      <c r="H1288" s="157">
        <v>14.28</v>
      </c>
      <c r="I1288" s="157"/>
      <c r="J1288" s="159">
        <v>9265.7199999999993</v>
      </c>
      <c r="K1288" s="6" t="s">
        <v>641</v>
      </c>
      <c r="L1288" s="20">
        <f>IF(ISNA(MATCH(Transactions[[#This Row],[TransType]],TransTypes[TransType],0)),1,MATCH(Transactions[[#This Row],[TransType]],TransTypes[TransType],0))</f>
        <v>3</v>
      </c>
      <c r="M1288" s="160">
        <f>IF( AND( INDEX(TransTypes[],Transactions[[#This Row],[TTR]],TT_COL_GLFlag)=1, INDEX(TransTypes[],Transactions[[#This Row],[TTR]],TT_COL_LONGORSHORT)="S" ),
      Transactions[[#This Row],[PL]],
      IF(INDEX(TransTypes[],Transactions[[#This Row],[TTR]],TT_COL_LONGORSHORT)="S",0,Transactions[[#This Row],[CalCashImpact]])
)</f>
        <v>9265.7199999999993</v>
      </c>
      <c r="N1288" s="161">
        <f>IF(VLOOKUP(Transactions[[#This Row],[Symbol]],Symbols[],COLUMN(Symbols[Currency])-COLUMN(Symbols[])+1,FALSE)=
       VLOOKUP(Transactions[[#This Row],[Account]],Accounts[],COLUMN(Accounts[Currency])-COLUMN(Accounts[])+1,FALSE),
     Transactions[[#This Row],[OrigCashImpact]],
     0
)</f>
        <v>9265.7199999999993</v>
      </c>
      <c r="O12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2701928.5499999989</v>
      </c>
      <c r="P12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2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288" s="41">
        <f>ROW()</f>
        <v>1288</v>
      </c>
      <c r="S12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-8774.7584999999999</v>
      </c>
      <c r="T12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131621.3775</v>
      </c>
      <c r="U12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6400</v>
      </c>
      <c r="V1288" s="166">
        <f>IF(INDEX(TransTypes[],Transactions[[#This Row],[TTR]],TT_COL_GLFlag)=1,Transactions[[#This Row],[CalCashImpact]]+Transactions[[#This Row],[CostImpact]],0)</f>
        <v>490.96149999999943</v>
      </c>
      <c r="W1288" s="167">
        <f>Transactions[[#This Row],[Amount]]*INDEX(TransTypes[],Transactions[[#This Row],[TTR]],TT_COL_AmntSign)</f>
        <v>9265.7199999999993</v>
      </c>
      <c r="X1288" s="167">
        <f>IF(INDEX(TransTypes[],Transactions[[#This Row],[TTR]],TT_COL_LONGORSHORT)="S",
      IF( OR(INDEX(TransTypes[],Transactions[[#This Row],[TTR]],TT_COL_GLFlag)=1, INDEX(TransTypes[], Transactions[[#This Row],[TTR]], TT_COL_ShareTransferFlag)=1),
            Transactions[[#This Row],[CostImpact]]*-1,
            Transactions[[#This Row],[CalCashImpact]]
      ),
     0
)</f>
        <v>0</v>
      </c>
      <c r="Y1288" s="168" t="str">
        <f>VLOOKUP(Transactions[[#This Row],[Symbol]],Symbols[], COLUMN(Symbols[Currency])-COLUMN(Symbols[])+1,FALSE)</f>
        <v>CNY</v>
      </c>
    </row>
    <row r="1289" spans="1:25">
      <c r="A1289" s="155" t="s">
        <v>82</v>
      </c>
      <c r="B1289" s="156">
        <v>42625</v>
      </c>
      <c r="C1289" s="155" t="s">
        <v>115</v>
      </c>
      <c r="D1289" s="155"/>
      <c r="E1289" s="155" t="s">
        <v>675</v>
      </c>
      <c r="F1289" s="157">
        <v>50000</v>
      </c>
      <c r="G1289" s="158">
        <v>1.254</v>
      </c>
      <c r="H1289" s="157">
        <v>25.08</v>
      </c>
      <c r="I1289" s="157"/>
      <c r="J1289" s="159">
        <v>62674.92</v>
      </c>
      <c r="K1289" s="6" t="s">
        <v>641</v>
      </c>
      <c r="L1289" s="20">
        <f>IF(ISNA(MATCH(Transactions[[#This Row],[TransType]],TransTypes[TransType],0)),1,MATCH(Transactions[[#This Row],[TransType]],TransTypes[TransType],0))</f>
        <v>3</v>
      </c>
      <c r="M1289" s="160">
        <f>IF( AND( INDEX(TransTypes[],Transactions[[#This Row],[TTR]],TT_COL_GLFlag)=1, INDEX(TransTypes[],Transactions[[#This Row],[TTR]],TT_COL_LONGORSHORT)="S" ),
      Transactions[[#This Row],[PL]],
      IF(INDEX(TransTypes[],Transactions[[#This Row],[TTR]],TT_COL_LONGORSHORT)="S",0,Transactions[[#This Row],[CalCashImpact]])
)</f>
        <v>62674.92</v>
      </c>
      <c r="N1289" s="161">
        <f>IF(VLOOKUP(Transactions[[#This Row],[Symbol]],Symbols[],COLUMN(Symbols[Currency])-COLUMN(Symbols[])+1,FALSE)=
       VLOOKUP(Transactions[[#This Row],[Account]],Accounts[],COLUMN(Accounts[Currency])-COLUMN(Accounts[])+1,FALSE),
     Transactions[[#This Row],[OrigCashImpact]],
     0
)</f>
        <v>62674.92</v>
      </c>
      <c r="O12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2764603.4699999993</v>
      </c>
      <c r="P12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2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190000</v>
      </c>
      <c r="R1289" s="41">
        <f>ROW()</f>
        <v>1289</v>
      </c>
      <c r="S12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-48949.30112612612</v>
      </c>
      <c r="T12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186007.34427927926</v>
      </c>
      <c r="U12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240000</v>
      </c>
      <c r="V1289" s="166">
        <f>IF(INDEX(TransTypes[],Transactions[[#This Row],[TTR]],TT_COL_GLFlag)=1,Transactions[[#This Row],[CalCashImpact]]+Transactions[[#This Row],[CostImpact]],0)</f>
        <v>13725.618873873878</v>
      </c>
      <c r="W1289" s="167">
        <f>Transactions[[#This Row],[Amount]]*INDEX(TransTypes[],Transactions[[#This Row],[TTR]],TT_COL_AmntSign)</f>
        <v>62674.92</v>
      </c>
      <c r="X1289" s="167">
        <f>IF(INDEX(TransTypes[],Transactions[[#This Row],[TTR]],TT_COL_LONGORSHORT)="S",
      IF( OR(INDEX(TransTypes[],Transactions[[#This Row],[TTR]],TT_COL_GLFlag)=1, INDEX(TransTypes[], Transactions[[#This Row],[TTR]], TT_COL_ShareTransferFlag)=1),
            Transactions[[#This Row],[CostImpact]]*-1,
            Transactions[[#This Row],[CalCashImpact]]
      ),
     0
)</f>
        <v>0</v>
      </c>
      <c r="Y1289" s="168" t="str">
        <f>VLOOKUP(Transactions[[#This Row],[Symbol]],Symbols[], COLUMN(Symbols[Currency])-COLUMN(Symbols[])+1,FALSE)</f>
        <v>CNY</v>
      </c>
    </row>
    <row r="1290" spans="1:25">
      <c r="A1290" s="155" t="s">
        <v>82</v>
      </c>
      <c r="B1290" s="156">
        <v>42625</v>
      </c>
      <c r="C1290" s="155" t="s">
        <v>115</v>
      </c>
      <c r="D1290" s="155"/>
      <c r="E1290" s="155" t="s">
        <v>705</v>
      </c>
      <c r="F1290" s="157">
        <v>1000</v>
      </c>
      <c r="G1290" s="158">
        <v>22.827999999999999</v>
      </c>
      <c r="H1290" s="157">
        <v>32.42</v>
      </c>
      <c r="I1290" s="157"/>
      <c r="J1290" s="159">
        <v>22795.58</v>
      </c>
      <c r="K1290" s="6" t="s">
        <v>641</v>
      </c>
      <c r="L1290" s="20">
        <f>IF(ISNA(MATCH(Transactions[[#This Row],[TransType]],TransTypes[TransType],0)),1,MATCH(Transactions[[#This Row],[TransType]],TransTypes[TransType],0))</f>
        <v>3</v>
      </c>
      <c r="M1290" s="160">
        <f>IF( AND( INDEX(TransTypes[],Transactions[[#This Row],[TTR]],TT_COL_GLFlag)=1, INDEX(TransTypes[],Transactions[[#This Row],[TTR]],TT_COL_LONGORSHORT)="S" ),
      Transactions[[#This Row],[PL]],
      IF(INDEX(TransTypes[],Transactions[[#This Row],[TTR]],TT_COL_LONGORSHORT)="S",0,Transactions[[#This Row],[CalCashImpact]])
)</f>
        <v>22795.58</v>
      </c>
      <c r="N1290" s="161">
        <f>IF(VLOOKUP(Transactions[[#This Row],[Symbol]],Symbols[],COLUMN(Symbols[Currency])-COLUMN(Symbols[])+1,FALSE)=
       VLOOKUP(Transactions[[#This Row],[Account]],Accounts[],COLUMN(Accounts[Currency])-COLUMN(Accounts[])+1,FALSE),
     Transactions[[#This Row],[OrigCashImpact]],
     0
)</f>
        <v>22795.58</v>
      </c>
      <c r="O12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2787399.0499999989</v>
      </c>
      <c r="P12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2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290" s="41">
        <f>ROW()</f>
        <v>1290</v>
      </c>
      <c r="S12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-19158.045714285712</v>
      </c>
      <c r="T12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76632.182857142849</v>
      </c>
      <c r="U12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290" s="166">
        <f>IF(INDEX(TransTypes[],Transactions[[#This Row],[TTR]],TT_COL_GLFlag)=1,Transactions[[#This Row],[CalCashImpact]]+Transactions[[#This Row],[CostImpact]],0)</f>
        <v>3637.5342857142896</v>
      </c>
      <c r="W1290" s="167">
        <f>Transactions[[#This Row],[Amount]]*INDEX(TransTypes[],Transactions[[#This Row],[TTR]],TT_COL_AmntSign)</f>
        <v>22795.58</v>
      </c>
      <c r="X1290" s="167">
        <f>IF(INDEX(TransTypes[],Transactions[[#This Row],[TTR]],TT_COL_LONGORSHORT)="S",
      IF( OR(INDEX(TransTypes[],Transactions[[#This Row],[TTR]],TT_COL_GLFlag)=1, INDEX(TransTypes[], Transactions[[#This Row],[TTR]], TT_COL_ShareTransferFlag)=1),
            Transactions[[#This Row],[CostImpact]]*-1,
            Transactions[[#This Row],[CalCashImpact]]
      ),
     0
)</f>
        <v>0</v>
      </c>
      <c r="Y1290" s="168" t="str">
        <f>VLOOKUP(Transactions[[#This Row],[Symbol]],Symbols[], COLUMN(Symbols[Currency])-COLUMN(Symbols[])+1,FALSE)</f>
        <v>CNY</v>
      </c>
    </row>
    <row r="1291" spans="1:25">
      <c r="A1291" s="155" t="s">
        <v>82</v>
      </c>
      <c r="B1291" s="156">
        <v>42625</v>
      </c>
      <c r="C1291" s="155" t="s">
        <v>115</v>
      </c>
      <c r="D1291" s="155"/>
      <c r="E1291" s="155" t="s">
        <v>665</v>
      </c>
      <c r="F1291" s="157">
        <v>80000</v>
      </c>
      <c r="G1291" s="158">
        <v>1.044</v>
      </c>
      <c r="H1291" s="157">
        <v>33.409999999999997</v>
      </c>
      <c r="I1291" s="157"/>
      <c r="J1291" s="159">
        <v>83486.59</v>
      </c>
      <c r="K1291" s="6" t="s">
        <v>641</v>
      </c>
      <c r="L1291" s="20">
        <f>IF(ISNA(MATCH(Transactions[[#This Row],[TransType]],TransTypes[TransType],0)),1,MATCH(Transactions[[#This Row],[TransType]],TransTypes[TransType],0))</f>
        <v>3</v>
      </c>
      <c r="M1291" s="160">
        <f>IF( AND( INDEX(TransTypes[],Transactions[[#This Row],[TTR]],TT_COL_GLFlag)=1, INDEX(TransTypes[],Transactions[[#This Row],[TTR]],TT_COL_LONGORSHORT)="S" ),
      Transactions[[#This Row],[PL]],
      IF(INDEX(TransTypes[],Transactions[[#This Row],[TTR]],TT_COL_LONGORSHORT)="S",0,Transactions[[#This Row],[CalCashImpact]])
)</f>
        <v>83486.59</v>
      </c>
      <c r="N1291" s="161">
        <f>IF(VLOOKUP(Transactions[[#This Row],[Symbol]],Symbols[],COLUMN(Symbols[Currency])-COLUMN(Symbols[])+1,FALSE)=
       VLOOKUP(Transactions[[#This Row],[Account]],Accounts[],COLUMN(Accounts[Currency])-COLUMN(Accounts[])+1,FALSE),
     Transactions[[#This Row],[OrigCashImpact]],
     0
)</f>
        <v>83486.59</v>
      </c>
      <c r="O12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2870885.6399999992</v>
      </c>
      <c r="P12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-80000</v>
      </c>
      <c r="Q12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200000</v>
      </c>
      <c r="R1291" s="41">
        <f>ROW()</f>
        <v>1291</v>
      </c>
      <c r="S12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-73558.493760787853</v>
      </c>
      <c r="T12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183896.23440196962</v>
      </c>
      <c r="U12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280000</v>
      </c>
      <c r="V1291" s="166">
        <f>IF(INDEX(TransTypes[],Transactions[[#This Row],[TTR]],TT_COL_GLFlag)=1,Transactions[[#This Row],[CalCashImpact]]+Transactions[[#This Row],[CostImpact]],0)</f>
        <v>9928.0962392121437</v>
      </c>
      <c r="W1291" s="167">
        <f>Transactions[[#This Row],[Amount]]*INDEX(TransTypes[],Transactions[[#This Row],[TTR]],TT_COL_AmntSign)</f>
        <v>83486.59</v>
      </c>
      <c r="X1291" s="167">
        <f>IF(INDEX(TransTypes[],Transactions[[#This Row],[TTR]],TT_COL_LONGORSHORT)="S",
      IF( OR(INDEX(TransTypes[],Transactions[[#This Row],[TTR]],TT_COL_GLFlag)=1, INDEX(TransTypes[], Transactions[[#This Row],[TTR]], TT_COL_ShareTransferFlag)=1),
            Transactions[[#This Row],[CostImpact]]*-1,
            Transactions[[#This Row],[CalCashImpact]]
      ),
     0
)</f>
        <v>0</v>
      </c>
      <c r="Y1291" s="168" t="str">
        <f>VLOOKUP(Transactions[[#This Row],[Symbol]],Symbols[], COLUMN(Symbols[Currency])-COLUMN(Symbols[])+1,FALSE)</f>
        <v>CNY</v>
      </c>
    </row>
    <row r="1292" spans="1:25">
      <c r="A1292" s="155" t="s">
        <v>82</v>
      </c>
      <c r="B1292" s="156">
        <v>42626</v>
      </c>
      <c r="C1292" s="155" t="s">
        <v>118</v>
      </c>
      <c r="D1292" s="155"/>
      <c r="E1292" s="155" t="s">
        <v>705</v>
      </c>
      <c r="F1292" s="157"/>
      <c r="G1292" s="158"/>
      <c r="H1292" s="157"/>
      <c r="I1292" s="157"/>
      <c r="J1292" s="159">
        <v>1200</v>
      </c>
      <c r="K1292" s="6" t="s">
        <v>641</v>
      </c>
      <c r="L1292" s="20">
        <f>IF(ISNA(MATCH(Transactions[[#This Row],[TransType]],TransTypes[TransType],0)),1,MATCH(Transactions[[#This Row],[TransType]],TransTypes[TransType],0))</f>
        <v>4</v>
      </c>
      <c r="M1292" s="160">
        <f>IF( AND( INDEX(TransTypes[],Transactions[[#This Row],[TTR]],TT_COL_GLFlag)=1, INDEX(TransTypes[],Transactions[[#This Row],[TTR]],TT_COL_LONGORSHORT)="S" ),
      Transactions[[#This Row],[PL]],
      IF(INDEX(TransTypes[],Transactions[[#This Row],[TTR]],TT_COL_LONGORSHORT)="S",0,Transactions[[#This Row],[CalCashImpact]])
)</f>
        <v>1200</v>
      </c>
      <c r="N1292" s="161">
        <f>IF(VLOOKUP(Transactions[[#This Row],[Symbol]],Symbols[],COLUMN(Symbols[Currency])-COLUMN(Symbols[])+1,FALSE)=
       VLOOKUP(Transactions[[#This Row],[Account]],Accounts[],COLUMN(Accounts[Currency])-COLUMN(Accounts[])+1,FALSE),
     Transactions[[#This Row],[OrigCashImpact]],
     0
)</f>
        <v>1200</v>
      </c>
      <c r="O12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2872085.6399999992</v>
      </c>
      <c r="P12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2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292" s="41">
        <f>ROW()</f>
        <v>1292</v>
      </c>
      <c r="S12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2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76632.182857142849</v>
      </c>
      <c r="U12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292" s="166">
        <f>IF(INDEX(TransTypes[],Transactions[[#This Row],[TTR]],TT_COL_GLFlag)=1,Transactions[[#This Row],[CalCashImpact]]+Transactions[[#This Row],[CostImpact]],0)</f>
        <v>0</v>
      </c>
      <c r="W1292" s="167">
        <f>Transactions[[#This Row],[Amount]]*INDEX(TransTypes[],Transactions[[#This Row],[TTR]],TT_COL_AmntSign)</f>
        <v>1200</v>
      </c>
      <c r="X1292" s="167">
        <f>IF(INDEX(TransTypes[],Transactions[[#This Row],[TTR]],TT_COL_LONGORSHORT)="S",
      IF( OR(INDEX(TransTypes[],Transactions[[#This Row],[TTR]],TT_COL_GLFlag)=1, INDEX(TransTypes[], Transactions[[#This Row],[TTR]], TT_COL_ShareTransferFlag)=1),
            Transactions[[#This Row],[CostImpact]]*-1,
            Transactions[[#This Row],[CalCashImpact]]
      ),
     0
)</f>
        <v>0</v>
      </c>
      <c r="Y1292" s="168" t="str">
        <f>VLOOKUP(Transactions[[#This Row],[Symbol]],Symbols[], COLUMN(Symbols[Currency])-COLUMN(Symbols[])+1,FALSE)</f>
        <v>CNY</v>
      </c>
    </row>
    <row r="1293" spans="1:25">
      <c r="A1293" s="155" t="s">
        <v>82</v>
      </c>
      <c r="B1293" s="156">
        <v>42626</v>
      </c>
      <c r="C1293" s="155" t="s">
        <v>113</v>
      </c>
      <c r="D1293" s="155"/>
      <c r="E1293" s="155" t="s">
        <v>712</v>
      </c>
      <c r="F1293" s="157">
        <v>150000</v>
      </c>
      <c r="G1293" s="158">
        <v>0.85399999999999998</v>
      </c>
      <c r="H1293" s="157">
        <v>51.24</v>
      </c>
      <c r="I1293" s="157"/>
      <c r="J1293" s="159">
        <v>128151.24</v>
      </c>
      <c r="K1293" s="6" t="s">
        <v>641</v>
      </c>
      <c r="L1293" s="20">
        <f>IF(ISNA(MATCH(Transactions[[#This Row],[TransType]],TransTypes[TransType],0)),1,MATCH(Transactions[[#This Row],[TransType]],TransTypes[TransType],0))</f>
        <v>2</v>
      </c>
      <c r="M1293" s="160">
        <f>IF( AND( INDEX(TransTypes[],Transactions[[#This Row],[TTR]],TT_COL_GLFlag)=1, INDEX(TransTypes[],Transactions[[#This Row],[TTR]],TT_COL_LONGORSHORT)="S" ),
      Transactions[[#This Row],[PL]],
      IF(INDEX(TransTypes[],Transactions[[#This Row],[TTR]],TT_COL_LONGORSHORT)="S",0,Transactions[[#This Row],[CalCashImpact]])
)</f>
        <v>-128151.24</v>
      </c>
      <c r="N1293" s="161">
        <f>IF(VLOOKUP(Transactions[[#This Row],[Symbol]],Symbols[],COLUMN(Symbols[Currency])-COLUMN(Symbols[])+1,FALSE)=
       VLOOKUP(Transactions[[#This Row],[Account]],Accounts[],COLUMN(Accounts[Currency])-COLUMN(Accounts[])+1,FALSE),
     Transactions[[#This Row],[OrigCashImpact]],
     0
)</f>
        <v>-128151.24</v>
      </c>
      <c r="O12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2743934.399999999</v>
      </c>
      <c r="P12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150000</v>
      </c>
      <c r="Q12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250000</v>
      </c>
      <c r="R1293" s="41">
        <f>ROW()</f>
        <v>1293</v>
      </c>
      <c r="S12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128151.24</v>
      </c>
      <c r="T12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209083.6</v>
      </c>
      <c r="U12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250000</v>
      </c>
      <c r="V1293" s="166">
        <f>IF(INDEX(TransTypes[],Transactions[[#This Row],[TTR]],TT_COL_GLFlag)=1,Transactions[[#This Row],[CalCashImpact]]+Transactions[[#This Row],[CostImpact]],0)</f>
        <v>0</v>
      </c>
      <c r="W1293" s="167">
        <f>Transactions[[#This Row],[Amount]]*INDEX(TransTypes[],Transactions[[#This Row],[TTR]],TT_COL_AmntSign)</f>
        <v>-128151.24</v>
      </c>
      <c r="X1293" s="167">
        <f>IF(INDEX(TransTypes[],Transactions[[#This Row],[TTR]],TT_COL_LONGORSHORT)="S",
      IF( OR(INDEX(TransTypes[],Transactions[[#This Row],[TTR]],TT_COL_GLFlag)=1, INDEX(TransTypes[], Transactions[[#This Row],[TTR]], TT_COL_ShareTransferFlag)=1),
            Transactions[[#This Row],[CostImpact]]*-1,
            Transactions[[#This Row],[CalCashImpact]]
      ),
     0
)</f>
        <v>0</v>
      </c>
      <c r="Y1293" s="168" t="str">
        <f>VLOOKUP(Transactions[[#This Row],[Symbol]],Symbols[], COLUMN(Symbols[Currency])-COLUMN(Symbols[])+1,FALSE)</f>
        <v>CNY</v>
      </c>
    </row>
    <row r="1294" spans="1:25">
      <c r="A1294" s="155" t="s">
        <v>82</v>
      </c>
      <c r="B1294" s="156">
        <v>42626</v>
      </c>
      <c r="C1294" s="155" t="s">
        <v>113</v>
      </c>
      <c r="D1294" s="155"/>
      <c r="E1294" s="155" t="s">
        <v>665</v>
      </c>
      <c r="F1294" s="157">
        <v>150000</v>
      </c>
      <c r="G1294" s="158">
        <v>1.05</v>
      </c>
      <c r="H1294" s="157">
        <v>63</v>
      </c>
      <c r="I1294" s="157"/>
      <c r="J1294" s="159">
        <v>157563</v>
      </c>
      <c r="K1294" s="6" t="s">
        <v>641</v>
      </c>
      <c r="L1294" s="20">
        <f>IF(ISNA(MATCH(Transactions[[#This Row],[TransType]],TransTypes[TransType],0)),1,MATCH(Transactions[[#This Row],[TransType]],TransTypes[TransType],0))</f>
        <v>2</v>
      </c>
      <c r="M1294" s="160">
        <f>IF( AND( INDEX(TransTypes[],Transactions[[#This Row],[TTR]],TT_COL_GLFlag)=1, INDEX(TransTypes[],Transactions[[#This Row],[TTR]],TT_COL_LONGORSHORT)="S" ),
      Transactions[[#This Row],[PL]],
      IF(INDEX(TransTypes[],Transactions[[#This Row],[TTR]],TT_COL_LONGORSHORT)="S",0,Transactions[[#This Row],[CalCashImpact]])
)</f>
        <v>-157563</v>
      </c>
      <c r="N1294" s="161">
        <f>IF(VLOOKUP(Transactions[[#This Row],[Symbol]],Symbols[],COLUMN(Symbols[Currency])-COLUMN(Symbols[])+1,FALSE)=
       VLOOKUP(Transactions[[#This Row],[Account]],Accounts[],COLUMN(Accounts[Currency])-COLUMN(Accounts[])+1,FALSE),
     Transactions[[#This Row],[OrigCashImpact]],
     0
)</f>
        <v>-157563</v>
      </c>
      <c r="O12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2586371.3999999994</v>
      </c>
      <c r="P12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150000</v>
      </c>
      <c r="Q12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350000</v>
      </c>
      <c r="R1294" s="41">
        <f>ROW()</f>
        <v>1294</v>
      </c>
      <c r="S12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157563</v>
      </c>
      <c r="T12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341459.23440196959</v>
      </c>
      <c r="U12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350000</v>
      </c>
      <c r="V1294" s="166">
        <f>IF(INDEX(TransTypes[],Transactions[[#This Row],[TTR]],TT_COL_GLFlag)=1,Transactions[[#This Row],[CalCashImpact]]+Transactions[[#This Row],[CostImpact]],0)</f>
        <v>0</v>
      </c>
      <c r="W1294" s="167">
        <f>Transactions[[#This Row],[Amount]]*INDEX(TransTypes[],Transactions[[#This Row],[TTR]],TT_COL_AmntSign)</f>
        <v>-157563</v>
      </c>
      <c r="X1294" s="167">
        <f>IF(INDEX(TransTypes[],Transactions[[#This Row],[TTR]],TT_COL_LONGORSHORT)="S",
      IF( OR(INDEX(TransTypes[],Transactions[[#This Row],[TTR]],TT_COL_GLFlag)=1, INDEX(TransTypes[], Transactions[[#This Row],[TTR]], TT_COL_ShareTransferFlag)=1),
            Transactions[[#This Row],[CostImpact]]*-1,
            Transactions[[#This Row],[CalCashImpact]]
      ),
     0
)</f>
        <v>0</v>
      </c>
      <c r="Y1294" s="168" t="str">
        <f>VLOOKUP(Transactions[[#This Row],[Symbol]],Symbols[], COLUMN(Symbols[Currency])-COLUMN(Symbols[])+1,FALSE)</f>
        <v>CNY</v>
      </c>
    </row>
    <row r="1295" spans="1:25">
      <c r="A1295" s="155" t="s">
        <v>82</v>
      </c>
      <c r="B1295" s="156">
        <v>42632</v>
      </c>
      <c r="C1295" s="155" t="s">
        <v>113</v>
      </c>
      <c r="D1295" s="155"/>
      <c r="E1295" s="155" t="s">
        <v>464</v>
      </c>
      <c r="F1295" s="157">
        <v>200</v>
      </c>
      <c r="G1295" s="158">
        <v>300.01</v>
      </c>
      <c r="H1295" s="157">
        <v>25.2</v>
      </c>
      <c r="I1295" s="157"/>
      <c r="J1295" s="159">
        <v>60027.199999999997</v>
      </c>
      <c r="K1295" s="6" t="s">
        <v>641</v>
      </c>
      <c r="L1295" s="20">
        <f>IF(ISNA(MATCH(Transactions[[#This Row],[TransType]],TransTypes[TransType],0)),1,MATCH(Transactions[[#This Row],[TransType]],TransTypes[TransType],0))</f>
        <v>2</v>
      </c>
      <c r="M1295" s="160">
        <f>IF( AND( INDEX(TransTypes[],Transactions[[#This Row],[TTR]],TT_COL_GLFlag)=1, INDEX(TransTypes[],Transactions[[#This Row],[TTR]],TT_COL_LONGORSHORT)="S" ),
      Transactions[[#This Row],[PL]],
      IF(INDEX(TransTypes[],Transactions[[#This Row],[TTR]],TT_COL_LONGORSHORT)="S",0,Transactions[[#This Row],[CalCashImpact]])
)</f>
        <v>-60027.199999999997</v>
      </c>
      <c r="N1295" s="161">
        <f>IF(VLOOKUP(Transactions[[#This Row],[Symbol]],Symbols[],COLUMN(Symbols[Currency])-COLUMN(Symbols[])+1,FALSE)=
       VLOOKUP(Transactions[[#This Row],[Account]],Accounts[],COLUMN(Accounts[Currency])-COLUMN(Accounts[])+1,FALSE),
     Transactions[[#This Row],[OrigCashImpact]],
     0
)</f>
        <v>-60027.199999999997</v>
      </c>
      <c r="O12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2526344.1999999988</v>
      </c>
      <c r="P12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2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1295" s="41">
        <f>ROW()</f>
        <v>1295</v>
      </c>
      <c r="S12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60027.199999999997</v>
      </c>
      <c r="T12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114557.92551999999</v>
      </c>
      <c r="U12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1295" s="166">
        <f>IF(INDEX(TransTypes[],Transactions[[#This Row],[TTR]],TT_COL_GLFlag)=1,Transactions[[#This Row],[CalCashImpact]]+Transactions[[#This Row],[CostImpact]],0)</f>
        <v>0</v>
      </c>
      <c r="W1295" s="167">
        <f>Transactions[[#This Row],[Amount]]*INDEX(TransTypes[],Transactions[[#This Row],[TTR]],TT_COL_AmntSign)</f>
        <v>-60027.199999999997</v>
      </c>
      <c r="X1295" s="167">
        <f>IF(INDEX(TransTypes[],Transactions[[#This Row],[TTR]],TT_COL_LONGORSHORT)="S",
      IF( OR(INDEX(TransTypes[],Transactions[[#This Row],[TTR]],TT_COL_GLFlag)=1, INDEX(TransTypes[], Transactions[[#This Row],[TTR]], TT_COL_ShareTransferFlag)=1),
            Transactions[[#This Row],[CostImpact]]*-1,
            Transactions[[#This Row],[CalCashImpact]]
      ),
     0
)</f>
        <v>0</v>
      </c>
      <c r="Y1295" s="168" t="str">
        <f>VLOOKUP(Transactions[[#This Row],[Symbol]],Symbols[], COLUMN(Symbols[Currency])-COLUMN(Symbols[])+1,FALSE)</f>
        <v>CNY</v>
      </c>
    </row>
    <row r="1296" spans="1:25">
      <c r="A1296" s="155" t="s">
        <v>82</v>
      </c>
      <c r="B1296" s="156">
        <v>42636</v>
      </c>
      <c r="C1296" s="155" t="s">
        <v>118</v>
      </c>
      <c r="D1296" s="155"/>
      <c r="E1296" s="155" t="s">
        <v>704</v>
      </c>
      <c r="F1296" s="157"/>
      <c r="G1296" s="158"/>
      <c r="H1296" s="157"/>
      <c r="I1296" s="157"/>
      <c r="J1296" s="159">
        <v>5400</v>
      </c>
      <c r="K1296" s="6" t="s">
        <v>641</v>
      </c>
      <c r="L1296" s="20">
        <f>IF(ISNA(MATCH(Transactions[[#This Row],[TransType]],TransTypes[TransType],0)),1,MATCH(Transactions[[#This Row],[TransType]],TransTypes[TransType],0))</f>
        <v>4</v>
      </c>
      <c r="M1296" s="160">
        <f>IF( AND( INDEX(TransTypes[],Transactions[[#This Row],[TTR]],TT_COL_GLFlag)=1, INDEX(TransTypes[],Transactions[[#This Row],[TTR]],TT_COL_LONGORSHORT)="S" ),
      Transactions[[#This Row],[PL]],
      IF(INDEX(TransTypes[],Transactions[[#This Row],[TTR]],TT_COL_LONGORSHORT)="S",0,Transactions[[#This Row],[CalCashImpact]])
)</f>
        <v>5400</v>
      </c>
      <c r="N1296" s="161">
        <f>IF(VLOOKUP(Transactions[[#This Row],[Symbol]],Symbols[],COLUMN(Symbols[Currency])-COLUMN(Symbols[])+1,FALSE)=
       VLOOKUP(Transactions[[#This Row],[Account]],Accounts[],COLUMN(Accounts[Currency])-COLUMN(Accounts[])+1,FALSE),
     Transactions[[#This Row],[OrigCashImpact]],
     0
)</f>
        <v>5400</v>
      </c>
      <c r="O12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2531744.1999999988</v>
      </c>
      <c r="P12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2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296" s="41">
        <f>ROW()</f>
        <v>1296</v>
      </c>
      <c r="S12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2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131621.3775</v>
      </c>
      <c r="U12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296" s="166">
        <f>IF(INDEX(TransTypes[],Transactions[[#This Row],[TTR]],TT_COL_GLFlag)=1,Transactions[[#This Row],[CalCashImpact]]+Transactions[[#This Row],[CostImpact]],0)</f>
        <v>0</v>
      </c>
      <c r="W1296" s="167">
        <f>Transactions[[#This Row],[Amount]]*INDEX(TransTypes[],Transactions[[#This Row],[TTR]],TT_COL_AmntSign)</f>
        <v>5400</v>
      </c>
      <c r="X1296" s="167">
        <f>IF(INDEX(TransTypes[],Transactions[[#This Row],[TTR]],TT_COL_LONGORSHORT)="S",
      IF( OR(INDEX(TransTypes[],Transactions[[#This Row],[TTR]],TT_COL_GLFlag)=1, INDEX(TransTypes[], Transactions[[#This Row],[TTR]], TT_COL_ShareTransferFlag)=1),
            Transactions[[#This Row],[CostImpact]]*-1,
            Transactions[[#This Row],[CalCashImpact]]
      ),
     0
)</f>
        <v>0</v>
      </c>
      <c r="Y1296" s="168" t="str">
        <f>VLOOKUP(Transactions[[#This Row],[Symbol]],Symbols[], COLUMN(Symbols[Currency])-COLUMN(Symbols[])+1,FALSE)</f>
        <v>CNY</v>
      </c>
    </row>
    <row r="1297" spans="1:25">
      <c r="A1297" s="155" t="s">
        <v>82</v>
      </c>
      <c r="B1297" s="156">
        <v>42642</v>
      </c>
      <c r="C1297" s="155" t="s">
        <v>113</v>
      </c>
      <c r="D1297" s="155"/>
      <c r="E1297" s="155" t="s">
        <v>712</v>
      </c>
      <c r="F1297" s="157">
        <v>60600</v>
      </c>
      <c r="G1297" s="158">
        <v>0.82499999999999996</v>
      </c>
      <c r="H1297" s="157">
        <v>20</v>
      </c>
      <c r="I1297" s="157"/>
      <c r="J1297" s="159">
        <v>50015</v>
      </c>
      <c r="K1297" s="6" t="s">
        <v>641</v>
      </c>
      <c r="L1297" s="20">
        <f>IF(ISNA(MATCH(Transactions[[#This Row],[TransType]],TransTypes[TransType],0)),1,MATCH(Transactions[[#This Row],[TransType]],TransTypes[TransType],0))</f>
        <v>2</v>
      </c>
      <c r="M1297" s="160">
        <f>IF( AND( INDEX(TransTypes[],Transactions[[#This Row],[TTR]],TT_COL_GLFlag)=1, INDEX(TransTypes[],Transactions[[#This Row],[TTR]],TT_COL_LONGORSHORT)="S" ),
      Transactions[[#This Row],[PL]],
      IF(INDEX(TransTypes[],Transactions[[#This Row],[TTR]],TT_COL_LONGORSHORT)="S",0,Transactions[[#This Row],[CalCashImpact]])
)</f>
        <v>-50015</v>
      </c>
      <c r="N1297" s="161">
        <f>IF(VLOOKUP(Transactions[[#This Row],[Symbol]],Symbols[],COLUMN(Symbols[Currency])-COLUMN(Symbols[])+1,FALSE)=
       VLOOKUP(Transactions[[#This Row],[Account]],Accounts[],COLUMN(Accounts[Currency])-COLUMN(Accounts[])+1,FALSE),
     Transactions[[#This Row],[OrigCashImpact]],
     0
)</f>
        <v>-50015</v>
      </c>
      <c r="O12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2481729.1999999988</v>
      </c>
      <c r="P12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60600</v>
      </c>
      <c r="Q12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310600</v>
      </c>
      <c r="R1297" s="41">
        <f>ROW()</f>
        <v>1297</v>
      </c>
      <c r="S12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50015</v>
      </c>
      <c r="T12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259098.6</v>
      </c>
      <c r="U12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310600</v>
      </c>
      <c r="V1297" s="166">
        <f>IF(INDEX(TransTypes[],Transactions[[#This Row],[TTR]],TT_COL_GLFlag)=1,Transactions[[#This Row],[CalCashImpact]]+Transactions[[#This Row],[CostImpact]],0)</f>
        <v>0</v>
      </c>
      <c r="W1297" s="167">
        <f>Transactions[[#This Row],[Amount]]*INDEX(TransTypes[],Transactions[[#This Row],[TTR]],TT_COL_AmntSign)</f>
        <v>-50015</v>
      </c>
      <c r="X1297" s="167">
        <f>IF(INDEX(TransTypes[],Transactions[[#This Row],[TTR]],TT_COL_LONGORSHORT)="S",
      IF( OR(INDEX(TransTypes[],Transactions[[#This Row],[TTR]],TT_COL_GLFlag)=1, INDEX(TransTypes[], Transactions[[#This Row],[TTR]], TT_COL_ShareTransferFlag)=1),
            Transactions[[#This Row],[CostImpact]]*-1,
            Transactions[[#This Row],[CalCashImpact]]
      ),
     0
)</f>
        <v>0</v>
      </c>
      <c r="Y1297" s="168" t="str">
        <f>VLOOKUP(Transactions[[#This Row],[Symbol]],Symbols[], COLUMN(Symbols[Currency])-COLUMN(Symbols[])+1,FALSE)</f>
        <v>CNY</v>
      </c>
    </row>
    <row r="1298" spans="1:25">
      <c r="A1298" s="155" t="s">
        <v>82</v>
      </c>
      <c r="B1298" s="156">
        <v>42642</v>
      </c>
      <c r="C1298" s="155" t="s">
        <v>113</v>
      </c>
      <c r="D1298" s="155"/>
      <c r="E1298" s="155" t="s">
        <v>665</v>
      </c>
      <c r="F1298" s="157">
        <v>47800</v>
      </c>
      <c r="G1298" s="158">
        <v>1.046</v>
      </c>
      <c r="H1298" s="157">
        <v>20</v>
      </c>
      <c r="I1298" s="157"/>
      <c r="J1298" s="159">
        <v>50018.8</v>
      </c>
      <c r="K1298" s="6" t="s">
        <v>641</v>
      </c>
      <c r="L1298" s="20">
        <f>IF(ISNA(MATCH(Transactions[[#This Row],[TransType]],TransTypes[TransType],0)),1,MATCH(Transactions[[#This Row],[TransType]],TransTypes[TransType],0))</f>
        <v>2</v>
      </c>
      <c r="M1298" s="160">
        <f>IF( AND( INDEX(TransTypes[],Transactions[[#This Row],[TTR]],TT_COL_GLFlag)=1, INDEX(TransTypes[],Transactions[[#This Row],[TTR]],TT_COL_LONGORSHORT)="S" ),
      Transactions[[#This Row],[PL]],
      IF(INDEX(TransTypes[],Transactions[[#This Row],[TTR]],TT_COL_LONGORSHORT)="S",0,Transactions[[#This Row],[CalCashImpact]])
)</f>
        <v>-50018.8</v>
      </c>
      <c r="N1298" s="161">
        <f>IF(VLOOKUP(Transactions[[#This Row],[Symbol]],Symbols[],COLUMN(Symbols[Currency])-COLUMN(Symbols[])+1,FALSE)=
       VLOOKUP(Transactions[[#This Row],[Account]],Accounts[],COLUMN(Accounts[Currency])-COLUMN(Accounts[])+1,FALSE),
     Transactions[[#This Row],[OrigCashImpact]],
     0
)</f>
        <v>-50018.8</v>
      </c>
      <c r="O12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2431710.399999999</v>
      </c>
      <c r="P12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47800</v>
      </c>
      <c r="Q12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397800</v>
      </c>
      <c r="R1298" s="41">
        <f>ROW()</f>
        <v>1298</v>
      </c>
      <c r="S12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50018.8</v>
      </c>
      <c r="T12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391478.03440196958</v>
      </c>
      <c r="U12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397800</v>
      </c>
      <c r="V1298" s="166">
        <f>IF(INDEX(TransTypes[],Transactions[[#This Row],[TTR]],TT_COL_GLFlag)=1,Transactions[[#This Row],[CalCashImpact]]+Transactions[[#This Row],[CostImpact]],0)</f>
        <v>0</v>
      </c>
      <c r="W1298" s="167">
        <f>Transactions[[#This Row],[Amount]]*INDEX(TransTypes[],Transactions[[#This Row],[TTR]],TT_COL_AmntSign)</f>
        <v>-50018.8</v>
      </c>
      <c r="X1298" s="167">
        <f>IF(INDEX(TransTypes[],Transactions[[#This Row],[TTR]],TT_COL_LONGORSHORT)="S",
      IF( OR(INDEX(TransTypes[],Transactions[[#This Row],[TTR]],TT_COL_GLFlag)=1, INDEX(TransTypes[], Transactions[[#This Row],[TTR]], TT_COL_ShareTransferFlag)=1),
            Transactions[[#This Row],[CostImpact]]*-1,
            Transactions[[#This Row],[CalCashImpact]]
      ),
     0
)</f>
        <v>0</v>
      </c>
      <c r="Y1298" s="168" t="str">
        <f>VLOOKUP(Transactions[[#This Row],[Symbol]],Symbols[], COLUMN(Symbols[Currency])-COLUMN(Symbols[])+1,FALSE)</f>
        <v>CNY</v>
      </c>
    </row>
    <row r="1299" spans="1:25">
      <c r="A1299" s="155" t="s">
        <v>82</v>
      </c>
      <c r="B1299" s="156">
        <v>42653</v>
      </c>
      <c r="C1299" s="155" t="s">
        <v>113</v>
      </c>
      <c r="D1299" s="155"/>
      <c r="E1299" s="155" t="s">
        <v>482</v>
      </c>
      <c r="F1299" s="157">
        <v>2000</v>
      </c>
      <c r="G1299" s="158">
        <v>22.12</v>
      </c>
      <c r="H1299" s="157">
        <v>17.7</v>
      </c>
      <c r="I1299" s="157"/>
      <c r="J1299" s="159">
        <v>44257.7</v>
      </c>
      <c r="K1299" s="6" t="s">
        <v>641</v>
      </c>
      <c r="L1299" s="20">
        <f>IF(ISNA(MATCH(Transactions[[#This Row],[TransType]],TransTypes[TransType],0)),1,MATCH(Transactions[[#This Row],[TransType]],TransTypes[TransType],0))</f>
        <v>2</v>
      </c>
      <c r="M1299" s="160">
        <f>IF( AND( INDEX(TransTypes[],Transactions[[#This Row],[TTR]],TT_COL_GLFlag)=1, INDEX(TransTypes[],Transactions[[#This Row],[TTR]],TT_COL_LONGORSHORT)="S" ),
      Transactions[[#This Row],[PL]],
      IF(INDEX(TransTypes[],Transactions[[#This Row],[TTR]],TT_COL_LONGORSHORT)="S",0,Transactions[[#This Row],[CalCashImpact]])
)</f>
        <v>-44257.7</v>
      </c>
      <c r="N1299" s="161">
        <f>IF(VLOOKUP(Transactions[[#This Row],[Symbol]],Symbols[],COLUMN(Symbols[Currency])-COLUMN(Symbols[])+1,FALSE)=
       VLOOKUP(Transactions[[#This Row],[Account]],Accounts[],COLUMN(Accounts[Currency])-COLUMN(Accounts[])+1,FALSE),
     Transactions[[#This Row],[OrigCashImpact]],
     0
)</f>
        <v>-44257.7</v>
      </c>
      <c r="O12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2387452.6999999988</v>
      </c>
      <c r="P12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2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299" s="41">
        <f>ROW()</f>
        <v>1299</v>
      </c>
      <c r="S12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44257.7</v>
      </c>
      <c r="T12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82472.98</v>
      </c>
      <c r="U12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299" s="166">
        <f>IF(INDEX(TransTypes[],Transactions[[#This Row],[TTR]],TT_COL_GLFlag)=1,Transactions[[#This Row],[CalCashImpact]]+Transactions[[#This Row],[CostImpact]],0)</f>
        <v>0</v>
      </c>
      <c r="W1299" s="167">
        <f>Transactions[[#This Row],[Amount]]*INDEX(TransTypes[],Transactions[[#This Row],[TTR]],TT_COL_AmntSign)</f>
        <v>-44257.7</v>
      </c>
      <c r="X1299" s="167">
        <f>IF(INDEX(TransTypes[],Transactions[[#This Row],[TTR]],TT_COL_LONGORSHORT)="S",
      IF( OR(INDEX(TransTypes[],Transactions[[#This Row],[TTR]],TT_COL_GLFlag)=1, INDEX(TransTypes[], Transactions[[#This Row],[TTR]], TT_COL_ShareTransferFlag)=1),
            Transactions[[#This Row],[CostImpact]]*-1,
            Transactions[[#This Row],[CalCashImpact]]
      ),
     0
)</f>
        <v>0</v>
      </c>
      <c r="Y1299" s="168" t="str">
        <f>VLOOKUP(Transactions[[#This Row],[Symbol]],Symbols[], COLUMN(Symbols[Currency])-COLUMN(Symbols[])+1,FALSE)</f>
        <v>CNY</v>
      </c>
    </row>
    <row r="1300" spans="1:25">
      <c r="A1300" s="155" t="s">
        <v>82</v>
      </c>
      <c r="B1300" s="156">
        <v>42653</v>
      </c>
      <c r="C1300" s="155" t="s">
        <v>113</v>
      </c>
      <c r="D1300" s="155"/>
      <c r="E1300" s="155" t="s">
        <v>710</v>
      </c>
      <c r="F1300" s="157">
        <v>2000</v>
      </c>
      <c r="G1300" s="158">
        <v>23.739000000000001</v>
      </c>
      <c r="H1300" s="157">
        <v>18.989999999999998</v>
      </c>
      <c r="I1300" s="157"/>
      <c r="J1300" s="159">
        <v>47496.99</v>
      </c>
      <c r="K1300" s="6" t="s">
        <v>641</v>
      </c>
      <c r="L1300" s="20">
        <f>IF(ISNA(MATCH(Transactions[[#This Row],[TransType]],TransTypes[TransType],0)),1,MATCH(Transactions[[#This Row],[TransType]],TransTypes[TransType],0))</f>
        <v>2</v>
      </c>
      <c r="M1300" s="160">
        <f>IF( AND( INDEX(TransTypes[],Transactions[[#This Row],[TTR]],TT_COL_GLFlag)=1, INDEX(TransTypes[],Transactions[[#This Row],[TTR]],TT_COL_LONGORSHORT)="S" ),
      Transactions[[#This Row],[PL]],
      IF(INDEX(TransTypes[],Transactions[[#This Row],[TTR]],TT_COL_LONGORSHORT)="S",0,Transactions[[#This Row],[CalCashImpact]])
)</f>
        <v>-47496.99</v>
      </c>
      <c r="N1300" s="161">
        <f>IF(VLOOKUP(Transactions[[#This Row],[Symbol]],Symbols[],COLUMN(Symbols[Currency])-COLUMN(Symbols[])+1,FALSE)=
       VLOOKUP(Transactions[[#This Row],[Account]],Accounts[],COLUMN(Accounts[Currency])-COLUMN(Accounts[])+1,FALSE),
     Transactions[[#This Row],[OrigCashImpact]],
     0
)</f>
        <v>-47496.99</v>
      </c>
      <c r="O13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2339955.709999999</v>
      </c>
      <c r="P13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300" s="41">
        <f>ROW()</f>
        <v>1300</v>
      </c>
      <c r="S13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47496.99</v>
      </c>
      <c r="T13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270478.14333333337</v>
      </c>
      <c r="U13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300" s="166">
        <f>IF(INDEX(TransTypes[],Transactions[[#This Row],[TTR]],TT_COL_GLFlag)=1,Transactions[[#This Row],[CalCashImpact]]+Transactions[[#This Row],[CostImpact]],0)</f>
        <v>0</v>
      </c>
      <c r="W1300" s="167">
        <f>Transactions[[#This Row],[Amount]]*INDEX(TransTypes[],Transactions[[#This Row],[TTR]],TT_COL_AmntSign)</f>
        <v>-47496.99</v>
      </c>
      <c r="X1300" s="167">
        <f>IF(INDEX(TransTypes[],Transactions[[#This Row],[TTR]],TT_COL_LONGORSHORT)="S",
      IF( OR(INDEX(TransTypes[],Transactions[[#This Row],[TTR]],TT_COL_GLFlag)=1, INDEX(TransTypes[], Transactions[[#This Row],[TTR]], TT_COL_ShareTransferFlag)=1),
            Transactions[[#This Row],[CostImpact]]*-1,
            Transactions[[#This Row],[CalCashImpact]]
      ),
     0
)</f>
        <v>0</v>
      </c>
      <c r="Y1300" s="168" t="str">
        <f>VLOOKUP(Transactions[[#This Row],[Symbol]],Symbols[], COLUMN(Symbols[Currency])-COLUMN(Symbols[])+1,FALSE)</f>
        <v>CNY</v>
      </c>
    </row>
    <row r="1301" spans="1:25">
      <c r="A1301" s="155" t="s">
        <v>82</v>
      </c>
      <c r="B1301" s="156">
        <v>42653</v>
      </c>
      <c r="C1301" s="155" t="s">
        <v>113</v>
      </c>
      <c r="D1301" s="155"/>
      <c r="E1301" s="155" t="s">
        <v>705</v>
      </c>
      <c r="F1301" s="157">
        <v>2000</v>
      </c>
      <c r="G1301" s="158">
        <v>23.26</v>
      </c>
      <c r="H1301" s="157">
        <v>19.54</v>
      </c>
      <c r="I1301" s="157"/>
      <c r="J1301" s="159">
        <v>46539.54</v>
      </c>
      <c r="K1301" s="6" t="s">
        <v>641</v>
      </c>
      <c r="L1301" s="20">
        <f>IF(ISNA(MATCH(Transactions[[#This Row],[TransType]],TransTypes[TransType],0)),1,MATCH(Transactions[[#This Row],[TransType]],TransTypes[TransType],0))</f>
        <v>2</v>
      </c>
      <c r="M1301" s="160">
        <f>IF( AND( INDEX(TransTypes[],Transactions[[#This Row],[TTR]],TT_COL_GLFlag)=1, INDEX(TransTypes[],Transactions[[#This Row],[TTR]],TT_COL_LONGORSHORT)="S" ),
      Transactions[[#This Row],[PL]],
      IF(INDEX(TransTypes[],Transactions[[#This Row],[TTR]],TT_COL_LONGORSHORT)="S",0,Transactions[[#This Row],[CalCashImpact]])
)</f>
        <v>-46539.54</v>
      </c>
      <c r="N1301" s="161">
        <f>IF(VLOOKUP(Transactions[[#This Row],[Symbol]],Symbols[],COLUMN(Symbols[Currency])-COLUMN(Symbols[])+1,FALSE)=
       VLOOKUP(Transactions[[#This Row],[Account]],Accounts[],COLUMN(Accounts[Currency])-COLUMN(Accounts[])+1,FALSE),
     Transactions[[#This Row],[OrigCashImpact]],
     0
)</f>
        <v>-46539.54</v>
      </c>
      <c r="O13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2293416.169999999</v>
      </c>
      <c r="P13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301" s="41">
        <f>ROW()</f>
        <v>1301</v>
      </c>
      <c r="S13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46539.54</v>
      </c>
      <c r="T13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123171.72285714286</v>
      </c>
      <c r="U13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301" s="166">
        <f>IF(INDEX(TransTypes[],Transactions[[#This Row],[TTR]],TT_COL_GLFlag)=1,Transactions[[#This Row],[CalCashImpact]]+Transactions[[#This Row],[CostImpact]],0)</f>
        <v>0</v>
      </c>
      <c r="W1301" s="167">
        <f>Transactions[[#This Row],[Amount]]*INDEX(TransTypes[],Transactions[[#This Row],[TTR]],TT_COL_AmntSign)</f>
        <v>-46539.54</v>
      </c>
      <c r="X1301" s="167">
        <f>IF(INDEX(TransTypes[],Transactions[[#This Row],[TTR]],TT_COL_LONGORSHORT)="S",
      IF( OR(INDEX(TransTypes[],Transactions[[#This Row],[TTR]],TT_COL_GLFlag)=1, INDEX(TransTypes[], Transactions[[#This Row],[TTR]], TT_COL_ShareTransferFlag)=1),
            Transactions[[#This Row],[CostImpact]]*-1,
            Transactions[[#This Row],[CalCashImpact]]
      ),
     0
)</f>
        <v>0</v>
      </c>
      <c r="Y1301" s="168" t="str">
        <f>VLOOKUP(Transactions[[#This Row],[Symbol]],Symbols[], COLUMN(Symbols[Currency])-COLUMN(Symbols[])+1,FALSE)</f>
        <v>CNY</v>
      </c>
    </row>
    <row r="1302" spans="1:25">
      <c r="A1302" s="155" t="s">
        <v>82</v>
      </c>
      <c r="B1302" s="156">
        <v>42653</v>
      </c>
      <c r="C1302" s="155" t="s">
        <v>115</v>
      </c>
      <c r="D1302" s="155"/>
      <c r="E1302" s="155" t="s">
        <v>699</v>
      </c>
      <c r="F1302" s="157">
        <v>50000</v>
      </c>
      <c r="G1302" s="158">
        <v>2.7320000000000002</v>
      </c>
      <c r="H1302" s="157">
        <v>54.64</v>
      </c>
      <c r="I1302" s="157"/>
      <c r="J1302" s="159">
        <v>136545.35999999999</v>
      </c>
      <c r="K1302" s="6" t="s">
        <v>641</v>
      </c>
      <c r="L1302" s="20">
        <f>IF(ISNA(MATCH(Transactions[[#This Row],[TransType]],TransTypes[TransType],0)),1,MATCH(Transactions[[#This Row],[TransType]],TransTypes[TransType],0))</f>
        <v>3</v>
      </c>
      <c r="M1302" s="160">
        <f>IF( AND( INDEX(TransTypes[],Transactions[[#This Row],[TTR]],TT_COL_GLFlag)=1, INDEX(TransTypes[],Transactions[[#This Row],[TTR]],TT_COL_LONGORSHORT)="S" ),
      Transactions[[#This Row],[PL]],
      IF(INDEX(TransTypes[],Transactions[[#This Row],[TTR]],TT_COL_LONGORSHORT)="S",0,Transactions[[#This Row],[CalCashImpact]])
)</f>
        <v>136545.35999999999</v>
      </c>
      <c r="N1302" s="161">
        <f>IF(VLOOKUP(Transactions[[#This Row],[Symbol]],Symbols[],COLUMN(Symbols[Currency])-COLUMN(Symbols[])+1,FALSE)=
       VLOOKUP(Transactions[[#This Row],[Account]],Accounts[],COLUMN(Accounts[Currency])-COLUMN(Accounts[])+1,FALSE),
     Transactions[[#This Row],[OrigCashImpact]],
     0
)</f>
        <v>136545.35999999999</v>
      </c>
      <c r="O13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2429961.5299999989</v>
      </c>
      <c r="P13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3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02" s="41">
        <f>ROW()</f>
        <v>1302</v>
      </c>
      <c r="S13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-142767.09</v>
      </c>
      <c r="T13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50000</v>
      </c>
      <c r="V1302" s="166">
        <f>IF(INDEX(TransTypes[],Transactions[[#This Row],[TTR]],TT_COL_GLFlag)=1,Transactions[[#This Row],[CalCashImpact]]+Transactions[[#This Row],[CostImpact]],0)</f>
        <v>-6221.7300000000105</v>
      </c>
      <c r="W1302" s="167">
        <f>Transactions[[#This Row],[Amount]]*INDEX(TransTypes[],Transactions[[#This Row],[TTR]],TT_COL_AmntSign)</f>
        <v>136545.35999999999</v>
      </c>
      <c r="X1302" s="167">
        <f>IF(INDEX(TransTypes[],Transactions[[#This Row],[TTR]],TT_COL_LONGORSHORT)="S",
      IF( OR(INDEX(TransTypes[],Transactions[[#This Row],[TTR]],TT_COL_GLFlag)=1, INDEX(TransTypes[], Transactions[[#This Row],[TTR]], TT_COL_ShareTransferFlag)=1),
            Transactions[[#This Row],[CostImpact]]*-1,
            Transactions[[#This Row],[CalCashImpact]]
      ),
     0
)</f>
        <v>0</v>
      </c>
      <c r="Y1302" s="168" t="str">
        <f>VLOOKUP(Transactions[[#This Row],[Symbol]],Symbols[], COLUMN(Symbols[Currency])-COLUMN(Symbols[])+1,FALSE)</f>
        <v>CNY</v>
      </c>
    </row>
    <row r="1303" spans="1:25">
      <c r="A1303" s="155" t="s">
        <v>82</v>
      </c>
      <c r="B1303" s="156">
        <v>42654</v>
      </c>
      <c r="C1303" s="155" t="s">
        <v>113</v>
      </c>
      <c r="D1303" s="155"/>
      <c r="E1303" s="155" t="s">
        <v>711</v>
      </c>
      <c r="F1303" s="157">
        <v>5000</v>
      </c>
      <c r="G1303" s="158">
        <v>17.655000000000001</v>
      </c>
      <c r="H1303" s="157">
        <v>35.31</v>
      </c>
      <c r="I1303" s="157"/>
      <c r="J1303" s="159">
        <v>88310.31</v>
      </c>
      <c r="K1303" s="6" t="s">
        <v>641</v>
      </c>
      <c r="L1303" s="20">
        <f>IF(ISNA(MATCH(Transactions[[#This Row],[TransType]],TransTypes[TransType],0)),1,MATCH(Transactions[[#This Row],[TransType]],TransTypes[TransType],0))</f>
        <v>2</v>
      </c>
      <c r="M1303" s="160">
        <f>IF( AND( INDEX(TransTypes[],Transactions[[#This Row],[TTR]],TT_COL_GLFlag)=1, INDEX(TransTypes[],Transactions[[#This Row],[TTR]],TT_COL_LONGORSHORT)="S" ),
      Transactions[[#This Row],[PL]],
      IF(INDEX(TransTypes[],Transactions[[#This Row],[TTR]],TT_COL_LONGORSHORT)="S",0,Transactions[[#This Row],[CalCashImpact]])
)</f>
        <v>-88310.31</v>
      </c>
      <c r="N1303" s="161">
        <f>IF(VLOOKUP(Transactions[[#This Row],[Symbol]],Symbols[],COLUMN(Symbols[Currency])-COLUMN(Symbols[])+1,FALSE)=
       VLOOKUP(Transactions[[#This Row],[Account]],Accounts[],COLUMN(Accounts[Currency])-COLUMN(Accounts[])+1,FALSE),
     Transactions[[#This Row],[OrigCashImpact]],
     0
)</f>
        <v>-88310.31</v>
      </c>
      <c r="O13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2341651.2199999983</v>
      </c>
      <c r="P13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3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18000</v>
      </c>
      <c r="R1303" s="41">
        <f>ROW()</f>
        <v>1303</v>
      </c>
      <c r="S13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88310.31</v>
      </c>
      <c r="T13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328744.44</v>
      </c>
      <c r="U13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1303" s="166">
        <f>IF(INDEX(TransTypes[],Transactions[[#This Row],[TTR]],TT_COL_GLFlag)=1,Transactions[[#This Row],[CalCashImpact]]+Transactions[[#This Row],[CostImpact]],0)</f>
        <v>0</v>
      </c>
      <c r="W1303" s="167">
        <f>Transactions[[#This Row],[Amount]]*INDEX(TransTypes[],Transactions[[#This Row],[TTR]],TT_COL_AmntSign)</f>
        <v>-88310.31</v>
      </c>
      <c r="X1303" s="167">
        <f>IF(INDEX(TransTypes[],Transactions[[#This Row],[TTR]],TT_COL_LONGORSHORT)="S",
      IF( OR(INDEX(TransTypes[],Transactions[[#This Row],[TTR]],TT_COL_GLFlag)=1, INDEX(TransTypes[], Transactions[[#This Row],[TTR]], TT_COL_ShareTransferFlag)=1),
            Transactions[[#This Row],[CostImpact]]*-1,
            Transactions[[#This Row],[CalCashImpact]]
      ),
     0
)</f>
        <v>0</v>
      </c>
      <c r="Y1303" s="168" t="str">
        <f>VLOOKUP(Transactions[[#This Row],[Symbol]],Symbols[], COLUMN(Symbols[Currency])-COLUMN(Symbols[])+1,FALSE)</f>
        <v>CNY</v>
      </c>
    </row>
    <row r="1304" spans="1:25">
      <c r="A1304" s="155" t="s">
        <v>82</v>
      </c>
      <c r="B1304" s="156">
        <v>42654</v>
      </c>
      <c r="C1304" s="155" t="s">
        <v>113</v>
      </c>
      <c r="D1304" s="155"/>
      <c r="E1304" s="155" t="s">
        <v>464</v>
      </c>
      <c r="F1304" s="157">
        <v>100</v>
      </c>
      <c r="G1304" s="158">
        <v>303.74</v>
      </c>
      <c r="H1304" s="157">
        <v>12.76</v>
      </c>
      <c r="I1304" s="157"/>
      <c r="J1304" s="159">
        <v>30386.76</v>
      </c>
      <c r="K1304" s="6" t="s">
        <v>641</v>
      </c>
      <c r="L1304" s="20">
        <f>IF(ISNA(MATCH(Transactions[[#This Row],[TransType]],TransTypes[TransType],0)),1,MATCH(Transactions[[#This Row],[TransType]],TransTypes[TransType],0))</f>
        <v>2</v>
      </c>
      <c r="M1304" s="160">
        <f>IF( AND( INDEX(TransTypes[],Transactions[[#This Row],[TTR]],TT_COL_GLFlag)=1, INDEX(TransTypes[],Transactions[[#This Row],[TTR]],TT_COL_LONGORSHORT)="S" ),
      Transactions[[#This Row],[PL]],
      IF(INDEX(TransTypes[],Transactions[[#This Row],[TTR]],TT_COL_LONGORSHORT)="S",0,Transactions[[#This Row],[CalCashImpact]])
)</f>
        <v>-30386.76</v>
      </c>
      <c r="N1304" s="161">
        <f>IF(VLOOKUP(Transactions[[#This Row],[Symbol]],Symbols[],COLUMN(Symbols[Currency])-COLUMN(Symbols[])+1,FALSE)=
       VLOOKUP(Transactions[[#This Row],[Account]],Accounts[],COLUMN(Accounts[Currency])-COLUMN(Accounts[])+1,FALSE),
     Transactions[[#This Row],[OrigCashImpact]],
     0
)</f>
        <v>-30386.76</v>
      </c>
      <c r="O13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2311264.4599999986</v>
      </c>
      <c r="P13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3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304" s="41">
        <f>ROW()</f>
        <v>1304</v>
      </c>
      <c r="S13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30386.76</v>
      </c>
      <c r="T13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144944.68552</v>
      </c>
      <c r="U13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304" s="166">
        <f>IF(INDEX(TransTypes[],Transactions[[#This Row],[TTR]],TT_COL_GLFlag)=1,Transactions[[#This Row],[CalCashImpact]]+Transactions[[#This Row],[CostImpact]],0)</f>
        <v>0</v>
      </c>
      <c r="W1304" s="167">
        <f>Transactions[[#This Row],[Amount]]*INDEX(TransTypes[],Transactions[[#This Row],[TTR]],TT_COL_AmntSign)</f>
        <v>-30386.76</v>
      </c>
      <c r="X1304" s="167">
        <f>IF(INDEX(TransTypes[],Transactions[[#This Row],[TTR]],TT_COL_LONGORSHORT)="S",
      IF( OR(INDEX(TransTypes[],Transactions[[#This Row],[TTR]],TT_COL_GLFlag)=1, INDEX(TransTypes[], Transactions[[#This Row],[TTR]], TT_COL_ShareTransferFlag)=1),
            Transactions[[#This Row],[CostImpact]]*-1,
            Transactions[[#This Row],[CalCashImpact]]
      ),
     0
)</f>
        <v>0</v>
      </c>
      <c r="Y1304" s="168" t="str">
        <f>VLOOKUP(Transactions[[#This Row],[Symbol]],Symbols[], COLUMN(Symbols[Currency])-COLUMN(Symbols[])+1,FALSE)</f>
        <v>CNY</v>
      </c>
    </row>
    <row r="1305" spans="1:25">
      <c r="A1305" s="155" t="s">
        <v>82</v>
      </c>
      <c r="B1305" s="156">
        <v>42656</v>
      </c>
      <c r="C1305" s="155" t="s">
        <v>112</v>
      </c>
      <c r="D1305" s="155"/>
      <c r="E1305" s="155" t="s">
        <v>211</v>
      </c>
      <c r="F1305" s="157"/>
      <c r="G1305" s="158"/>
      <c r="H1305" s="157"/>
      <c r="I1305" s="157"/>
      <c r="J1305" s="159">
        <v>600000</v>
      </c>
      <c r="K1305" s="6" t="s">
        <v>641</v>
      </c>
      <c r="L1305" s="20">
        <f>IF(ISNA(MATCH(Transactions[[#This Row],[TransType]],TransTypes[TransType],0)),1,MATCH(Transactions[[#This Row],[TransType]],TransTypes[TransType],0))</f>
        <v>1</v>
      </c>
      <c r="M1305" s="160">
        <f>IF( AND( INDEX(TransTypes[],Transactions[[#This Row],[TTR]],TT_COL_GLFlag)=1, INDEX(TransTypes[],Transactions[[#This Row],[TTR]],TT_COL_LONGORSHORT)="S" ),
      Transactions[[#This Row],[PL]],
      IF(INDEX(TransTypes[],Transactions[[#This Row],[TTR]],TT_COL_LONGORSHORT)="S",0,Transactions[[#This Row],[CalCashImpact]])
)</f>
        <v>600000</v>
      </c>
      <c r="N1305" s="161">
        <f>IF(VLOOKUP(Transactions[[#This Row],[Symbol]],Symbols[],COLUMN(Symbols[Currency])-COLUMN(Symbols[])+1,FALSE)=
       VLOOKUP(Transactions[[#This Row],[Account]],Accounts[],COLUMN(Accounts[Currency])-COLUMN(Accounts[])+1,FALSE),
     Transactions[[#This Row],[OrigCashImpact]],
     0
)</f>
        <v>600000</v>
      </c>
      <c r="O13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2911264.4599999986</v>
      </c>
      <c r="P13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05" s="41">
        <f>ROW()</f>
        <v>1305</v>
      </c>
      <c r="S13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05" s="166">
        <f>IF(INDEX(TransTypes[],Transactions[[#This Row],[TTR]],TT_COL_GLFlag)=1,Transactions[[#This Row],[CalCashImpact]]+Transactions[[#This Row],[CostImpact]],0)</f>
        <v>0</v>
      </c>
      <c r="W1305" s="167">
        <f>Transactions[[#This Row],[Amount]]*INDEX(TransTypes[],Transactions[[#This Row],[TTR]],TT_COL_AmntSign)</f>
        <v>600000</v>
      </c>
      <c r="X1305" s="167">
        <f>IF(INDEX(TransTypes[],Transactions[[#This Row],[TTR]],TT_COL_LONGORSHORT)="S",
      IF( OR(INDEX(TransTypes[],Transactions[[#This Row],[TTR]],TT_COL_GLFlag)=1, INDEX(TransTypes[], Transactions[[#This Row],[TTR]], TT_COL_ShareTransferFlag)=1),
            Transactions[[#This Row],[CostImpact]]*-1,
            Transactions[[#This Row],[CalCashImpact]]
      ),
     0
)</f>
        <v>0</v>
      </c>
      <c r="Y1305" s="168" t="str">
        <f>VLOOKUP(Transactions[[#This Row],[Symbol]],Symbols[], COLUMN(Symbols[Currency])-COLUMN(Symbols[])+1,FALSE)</f>
        <v>CNY</v>
      </c>
    </row>
    <row r="1306" spans="1:25">
      <c r="A1306" s="155" t="s">
        <v>82</v>
      </c>
      <c r="B1306" s="156">
        <v>42656</v>
      </c>
      <c r="C1306" s="155" t="s">
        <v>156</v>
      </c>
      <c r="D1306" s="155"/>
      <c r="E1306" s="155" t="s">
        <v>211</v>
      </c>
      <c r="F1306" s="157">
        <v>106033.54</v>
      </c>
      <c r="G1306" s="158">
        <v>0.86661999999999995</v>
      </c>
      <c r="H1306" s="157"/>
      <c r="I1306" s="157"/>
      <c r="J1306" s="159">
        <v>91890.79</v>
      </c>
      <c r="K1306" s="6" t="s">
        <v>716</v>
      </c>
      <c r="L1306" s="20">
        <f>IF(ISNA(MATCH(Transactions[[#This Row],[TransType]],TransTypes[TransType],0)),1,MATCH(Transactions[[#This Row],[TransType]],TransTypes[TransType],0))</f>
        <v>17</v>
      </c>
      <c r="M1306" s="160">
        <f>IF( AND( INDEX(TransTypes[],Transactions[[#This Row],[TTR]],TT_COL_GLFlag)=1, INDEX(TransTypes[],Transactions[[#This Row],[TTR]],TT_COL_LONGORSHORT)="S" ),
      Transactions[[#This Row],[PL]],
      IF(INDEX(TransTypes[],Transactions[[#This Row],[TTR]],TT_COL_LONGORSHORT)="S",0,Transactions[[#This Row],[CalCashImpact]])
)</f>
        <v>-91890.79</v>
      </c>
      <c r="N1306" s="161">
        <f>IF(VLOOKUP(Transactions[[#This Row],[Symbol]],Symbols[],COLUMN(Symbols[Currency])-COLUMN(Symbols[])+1,FALSE)=
       VLOOKUP(Transactions[[#This Row],[Account]],Accounts[],COLUMN(Accounts[Currency])-COLUMN(Accounts[])+1,FALSE),
     Transactions[[#This Row],[OrigCashImpact]],
     0
)</f>
        <v>-91890.79</v>
      </c>
      <c r="O13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2819373.6699999985</v>
      </c>
      <c r="P13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06" s="41">
        <f>ROW()</f>
        <v>1306</v>
      </c>
      <c r="S13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06" s="166">
        <f>IF(INDEX(TransTypes[],Transactions[[#This Row],[TTR]],TT_COL_GLFlag)=1,Transactions[[#This Row],[CalCashImpact]]+Transactions[[#This Row],[CostImpact]],0)</f>
        <v>0</v>
      </c>
      <c r="W1306" s="167">
        <f>Transactions[[#This Row],[Amount]]*INDEX(TransTypes[],Transactions[[#This Row],[TTR]],TT_COL_AmntSign)</f>
        <v>-91890.79</v>
      </c>
      <c r="X1306" s="167">
        <f>IF(INDEX(TransTypes[],Transactions[[#This Row],[TTR]],TT_COL_LONGORSHORT)="S",
      IF( OR(INDEX(TransTypes[],Transactions[[#This Row],[TTR]],TT_COL_GLFlag)=1, INDEX(TransTypes[], Transactions[[#This Row],[TTR]], TT_COL_ShareTransferFlag)=1),
            Transactions[[#This Row],[CostImpact]]*-1,
            Transactions[[#This Row],[CalCashImpact]]
      ),
     0
)</f>
        <v>0</v>
      </c>
      <c r="Y1306" s="168" t="str">
        <f>VLOOKUP(Transactions[[#This Row],[Symbol]],Symbols[], COLUMN(Symbols[Currency])-COLUMN(Symbols[])+1,FALSE)</f>
        <v>CNY</v>
      </c>
    </row>
    <row r="1307" spans="1:25">
      <c r="A1307" s="155" t="s">
        <v>82</v>
      </c>
      <c r="B1307" s="156">
        <v>42656</v>
      </c>
      <c r="C1307" s="155" t="s">
        <v>239</v>
      </c>
      <c r="D1307" s="155"/>
      <c r="E1307" s="155" t="s">
        <v>210</v>
      </c>
      <c r="F1307" s="157">
        <v>106033.54</v>
      </c>
      <c r="G1307" s="158">
        <v>1</v>
      </c>
      <c r="H1307" s="157"/>
      <c r="I1307" s="157"/>
      <c r="J1307" s="159">
        <v>106033.54</v>
      </c>
      <c r="K1307" s="6" t="s">
        <v>641</v>
      </c>
      <c r="L1307" s="20">
        <f>IF(ISNA(MATCH(Transactions[[#This Row],[TransType]],TransTypes[TransType],0)),1,MATCH(Transactions[[#This Row],[TransType]],TransTypes[TransType],0))</f>
        <v>18</v>
      </c>
      <c r="M1307" s="160">
        <f>IF( AND( INDEX(TransTypes[],Transactions[[#This Row],[TTR]],TT_COL_GLFlag)=1, INDEX(TransTypes[],Transactions[[#This Row],[TTR]],TT_COL_LONGORSHORT)="S" ),
      Transactions[[#This Row],[PL]],
      IF(INDEX(TransTypes[],Transactions[[#This Row],[TTR]],TT_COL_LONGORSHORT)="S",0,Transactions[[#This Row],[CalCashImpact]])
)</f>
        <v>106033.54</v>
      </c>
      <c r="N1307" s="161">
        <f>IF(VLOOKUP(Transactions[[#This Row],[Symbol]],Symbols[],COLUMN(Symbols[Currency])-COLUMN(Symbols[])+1,FALSE)=
       VLOOKUP(Transactions[[#This Row],[Account]],Accounts[],COLUMN(Accounts[Currency])-COLUMN(Accounts[])+1,FALSE),
     Transactions[[#This Row],[OrigCashImpact]],
     0
)</f>
        <v>0</v>
      </c>
      <c r="O13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2819373.6699999985</v>
      </c>
      <c r="P13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07" s="41">
        <f>ROW()</f>
        <v>1307</v>
      </c>
      <c r="S13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07" s="166">
        <f>IF(INDEX(TransTypes[],Transactions[[#This Row],[TTR]],TT_COL_GLFlag)=1,Transactions[[#This Row],[CalCashImpact]]+Transactions[[#This Row],[CostImpact]],0)</f>
        <v>0</v>
      </c>
      <c r="W1307" s="167">
        <f>Transactions[[#This Row],[Amount]]*INDEX(TransTypes[],Transactions[[#This Row],[TTR]],TT_COL_AmntSign)</f>
        <v>106033.54</v>
      </c>
      <c r="X1307" s="167">
        <f>IF(INDEX(TransTypes[],Transactions[[#This Row],[TTR]],TT_COL_LONGORSHORT)="S",
      IF( OR(INDEX(TransTypes[],Transactions[[#This Row],[TTR]],TT_COL_GLFlag)=1, INDEX(TransTypes[], Transactions[[#This Row],[TTR]], TT_COL_ShareTransferFlag)=1),
            Transactions[[#This Row],[CostImpact]]*-1,
            Transactions[[#This Row],[CalCashImpact]]
      ),
     0
)</f>
        <v>0</v>
      </c>
      <c r="Y1307" s="168" t="str">
        <f>VLOOKUP(Transactions[[#This Row],[Symbol]],Symbols[], COLUMN(Symbols[Currency])-COLUMN(Symbols[])+1,FALSE)</f>
        <v>HKD</v>
      </c>
    </row>
    <row r="1308" spans="1:25">
      <c r="A1308" s="155" t="s">
        <v>82</v>
      </c>
      <c r="B1308" s="156">
        <v>42656</v>
      </c>
      <c r="C1308" s="155" t="s">
        <v>113</v>
      </c>
      <c r="D1308" s="155"/>
      <c r="E1308" s="155" t="s">
        <v>646</v>
      </c>
      <c r="F1308" s="157">
        <v>500</v>
      </c>
      <c r="G1308" s="158">
        <v>211.2</v>
      </c>
      <c r="H1308" s="157">
        <v>433.54</v>
      </c>
      <c r="I1308" s="157"/>
      <c r="J1308" s="159">
        <v>106033.54</v>
      </c>
      <c r="K1308" s="6" t="s">
        <v>641</v>
      </c>
      <c r="L1308" s="20">
        <f>IF(ISNA(MATCH(Transactions[[#This Row],[TransType]],TransTypes[TransType],0)),1,MATCH(Transactions[[#This Row],[TransType]],TransTypes[TransType],0))</f>
        <v>2</v>
      </c>
      <c r="M1308" s="160">
        <f>IF( AND( INDEX(TransTypes[],Transactions[[#This Row],[TTR]],TT_COL_GLFlag)=1, INDEX(TransTypes[],Transactions[[#This Row],[TTR]],TT_COL_LONGORSHORT)="S" ),
      Transactions[[#This Row],[PL]],
      IF(INDEX(TransTypes[],Transactions[[#This Row],[TTR]],TT_COL_LONGORSHORT)="S",0,Transactions[[#This Row],[CalCashImpact]])
)</f>
        <v>-106033.54</v>
      </c>
      <c r="N1308" s="161">
        <f>IF(VLOOKUP(Transactions[[#This Row],[Symbol]],Symbols[],COLUMN(Symbols[Currency])-COLUMN(Symbols[])+1,FALSE)=
       VLOOKUP(Transactions[[#This Row],[Account]],Accounts[],COLUMN(Accounts[Currency])-COLUMN(Accounts[])+1,FALSE),
     Transactions[[#This Row],[OrigCashImpact]],
     0
)</f>
        <v>0</v>
      </c>
      <c r="O13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2819373.6699999985</v>
      </c>
      <c r="P13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4500</v>
      </c>
      <c r="R1308" s="41">
        <f>ROW()</f>
        <v>1308</v>
      </c>
      <c r="S13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106033.54</v>
      </c>
      <c r="T13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683442.74</v>
      </c>
      <c r="U13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4500</v>
      </c>
      <c r="V1308" s="166">
        <f>IF(INDEX(TransTypes[],Transactions[[#This Row],[TTR]],TT_COL_GLFlag)=1,Transactions[[#This Row],[CalCashImpact]]+Transactions[[#This Row],[CostImpact]],0)</f>
        <v>0</v>
      </c>
      <c r="W1308" s="167">
        <f>Transactions[[#This Row],[Amount]]*INDEX(TransTypes[],Transactions[[#This Row],[TTR]],TT_COL_AmntSign)</f>
        <v>-106033.54</v>
      </c>
      <c r="X1308" s="167">
        <f>IF(INDEX(TransTypes[],Transactions[[#This Row],[TTR]],TT_COL_LONGORSHORT)="S",
      IF( OR(INDEX(TransTypes[],Transactions[[#This Row],[TTR]],TT_COL_GLFlag)=1, INDEX(TransTypes[], Transactions[[#This Row],[TTR]], TT_COL_ShareTransferFlag)=1),
            Transactions[[#This Row],[CostImpact]]*-1,
            Transactions[[#This Row],[CalCashImpact]]
      ),
     0
)</f>
        <v>0</v>
      </c>
      <c r="Y1308" s="168" t="str">
        <f>VLOOKUP(Transactions[[#This Row],[Symbol]],Symbols[], COLUMN(Symbols[Currency])-COLUMN(Symbols[])+1,FALSE)</f>
        <v>HKD</v>
      </c>
    </row>
    <row r="1309" spans="1:25">
      <c r="A1309" s="155" t="s">
        <v>82</v>
      </c>
      <c r="B1309" s="156">
        <v>42657</v>
      </c>
      <c r="C1309" s="155" t="s">
        <v>113</v>
      </c>
      <c r="D1309" s="155"/>
      <c r="E1309" s="155" t="s">
        <v>644</v>
      </c>
      <c r="F1309" s="157">
        <v>1000</v>
      </c>
      <c r="G1309" s="158">
        <v>64.44</v>
      </c>
      <c r="H1309" s="157">
        <v>25.78</v>
      </c>
      <c r="I1309" s="157"/>
      <c r="J1309" s="159">
        <v>64465.78</v>
      </c>
      <c r="K1309" s="6" t="s">
        <v>641</v>
      </c>
      <c r="L1309" s="20">
        <f>IF(ISNA(MATCH(Transactions[[#This Row],[TransType]],TransTypes[TransType],0)),1,MATCH(Transactions[[#This Row],[TransType]],TransTypes[TransType],0))</f>
        <v>2</v>
      </c>
      <c r="M1309" s="160">
        <f>IF( AND( INDEX(TransTypes[],Transactions[[#This Row],[TTR]],TT_COL_GLFlag)=1, INDEX(TransTypes[],Transactions[[#This Row],[TTR]],TT_COL_LONGORSHORT)="S" ),
      Transactions[[#This Row],[PL]],
      IF(INDEX(TransTypes[],Transactions[[#This Row],[TTR]],TT_COL_LONGORSHORT)="S",0,Transactions[[#This Row],[CalCashImpact]])
)</f>
        <v>-64465.78</v>
      </c>
      <c r="N1309" s="161">
        <f>IF(VLOOKUP(Transactions[[#This Row],[Symbol]],Symbols[],COLUMN(Symbols[Currency])-COLUMN(Symbols[])+1,FALSE)=
       VLOOKUP(Transactions[[#This Row],[Account]],Accounts[],COLUMN(Accounts[Currency])-COLUMN(Accounts[])+1,FALSE),
     Transactions[[#This Row],[OrigCashImpact]],
     0
)</f>
        <v>-64465.78</v>
      </c>
      <c r="O13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2754907.8899999987</v>
      </c>
      <c r="P13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1309" s="41">
        <f>ROW()</f>
        <v>1309</v>
      </c>
      <c r="S13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64465.78</v>
      </c>
      <c r="T13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229879.22280045351</v>
      </c>
      <c r="U13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309" s="166">
        <f>IF(INDEX(TransTypes[],Transactions[[#This Row],[TTR]],TT_COL_GLFlag)=1,Transactions[[#This Row],[CalCashImpact]]+Transactions[[#This Row],[CostImpact]],0)</f>
        <v>0</v>
      </c>
      <c r="W1309" s="167">
        <f>Transactions[[#This Row],[Amount]]*INDEX(TransTypes[],Transactions[[#This Row],[TTR]],TT_COL_AmntSign)</f>
        <v>-64465.78</v>
      </c>
      <c r="X1309" s="167">
        <f>IF(INDEX(TransTypes[],Transactions[[#This Row],[TTR]],TT_COL_LONGORSHORT)="S",
      IF( OR(INDEX(TransTypes[],Transactions[[#This Row],[TTR]],TT_COL_GLFlag)=1, INDEX(TransTypes[], Transactions[[#This Row],[TTR]], TT_COL_ShareTransferFlag)=1),
            Transactions[[#This Row],[CostImpact]]*-1,
            Transactions[[#This Row],[CalCashImpact]]
      ),
     0
)</f>
        <v>0</v>
      </c>
      <c r="Y1309" s="168" t="str">
        <f>VLOOKUP(Transactions[[#This Row],[Symbol]],Symbols[], COLUMN(Symbols[Currency])-COLUMN(Symbols[])+1,FALSE)</f>
        <v>CNY</v>
      </c>
    </row>
    <row r="1310" spans="1:25">
      <c r="A1310" s="155" t="s">
        <v>82</v>
      </c>
      <c r="B1310" s="156">
        <v>42657</v>
      </c>
      <c r="C1310" s="155" t="s">
        <v>113</v>
      </c>
      <c r="D1310" s="155"/>
      <c r="E1310" s="155" t="s">
        <v>715</v>
      </c>
      <c r="F1310" s="157">
        <v>180000</v>
      </c>
      <c r="G1310" s="158">
        <v>0.39500000000000002</v>
      </c>
      <c r="H1310" s="157">
        <v>28.44</v>
      </c>
      <c r="I1310" s="157"/>
      <c r="J1310" s="159">
        <v>71128.44</v>
      </c>
      <c r="K1310" s="6" t="s">
        <v>641</v>
      </c>
      <c r="L1310" s="20">
        <f>IF(ISNA(MATCH(Transactions[[#This Row],[TransType]],TransTypes[TransType],0)),1,MATCH(Transactions[[#This Row],[TransType]],TransTypes[TransType],0))</f>
        <v>2</v>
      </c>
      <c r="M1310" s="160">
        <f>IF( AND( INDEX(TransTypes[],Transactions[[#This Row],[TTR]],TT_COL_GLFlag)=1, INDEX(TransTypes[],Transactions[[#This Row],[TTR]],TT_COL_LONGORSHORT)="S" ),
      Transactions[[#This Row],[PL]],
      IF(INDEX(TransTypes[],Transactions[[#This Row],[TTR]],TT_COL_LONGORSHORT)="S",0,Transactions[[#This Row],[CalCashImpact]])
)</f>
        <v>-71128.44</v>
      </c>
      <c r="N1310" s="161">
        <f>IF(VLOOKUP(Transactions[[#This Row],[Symbol]],Symbols[],COLUMN(Symbols[Currency])-COLUMN(Symbols[])+1,FALSE)=
       VLOOKUP(Transactions[[#This Row],[Account]],Accounts[],COLUMN(Accounts[Currency])-COLUMN(Accounts[])+1,FALSE),
     Transactions[[#This Row],[OrigCashImpact]],
     0
)</f>
        <v>-71128.44</v>
      </c>
      <c r="O13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2683779.4499999983</v>
      </c>
      <c r="P13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180000</v>
      </c>
      <c r="Q13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180000</v>
      </c>
      <c r="R1310" s="41">
        <f>ROW()</f>
        <v>1310</v>
      </c>
      <c r="S13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71128.44</v>
      </c>
      <c r="T13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71128.44</v>
      </c>
      <c r="U13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180000</v>
      </c>
      <c r="V1310" s="166">
        <f>IF(INDEX(TransTypes[],Transactions[[#This Row],[TTR]],TT_COL_GLFlag)=1,Transactions[[#This Row],[CalCashImpact]]+Transactions[[#This Row],[CostImpact]],0)</f>
        <v>0</v>
      </c>
      <c r="W1310" s="167">
        <f>Transactions[[#This Row],[Amount]]*INDEX(TransTypes[],Transactions[[#This Row],[TTR]],TT_COL_AmntSign)</f>
        <v>-71128.44</v>
      </c>
      <c r="X1310" s="167">
        <f>IF(INDEX(TransTypes[],Transactions[[#This Row],[TTR]],TT_COL_LONGORSHORT)="S",
      IF( OR(INDEX(TransTypes[],Transactions[[#This Row],[TTR]],TT_COL_GLFlag)=1, INDEX(TransTypes[], Transactions[[#This Row],[TTR]], TT_COL_ShareTransferFlag)=1),
            Transactions[[#This Row],[CostImpact]]*-1,
            Transactions[[#This Row],[CalCashImpact]]
      ),
     0
)</f>
        <v>0</v>
      </c>
      <c r="Y1310" s="168" t="str">
        <f>VLOOKUP(Transactions[[#This Row],[Symbol]],Symbols[], COLUMN(Symbols[Currency])-COLUMN(Symbols[])+1,FALSE)</f>
        <v>CNY</v>
      </c>
    </row>
    <row r="1311" spans="1:25">
      <c r="A1311" s="155" t="s">
        <v>82</v>
      </c>
      <c r="B1311" s="156">
        <v>42657</v>
      </c>
      <c r="C1311" s="155" t="s">
        <v>113</v>
      </c>
      <c r="D1311" s="155"/>
      <c r="E1311" s="155" t="s">
        <v>715</v>
      </c>
      <c r="F1311" s="157">
        <v>250000</v>
      </c>
      <c r="G1311" s="158">
        <v>0.39600000000000002</v>
      </c>
      <c r="H1311" s="157">
        <v>39.6</v>
      </c>
      <c r="I1311" s="157"/>
      <c r="J1311" s="159">
        <v>99039.6</v>
      </c>
      <c r="K1311" s="6" t="s">
        <v>641</v>
      </c>
      <c r="L1311" s="20">
        <f>IF(ISNA(MATCH(Transactions[[#This Row],[TransType]],TransTypes[TransType],0)),1,MATCH(Transactions[[#This Row],[TransType]],TransTypes[TransType],0))</f>
        <v>2</v>
      </c>
      <c r="M1311" s="160">
        <f>IF( AND( INDEX(TransTypes[],Transactions[[#This Row],[TTR]],TT_COL_GLFlag)=1, INDEX(TransTypes[],Transactions[[#This Row],[TTR]],TT_COL_LONGORSHORT)="S" ),
      Transactions[[#This Row],[PL]],
      IF(INDEX(TransTypes[],Transactions[[#This Row],[TTR]],TT_COL_LONGORSHORT)="S",0,Transactions[[#This Row],[CalCashImpact]])
)</f>
        <v>-99039.6</v>
      </c>
      <c r="N1311" s="161">
        <f>IF(VLOOKUP(Transactions[[#This Row],[Symbol]],Symbols[],COLUMN(Symbols[Currency])-COLUMN(Symbols[])+1,FALSE)=
       VLOOKUP(Transactions[[#This Row],[Account]],Accounts[],COLUMN(Accounts[Currency])-COLUMN(Accounts[])+1,FALSE),
     Transactions[[#This Row],[OrigCashImpact]],
     0
)</f>
        <v>-99039.6</v>
      </c>
      <c r="O13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2584739.8499999987</v>
      </c>
      <c r="P13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250000</v>
      </c>
      <c r="Q13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430000</v>
      </c>
      <c r="R1311" s="41">
        <f>ROW()</f>
        <v>1311</v>
      </c>
      <c r="S13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99039.6</v>
      </c>
      <c r="T13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170168.04</v>
      </c>
      <c r="U13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430000</v>
      </c>
      <c r="V1311" s="166">
        <f>IF(INDEX(TransTypes[],Transactions[[#This Row],[TTR]],TT_COL_GLFlag)=1,Transactions[[#This Row],[CalCashImpact]]+Transactions[[#This Row],[CostImpact]],0)</f>
        <v>0</v>
      </c>
      <c r="W1311" s="167">
        <f>Transactions[[#This Row],[Amount]]*INDEX(TransTypes[],Transactions[[#This Row],[TTR]],TT_COL_AmntSign)</f>
        <v>-99039.6</v>
      </c>
      <c r="X1311" s="167">
        <f>IF(INDEX(TransTypes[],Transactions[[#This Row],[TTR]],TT_COL_LONGORSHORT)="S",
      IF( OR(INDEX(TransTypes[],Transactions[[#This Row],[TTR]],TT_COL_GLFlag)=1, INDEX(TransTypes[], Transactions[[#This Row],[TTR]], TT_COL_ShareTransferFlag)=1),
            Transactions[[#This Row],[CostImpact]]*-1,
            Transactions[[#This Row],[CalCashImpact]]
      ),
     0
)</f>
        <v>0</v>
      </c>
      <c r="Y1311" s="168" t="str">
        <f>VLOOKUP(Transactions[[#This Row],[Symbol]],Symbols[], COLUMN(Symbols[Currency])-COLUMN(Symbols[])+1,FALSE)</f>
        <v>CNY</v>
      </c>
    </row>
    <row r="1312" spans="1:25">
      <c r="A1312" s="155" t="s">
        <v>82</v>
      </c>
      <c r="B1312" s="156">
        <v>42657</v>
      </c>
      <c r="C1312" s="155" t="s">
        <v>113</v>
      </c>
      <c r="D1312" s="155"/>
      <c r="E1312" s="155" t="s">
        <v>715</v>
      </c>
      <c r="F1312" s="157">
        <v>1000000</v>
      </c>
      <c r="G1312" s="158">
        <v>0.39600000000000002</v>
      </c>
      <c r="H1312" s="157">
        <v>158.4</v>
      </c>
      <c r="I1312" s="157"/>
      <c r="J1312" s="159">
        <v>396158.4</v>
      </c>
      <c r="K1312" s="6" t="s">
        <v>641</v>
      </c>
      <c r="L1312" s="20">
        <f>IF(ISNA(MATCH(Transactions[[#This Row],[TransType]],TransTypes[TransType],0)),1,MATCH(Transactions[[#This Row],[TransType]],TransTypes[TransType],0))</f>
        <v>2</v>
      </c>
      <c r="M1312" s="160">
        <f>IF( AND( INDEX(TransTypes[],Transactions[[#This Row],[TTR]],TT_COL_GLFlag)=1, INDEX(TransTypes[],Transactions[[#This Row],[TTR]],TT_COL_LONGORSHORT)="S" ),
      Transactions[[#This Row],[PL]],
      IF(INDEX(TransTypes[],Transactions[[#This Row],[TTR]],TT_COL_LONGORSHORT)="S",0,Transactions[[#This Row],[CalCashImpact]])
)</f>
        <v>-396158.4</v>
      </c>
      <c r="N1312" s="161">
        <f>IF(VLOOKUP(Transactions[[#This Row],[Symbol]],Symbols[],COLUMN(Symbols[Currency])-COLUMN(Symbols[])+1,FALSE)=
       VLOOKUP(Transactions[[#This Row],[Account]],Accounts[],COLUMN(Accounts[Currency])-COLUMN(Accounts[])+1,FALSE),
     Transactions[[#This Row],[OrigCashImpact]],
     0
)</f>
        <v>-396158.4</v>
      </c>
      <c r="O13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2188581.4499999983</v>
      </c>
      <c r="P13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1000000</v>
      </c>
      <c r="Q13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1430000</v>
      </c>
      <c r="R1312" s="41">
        <f>ROW()</f>
        <v>1312</v>
      </c>
      <c r="S13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396158.4</v>
      </c>
      <c r="T13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566326.44000000006</v>
      </c>
      <c r="U13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1430000</v>
      </c>
      <c r="V1312" s="166">
        <f>IF(INDEX(TransTypes[],Transactions[[#This Row],[TTR]],TT_COL_GLFlag)=1,Transactions[[#This Row],[CalCashImpact]]+Transactions[[#This Row],[CostImpact]],0)</f>
        <v>0</v>
      </c>
      <c r="W1312" s="167">
        <f>Transactions[[#This Row],[Amount]]*INDEX(TransTypes[],Transactions[[#This Row],[TTR]],TT_COL_AmntSign)</f>
        <v>-396158.4</v>
      </c>
      <c r="X1312" s="167">
        <f>IF(INDEX(TransTypes[],Transactions[[#This Row],[TTR]],TT_COL_LONGORSHORT)="S",
      IF( OR(INDEX(TransTypes[],Transactions[[#This Row],[TTR]],TT_COL_GLFlag)=1, INDEX(TransTypes[], Transactions[[#This Row],[TTR]], TT_COL_ShareTransferFlag)=1),
            Transactions[[#This Row],[CostImpact]]*-1,
            Transactions[[#This Row],[CalCashImpact]]
      ),
     0
)</f>
        <v>0</v>
      </c>
      <c r="Y1312" s="168" t="str">
        <f>VLOOKUP(Transactions[[#This Row],[Symbol]],Symbols[], COLUMN(Symbols[Currency])-COLUMN(Symbols[])+1,FALSE)</f>
        <v>CNY</v>
      </c>
    </row>
    <row r="1313" spans="1:25">
      <c r="A1313" s="155" t="s">
        <v>82</v>
      </c>
      <c r="B1313" s="156">
        <v>42661</v>
      </c>
      <c r="C1313" s="155" t="s">
        <v>113</v>
      </c>
      <c r="D1313" s="155"/>
      <c r="E1313" s="155" t="s">
        <v>715</v>
      </c>
      <c r="F1313" s="157">
        <v>250000</v>
      </c>
      <c r="G1313" s="158">
        <v>0.39300000000000002</v>
      </c>
      <c r="H1313" s="157">
        <v>39.299999999999997</v>
      </c>
      <c r="I1313" s="157"/>
      <c r="J1313" s="159">
        <v>98289.3</v>
      </c>
      <c r="K1313" s="6" t="s">
        <v>641</v>
      </c>
      <c r="L1313" s="20">
        <f>IF(ISNA(MATCH(Transactions[[#This Row],[TransType]],TransTypes[TransType],0)),1,MATCH(Transactions[[#This Row],[TransType]],TransTypes[TransType],0))</f>
        <v>2</v>
      </c>
      <c r="M1313" s="160">
        <f>IF( AND( INDEX(TransTypes[],Transactions[[#This Row],[TTR]],TT_COL_GLFlag)=1, INDEX(TransTypes[],Transactions[[#This Row],[TTR]],TT_COL_LONGORSHORT)="S" ),
      Transactions[[#This Row],[PL]],
      IF(INDEX(TransTypes[],Transactions[[#This Row],[TTR]],TT_COL_LONGORSHORT)="S",0,Transactions[[#This Row],[CalCashImpact]])
)</f>
        <v>-98289.3</v>
      </c>
      <c r="N1313" s="161">
        <f>IF(VLOOKUP(Transactions[[#This Row],[Symbol]],Symbols[],COLUMN(Symbols[Currency])-COLUMN(Symbols[])+1,FALSE)=
       VLOOKUP(Transactions[[#This Row],[Account]],Accounts[],COLUMN(Accounts[Currency])-COLUMN(Accounts[])+1,FALSE),
     Transactions[[#This Row],[OrigCashImpact]],
     0
)</f>
        <v>-98289.3</v>
      </c>
      <c r="O13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2090292.1499999987</v>
      </c>
      <c r="P13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250000</v>
      </c>
      <c r="Q13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1680000</v>
      </c>
      <c r="R1313" s="41">
        <f>ROW()</f>
        <v>1313</v>
      </c>
      <c r="S13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98289.3</v>
      </c>
      <c r="T13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664615.74000000011</v>
      </c>
      <c r="U13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1680000</v>
      </c>
      <c r="V1313" s="166">
        <f>IF(INDEX(TransTypes[],Transactions[[#This Row],[TTR]],TT_COL_GLFlag)=1,Transactions[[#This Row],[CalCashImpact]]+Transactions[[#This Row],[CostImpact]],0)</f>
        <v>0</v>
      </c>
      <c r="W1313" s="167">
        <f>Transactions[[#This Row],[Amount]]*INDEX(TransTypes[],Transactions[[#This Row],[TTR]],TT_COL_AmntSign)</f>
        <v>-98289.3</v>
      </c>
      <c r="X1313" s="167">
        <f>IF(INDEX(TransTypes[],Transactions[[#This Row],[TTR]],TT_COL_LONGORSHORT)="S",
      IF( OR(INDEX(TransTypes[],Transactions[[#This Row],[TTR]],TT_COL_GLFlag)=1, INDEX(TransTypes[], Transactions[[#This Row],[TTR]], TT_COL_ShareTransferFlag)=1),
            Transactions[[#This Row],[CostImpact]]*-1,
            Transactions[[#This Row],[CalCashImpact]]
      ),
     0
)</f>
        <v>0</v>
      </c>
      <c r="Y1313" s="168" t="str">
        <f>VLOOKUP(Transactions[[#This Row],[Symbol]],Symbols[], COLUMN(Symbols[Currency])-COLUMN(Symbols[])+1,FALSE)</f>
        <v>CNY</v>
      </c>
    </row>
    <row r="1314" spans="1:25">
      <c r="A1314" s="155" t="s">
        <v>82</v>
      </c>
      <c r="B1314" s="156">
        <v>42662</v>
      </c>
      <c r="C1314" s="155" t="s">
        <v>113</v>
      </c>
      <c r="D1314" s="155"/>
      <c r="E1314" s="155" t="s">
        <v>715</v>
      </c>
      <c r="F1314" s="157">
        <v>500000</v>
      </c>
      <c r="G1314" s="158">
        <v>0.4</v>
      </c>
      <c r="H1314" s="157">
        <v>80</v>
      </c>
      <c r="I1314" s="157"/>
      <c r="J1314" s="159">
        <v>200080</v>
      </c>
      <c r="K1314" s="6" t="s">
        <v>641</v>
      </c>
      <c r="L1314" s="20">
        <f>IF(ISNA(MATCH(Transactions[[#This Row],[TransType]],TransTypes[TransType],0)),1,MATCH(Transactions[[#This Row],[TransType]],TransTypes[TransType],0))</f>
        <v>2</v>
      </c>
      <c r="M1314" s="160">
        <f>IF( AND( INDEX(TransTypes[],Transactions[[#This Row],[TTR]],TT_COL_GLFlag)=1, INDEX(TransTypes[],Transactions[[#This Row],[TTR]],TT_COL_LONGORSHORT)="S" ),
      Transactions[[#This Row],[PL]],
      IF(INDEX(TransTypes[],Transactions[[#This Row],[TTR]],TT_COL_LONGORSHORT)="S",0,Transactions[[#This Row],[CalCashImpact]])
)</f>
        <v>-200080</v>
      </c>
      <c r="N1314" s="161">
        <f>IF(VLOOKUP(Transactions[[#This Row],[Symbol]],Symbols[],COLUMN(Symbols[Currency])-COLUMN(Symbols[])+1,FALSE)=
       VLOOKUP(Transactions[[#This Row],[Account]],Accounts[],COLUMN(Accounts[Currency])-COLUMN(Accounts[])+1,FALSE),
     Transactions[[#This Row],[OrigCashImpact]],
     0
)</f>
        <v>-200080</v>
      </c>
      <c r="O13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1890212.1499999987</v>
      </c>
      <c r="P13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500000</v>
      </c>
      <c r="Q13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2180000</v>
      </c>
      <c r="R1314" s="41">
        <f>ROW()</f>
        <v>1314</v>
      </c>
      <c r="S13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200080</v>
      </c>
      <c r="T13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864695.74000000011</v>
      </c>
      <c r="U13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2180000</v>
      </c>
      <c r="V1314" s="166">
        <f>IF(INDEX(TransTypes[],Transactions[[#This Row],[TTR]],TT_COL_GLFlag)=1,Transactions[[#This Row],[CalCashImpact]]+Transactions[[#This Row],[CostImpact]],0)</f>
        <v>0</v>
      </c>
      <c r="W1314" s="167">
        <f>Transactions[[#This Row],[Amount]]*INDEX(TransTypes[],Transactions[[#This Row],[TTR]],TT_COL_AmntSign)</f>
        <v>-200080</v>
      </c>
      <c r="X1314" s="167">
        <f>IF(INDEX(TransTypes[],Transactions[[#This Row],[TTR]],TT_COL_LONGORSHORT)="S",
      IF( OR(INDEX(TransTypes[],Transactions[[#This Row],[TTR]],TT_COL_GLFlag)=1, INDEX(TransTypes[], Transactions[[#This Row],[TTR]], TT_COL_ShareTransferFlag)=1),
            Transactions[[#This Row],[CostImpact]]*-1,
            Transactions[[#This Row],[CalCashImpact]]
      ),
     0
)</f>
        <v>0</v>
      </c>
      <c r="Y1314" s="168" t="str">
        <f>VLOOKUP(Transactions[[#This Row],[Symbol]],Symbols[], COLUMN(Symbols[Currency])-COLUMN(Symbols[])+1,FALSE)</f>
        <v>CNY</v>
      </c>
    </row>
    <row r="1315" spans="1:25">
      <c r="A1315" s="155" t="s">
        <v>82</v>
      </c>
      <c r="B1315" s="156">
        <v>42668</v>
      </c>
      <c r="C1315" s="155" t="s">
        <v>113</v>
      </c>
      <c r="D1315" s="155"/>
      <c r="E1315" s="155" t="s">
        <v>715</v>
      </c>
      <c r="F1315" s="157">
        <v>250000</v>
      </c>
      <c r="G1315" s="158">
        <v>0.39800000000000002</v>
      </c>
      <c r="H1315" s="157">
        <v>39.799999999999997</v>
      </c>
      <c r="I1315" s="157"/>
      <c r="J1315" s="159">
        <v>99539.8</v>
      </c>
      <c r="K1315" s="6" t="s">
        <v>641</v>
      </c>
      <c r="L1315" s="20">
        <f>IF(ISNA(MATCH(Transactions[[#This Row],[TransType]],TransTypes[TransType],0)),1,MATCH(Transactions[[#This Row],[TransType]],TransTypes[TransType],0))</f>
        <v>2</v>
      </c>
      <c r="M1315" s="160">
        <f>IF( AND( INDEX(TransTypes[],Transactions[[#This Row],[TTR]],TT_COL_GLFlag)=1, INDEX(TransTypes[],Transactions[[#This Row],[TTR]],TT_COL_LONGORSHORT)="S" ),
      Transactions[[#This Row],[PL]],
      IF(INDEX(TransTypes[],Transactions[[#This Row],[TTR]],TT_COL_LONGORSHORT)="S",0,Transactions[[#This Row],[CalCashImpact]])
)</f>
        <v>-99539.8</v>
      </c>
      <c r="N1315" s="161">
        <f>IF(VLOOKUP(Transactions[[#This Row],[Symbol]],Symbols[],COLUMN(Symbols[Currency])-COLUMN(Symbols[])+1,FALSE)=
       VLOOKUP(Transactions[[#This Row],[Account]],Accounts[],COLUMN(Accounts[Currency])-COLUMN(Accounts[])+1,FALSE),
     Transactions[[#This Row],[OrigCashImpact]],
     0
)</f>
        <v>-99539.8</v>
      </c>
      <c r="O13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1790672.3499999987</v>
      </c>
      <c r="P13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250000</v>
      </c>
      <c r="Q13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2430000</v>
      </c>
      <c r="R1315" s="41">
        <f>ROW()</f>
        <v>1315</v>
      </c>
      <c r="S13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99539.8</v>
      </c>
      <c r="T13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964235.54000000015</v>
      </c>
      <c r="U13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2430000</v>
      </c>
      <c r="V1315" s="166">
        <f>IF(INDEX(TransTypes[],Transactions[[#This Row],[TTR]],TT_COL_GLFlag)=1,Transactions[[#This Row],[CalCashImpact]]+Transactions[[#This Row],[CostImpact]],0)</f>
        <v>0</v>
      </c>
      <c r="W1315" s="167">
        <f>Transactions[[#This Row],[Amount]]*INDEX(TransTypes[],Transactions[[#This Row],[TTR]],TT_COL_AmntSign)</f>
        <v>-99539.8</v>
      </c>
      <c r="X1315" s="167">
        <f>IF(INDEX(TransTypes[],Transactions[[#This Row],[TTR]],TT_COL_LONGORSHORT)="S",
      IF( OR(INDEX(TransTypes[],Transactions[[#This Row],[TTR]],TT_COL_GLFlag)=1, INDEX(TransTypes[], Transactions[[#This Row],[TTR]], TT_COL_ShareTransferFlag)=1),
            Transactions[[#This Row],[CostImpact]]*-1,
            Transactions[[#This Row],[CalCashImpact]]
      ),
     0
)</f>
        <v>0</v>
      </c>
      <c r="Y1315" s="168" t="str">
        <f>VLOOKUP(Transactions[[#This Row],[Symbol]],Symbols[], COLUMN(Symbols[Currency])-COLUMN(Symbols[])+1,FALSE)</f>
        <v>CNY</v>
      </c>
    </row>
    <row r="1316" spans="1:25">
      <c r="A1316" s="155" t="s">
        <v>82</v>
      </c>
      <c r="B1316" s="156">
        <v>42668</v>
      </c>
      <c r="C1316" s="155" t="s">
        <v>115</v>
      </c>
      <c r="D1316" s="155"/>
      <c r="E1316" s="155" t="s">
        <v>711</v>
      </c>
      <c r="F1316" s="157">
        <v>5000</v>
      </c>
      <c r="G1316" s="158">
        <v>17.86</v>
      </c>
      <c r="H1316" s="157">
        <v>125.01</v>
      </c>
      <c r="I1316" s="157"/>
      <c r="J1316" s="159">
        <v>89174.99</v>
      </c>
      <c r="K1316" s="6" t="s">
        <v>641</v>
      </c>
      <c r="L1316" s="20">
        <f>IF(ISNA(MATCH(Transactions[[#This Row],[TransType]],TransTypes[TransType],0)),1,MATCH(Transactions[[#This Row],[TransType]],TransTypes[TransType],0))</f>
        <v>3</v>
      </c>
      <c r="M1316" s="160">
        <f>IF( AND( INDEX(TransTypes[],Transactions[[#This Row],[TTR]],TT_COL_GLFlag)=1, INDEX(TransTypes[],Transactions[[#This Row],[TTR]],TT_COL_LONGORSHORT)="S" ),
      Transactions[[#This Row],[PL]],
      IF(INDEX(TransTypes[],Transactions[[#This Row],[TTR]],TT_COL_LONGORSHORT)="S",0,Transactions[[#This Row],[CalCashImpact]])
)</f>
        <v>89174.99</v>
      </c>
      <c r="N1316" s="161">
        <f>IF(VLOOKUP(Transactions[[#This Row],[Symbol]],Symbols[],COLUMN(Symbols[Currency])-COLUMN(Symbols[])+1,FALSE)=
       VLOOKUP(Transactions[[#This Row],[Account]],Accounts[],COLUMN(Accounts[Currency])-COLUMN(Accounts[])+1,FALSE),
     Transactions[[#This Row],[OrigCashImpact]],
     0
)</f>
        <v>89174.99</v>
      </c>
      <c r="O13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1879847.3399999987</v>
      </c>
      <c r="P13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3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316" s="41">
        <f>ROW()</f>
        <v>1316</v>
      </c>
      <c r="S13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-91317.900000000009</v>
      </c>
      <c r="T13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237426.53999999998</v>
      </c>
      <c r="U13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1316" s="166">
        <f>IF(INDEX(TransTypes[],Transactions[[#This Row],[TTR]],TT_COL_GLFlag)=1,Transactions[[#This Row],[CalCashImpact]]+Transactions[[#This Row],[CostImpact]],0)</f>
        <v>-2142.9100000000035</v>
      </c>
      <c r="W1316" s="167">
        <f>Transactions[[#This Row],[Amount]]*INDEX(TransTypes[],Transactions[[#This Row],[TTR]],TT_COL_AmntSign)</f>
        <v>89174.99</v>
      </c>
      <c r="X1316" s="167">
        <f>IF(INDEX(TransTypes[],Transactions[[#This Row],[TTR]],TT_COL_LONGORSHORT)="S",
      IF( OR(INDEX(TransTypes[],Transactions[[#This Row],[TTR]],TT_COL_GLFlag)=1, INDEX(TransTypes[], Transactions[[#This Row],[TTR]], TT_COL_ShareTransferFlag)=1),
            Transactions[[#This Row],[CostImpact]]*-1,
            Transactions[[#This Row],[CalCashImpact]]
      ),
     0
)</f>
        <v>0</v>
      </c>
      <c r="Y1316" s="168" t="str">
        <f>VLOOKUP(Transactions[[#This Row],[Symbol]],Symbols[], COLUMN(Symbols[Currency])-COLUMN(Symbols[])+1,FALSE)</f>
        <v>CNY</v>
      </c>
    </row>
    <row r="1317" spans="1:25">
      <c r="A1317" s="155" t="s">
        <v>82</v>
      </c>
      <c r="B1317" s="156">
        <v>42669</v>
      </c>
      <c r="C1317" s="155" t="s">
        <v>113</v>
      </c>
      <c r="D1317" s="155"/>
      <c r="E1317" s="155" t="s">
        <v>715</v>
      </c>
      <c r="F1317" s="157">
        <v>530000</v>
      </c>
      <c r="G1317" s="158">
        <v>0.39700000000000002</v>
      </c>
      <c r="H1317" s="157">
        <v>84.16</v>
      </c>
      <c r="I1317" s="157"/>
      <c r="J1317" s="159">
        <v>210494.16</v>
      </c>
      <c r="K1317" s="6" t="s">
        <v>641</v>
      </c>
      <c r="L1317" s="20">
        <f>IF(ISNA(MATCH(Transactions[[#This Row],[TransType]],TransTypes[TransType],0)),1,MATCH(Transactions[[#This Row],[TransType]],TransTypes[TransType],0))</f>
        <v>2</v>
      </c>
      <c r="M1317" s="160">
        <f>IF( AND( INDEX(TransTypes[],Transactions[[#This Row],[TTR]],TT_COL_GLFlag)=1, INDEX(TransTypes[],Transactions[[#This Row],[TTR]],TT_COL_LONGORSHORT)="S" ),
      Transactions[[#This Row],[PL]],
      IF(INDEX(TransTypes[],Transactions[[#This Row],[TTR]],TT_COL_LONGORSHORT)="S",0,Transactions[[#This Row],[CalCashImpact]])
)</f>
        <v>-210494.16</v>
      </c>
      <c r="N1317" s="161">
        <f>IF(VLOOKUP(Transactions[[#This Row],[Symbol]],Symbols[],COLUMN(Symbols[Currency])-COLUMN(Symbols[])+1,FALSE)=
       VLOOKUP(Transactions[[#This Row],[Account]],Accounts[],COLUMN(Accounts[Currency])-COLUMN(Accounts[])+1,FALSE),
     Transactions[[#This Row],[OrigCashImpact]],
     0
)</f>
        <v>-210494.16</v>
      </c>
      <c r="O13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1669353.1799999988</v>
      </c>
      <c r="P13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530000</v>
      </c>
      <c r="Q13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2960000</v>
      </c>
      <c r="R1317" s="41">
        <f>ROW()</f>
        <v>1317</v>
      </c>
      <c r="S13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210494.16</v>
      </c>
      <c r="T13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1174729.7000000002</v>
      </c>
      <c r="U13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2960000</v>
      </c>
      <c r="V1317" s="166">
        <f>IF(INDEX(TransTypes[],Transactions[[#This Row],[TTR]],TT_COL_GLFlag)=1,Transactions[[#This Row],[CalCashImpact]]+Transactions[[#This Row],[CostImpact]],0)</f>
        <v>0</v>
      </c>
      <c r="W1317" s="167">
        <f>Transactions[[#This Row],[Amount]]*INDEX(TransTypes[],Transactions[[#This Row],[TTR]],TT_COL_AmntSign)</f>
        <v>-210494.16</v>
      </c>
      <c r="X1317" s="167">
        <f>IF(INDEX(TransTypes[],Transactions[[#This Row],[TTR]],TT_COL_LONGORSHORT)="S",
      IF( OR(INDEX(TransTypes[],Transactions[[#This Row],[TTR]],TT_COL_GLFlag)=1, INDEX(TransTypes[], Transactions[[#This Row],[TTR]], TT_COL_ShareTransferFlag)=1),
            Transactions[[#This Row],[CostImpact]]*-1,
            Transactions[[#This Row],[CalCashImpact]]
      ),
     0
)</f>
        <v>0</v>
      </c>
      <c r="Y1317" s="168" t="str">
        <f>VLOOKUP(Transactions[[#This Row],[Symbol]],Symbols[], COLUMN(Symbols[Currency])-COLUMN(Symbols[])+1,FALSE)</f>
        <v>CNY</v>
      </c>
    </row>
    <row r="1318" spans="1:25">
      <c r="A1318" s="155" t="s">
        <v>82</v>
      </c>
      <c r="B1318" s="156">
        <v>42670</v>
      </c>
      <c r="C1318" s="155" t="s">
        <v>113</v>
      </c>
      <c r="D1318" s="155"/>
      <c r="E1318" s="155" t="s">
        <v>717</v>
      </c>
      <c r="F1318" s="157">
        <v>5000</v>
      </c>
      <c r="G1318" s="158">
        <v>28.71</v>
      </c>
      <c r="H1318" s="157">
        <v>60.29</v>
      </c>
      <c r="I1318" s="157"/>
      <c r="J1318" s="159">
        <v>143610.29</v>
      </c>
      <c r="K1318" s="6" t="s">
        <v>641</v>
      </c>
      <c r="L1318" s="20">
        <f>IF(ISNA(MATCH(Transactions[[#This Row],[TransType]],TransTypes[TransType],0)),1,MATCH(Transactions[[#This Row],[TransType]],TransTypes[TransType],0))</f>
        <v>2</v>
      </c>
      <c r="M1318" s="160">
        <f>IF( AND( INDEX(TransTypes[],Transactions[[#This Row],[TTR]],TT_COL_GLFlag)=1, INDEX(TransTypes[],Transactions[[#This Row],[TTR]],TT_COL_LONGORSHORT)="S" ),
      Transactions[[#This Row],[PL]],
      IF(INDEX(TransTypes[],Transactions[[#This Row],[TTR]],TT_COL_LONGORSHORT)="S",0,Transactions[[#This Row],[CalCashImpact]])
)</f>
        <v>-143610.29</v>
      </c>
      <c r="N1318" s="161">
        <f>IF(VLOOKUP(Transactions[[#This Row],[Symbol]],Symbols[],COLUMN(Symbols[Currency])-COLUMN(Symbols[])+1,FALSE)=
       VLOOKUP(Transactions[[#This Row],[Account]],Accounts[],COLUMN(Accounts[Currency])-COLUMN(Accounts[])+1,FALSE),
     Transactions[[#This Row],[OrigCashImpact]],
     0
)</f>
        <v>-143610.29</v>
      </c>
      <c r="O13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1525742.8899999987</v>
      </c>
      <c r="P13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3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318" s="41">
        <f>ROW()</f>
        <v>1318</v>
      </c>
      <c r="S13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143610.29</v>
      </c>
      <c r="T13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143610.29</v>
      </c>
      <c r="U13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318" s="166">
        <f>IF(INDEX(TransTypes[],Transactions[[#This Row],[TTR]],TT_COL_GLFlag)=1,Transactions[[#This Row],[CalCashImpact]]+Transactions[[#This Row],[CostImpact]],0)</f>
        <v>0</v>
      </c>
      <c r="W1318" s="167">
        <f>Transactions[[#This Row],[Amount]]*INDEX(TransTypes[],Transactions[[#This Row],[TTR]],TT_COL_AmntSign)</f>
        <v>-143610.29</v>
      </c>
      <c r="X1318" s="167">
        <f>IF(INDEX(TransTypes[],Transactions[[#This Row],[TTR]],TT_COL_LONGORSHORT)="S",
      IF( OR(INDEX(TransTypes[],Transactions[[#This Row],[TTR]],TT_COL_GLFlag)=1, INDEX(TransTypes[], Transactions[[#This Row],[TTR]], TT_COL_ShareTransferFlag)=1),
            Transactions[[#This Row],[CostImpact]]*-1,
            Transactions[[#This Row],[CalCashImpact]]
      ),
     0
)</f>
        <v>0</v>
      </c>
      <c r="Y1318" s="168" t="str">
        <f>VLOOKUP(Transactions[[#This Row],[Symbol]],Symbols[], COLUMN(Symbols[Currency])-COLUMN(Symbols[])+1,FALSE)</f>
        <v>CNY</v>
      </c>
    </row>
    <row r="1319" spans="1:25">
      <c r="A1319" s="155" t="s">
        <v>82</v>
      </c>
      <c r="B1319" s="156">
        <v>42671</v>
      </c>
      <c r="C1319" s="155" t="s">
        <v>119</v>
      </c>
      <c r="D1319" s="155"/>
      <c r="E1319" s="155" t="s">
        <v>211</v>
      </c>
      <c r="F1319" s="157"/>
      <c r="G1319" s="158"/>
      <c r="H1319" s="157"/>
      <c r="I1319" s="157"/>
      <c r="J1319" s="159">
        <v>12594.75</v>
      </c>
      <c r="K1319" s="6" t="s">
        <v>641</v>
      </c>
      <c r="L1319" s="20">
        <f>IF(ISNA(MATCH(Transactions[[#This Row],[TransType]],TransTypes[TransType],0)),1,MATCH(Transactions[[#This Row],[TransType]],TransTypes[TransType],0))</f>
        <v>5</v>
      </c>
      <c r="M1319" s="160">
        <f>IF( AND( INDEX(TransTypes[],Transactions[[#This Row],[TTR]],TT_COL_GLFlag)=1, INDEX(TransTypes[],Transactions[[#This Row],[TTR]],TT_COL_LONGORSHORT)="S" ),
      Transactions[[#This Row],[PL]],
      IF(INDEX(TransTypes[],Transactions[[#This Row],[TTR]],TT_COL_LONGORSHORT)="S",0,Transactions[[#This Row],[CalCashImpact]])
)</f>
        <v>-12594.75</v>
      </c>
      <c r="N1319" s="161">
        <f>IF(VLOOKUP(Transactions[[#This Row],[Symbol]],Symbols[],COLUMN(Symbols[Currency])-COLUMN(Symbols[])+1,FALSE)=
       VLOOKUP(Transactions[[#This Row],[Account]],Accounts[],COLUMN(Accounts[Currency])-COLUMN(Accounts[])+1,FALSE),
     Transactions[[#This Row],[OrigCashImpact]],
     0
)</f>
        <v>-12594.75</v>
      </c>
      <c r="O13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1513148.1399999987</v>
      </c>
      <c r="P13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19" s="41">
        <f>ROW()</f>
        <v>1319</v>
      </c>
      <c r="S13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19" s="166">
        <f>IF(INDEX(TransTypes[],Transactions[[#This Row],[TTR]],TT_COL_GLFlag)=1,Transactions[[#This Row],[CalCashImpact]]+Transactions[[#This Row],[CostImpact]],0)</f>
        <v>0</v>
      </c>
      <c r="W1319" s="167">
        <f>Transactions[[#This Row],[Amount]]*INDEX(TransTypes[],Transactions[[#This Row],[TTR]],TT_COL_AmntSign)</f>
        <v>-12594.75</v>
      </c>
      <c r="X1319" s="167">
        <f>IF(INDEX(TransTypes[],Transactions[[#This Row],[TTR]],TT_COL_LONGORSHORT)="S",
      IF( OR(INDEX(TransTypes[],Transactions[[#This Row],[TTR]],TT_COL_GLFlag)=1, INDEX(TransTypes[], Transactions[[#This Row],[TTR]], TT_COL_ShareTransferFlag)=1),
            Transactions[[#This Row],[CostImpact]]*-1,
            Transactions[[#This Row],[CalCashImpact]]
      ),
     0
)</f>
        <v>0</v>
      </c>
      <c r="Y1319" s="168" t="str">
        <f>VLOOKUP(Transactions[[#This Row],[Symbol]],Symbols[], COLUMN(Symbols[Currency])-COLUMN(Symbols[])+1,FALSE)</f>
        <v>CNY</v>
      </c>
    </row>
    <row r="1320" spans="1:25">
      <c r="A1320" s="155" t="s">
        <v>82</v>
      </c>
      <c r="B1320" s="156">
        <v>42675</v>
      </c>
      <c r="C1320" s="155" t="s">
        <v>115</v>
      </c>
      <c r="D1320" s="155"/>
      <c r="E1320" s="155" t="s">
        <v>715</v>
      </c>
      <c r="F1320" s="157">
        <v>450000</v>
      </c>
      <c r="G1320" s="158">
        <v>0.40100000000000002</v>
      </c>
      <c r="H1320" s="157">
        <v>72.180000000000007</v>
      </c>
      <c r="I1320" s="157"/>
      <c r="J1320" s="159">
        <v>180377.82</v>
      </c>
      <c r="K1320" s="6" t="s">
        <v>641</v>
      </c>
      <c r="L1320" s="20">
        <f>IF(ISNA(MATCH(Transactions[[#This Row],[TransType]],TransTypes[TransType],0)),1,MATCH(Transactions[[#This Row],[TransType]],TransTypes[TransType],0))</f>
        <v>3</v>
      </c>
      <c r="M1320" s="160">
        <f>IF( AND( INDEX(TransTypes[],Transactions[[#This Row],[TTR]],TT_COL_GLFlag)=1, INDEX(TransTypes[],Transactions[[#This Row],[TTR]],TT_COL_LONGORSHORT)="S" ),
      Transactions[[#This Row],[PL]],
      IF(INDEX(TransTypes[],Transactions[[#This Row],[TTR]],TT_COL_LONGORSHORT)="S",0,Transactions[[#This Row],[CalCashImpact]])
)</f>
        <v>180377.82</v>
      </c>
      <c r="N1320" s="161">
        <f>IF(VLOOKUP(Transactions[[#This Row],[Symbol]],Symbols[],COLUMN(Symbols[Currency])-COLUMN(Symbols[])+1,FALSE)=
       VLOOKUP(Transactions[[#This Row],[Account]],Accounts[],COLUMN(Accounts[Currency])-COLUMN(Accounts[])+1,FALSE),
     Transactions[[#This Row],[OrigCashImpact]],
     0
)</f>
        <v>180377.82</v>
      </c>
      <c r="O13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1693525.9599999988</v>
      </c>
      <c r="P13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-450000</v>
      </c>
      <c r="Q13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2510000</v>
      </c>
      <c r="R1320" s="41">
        <f>ROW()</f>
        <v>1320</v>
      </c>
      <c r="S13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-178590.66385135139</v>
      </c>
      <c r="T13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996139.03614864883</v>
      </c>
      <c r="U13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2960000</v>
      </c>
      <c r="V1320" s="166">
        <f>IF(INDEX(TransTypes[],Transactions[[#This Row],[TTR]],TT_COL_GLFlag)=1,Transactions[[#This Row],[CalCashImpact]]+Transactions[[#This Row],[CostImpact]],0)</f>
        <v>1787.1561486486171</v>
      </c>
      <c r="W1320" s="167">
        <f>Transactions[[#This Row],[Amount]]*INDEX(TransTypes[],Transactions[[#This Row],[TTR]],TT_COL_AmntSign)</f>
        <v>180377.82</v>
      </c>
      <c r="X1320" s="167">
        <f>IF(INDEX(TransTypes[],Transactions[[#This Row],[TTR]],TT_COL_LONGORSHORT)="S",
      IF( OR(INDEX(TransTypes[],Transactions[[#This Row],[TTR]],TT_COL_GLFlag)=1, INDEX(TransTypes[], Transactions[[#This Row],[TTR]], TT_COL_ShareTransferFlag)=1),
            Transactions[[#This Row],[CostImpact]]*-1,
            Transactions[[#This Row],[CalCashImpact]]
      ),
     0
)</f>
        <v>0</v>
      </c>
      <c r="Y1320" s="168" t="str">
        <f>VLOOKUP(Transactions[[#This Row],[Symbol]],Symbols[], COLUMN(Symbols[Currency])-COLUMN(Symbols[])+1,FALSE)</f>
        <v>CNY</v>
      </c>
    </row>
    <row r="1321" spans="1:25">
      <c r="A1321" s="155" t="s">
        <v>82</v>
      </c>
      <c r="B1321" s="156">
        <v>42675</v>
      </c>
      <c r="C1321" s="155" t="s">
        <v>113</v>
      </c>
      <c r="D1321" s="155"/>
      <c r="E1321" s="155" t="s">
        <v>712</v>
      </c>
      <c r="F1321" s="157">
        <v>80000</v>
      </c>
      <c r="G1321" s="158">
        <v>0.79300000000000004</v>
      </c>
      <c r="H1321" s="157">
        <v>25.38</v>
      </c>
      <c r="I1321" s="157"/>
      <c r="J1321" s="159">
        <v>63465.38</v>
      </c>
      <c r="K1321" s="6" t="s">
        <v>641</v>
      </c>
      <c r="L1321" s="20">
        <f>IF(ISNA(MATCH(Transactions[[#This Row],[TransType]],TransTypes[TransType],0)),1,MATCH(Transactions[[#This Row],[TransType]],TransTypes[TransType],0))</f>
        <v>2</v>
      </c>
      <c r="M1321" s="160">
        <f>IF( AND( INDEX(TransTypes[],Transactions[[#This Row],[TTR]],TT_COL_GLFlag)=1, INDEX(TransTypes[],Transactions[[#This Row],[TTR]],TT_COL_LONGORSHORT)="S" ),
      Transactions[[#This Row],[PL]],
      IF(INDEX(TransTypes[],Transactions[[#This Row],[TTR]],TT_COL_LONGORSHORT)="S",0,Transactions[[#This Row],[CalCashImpact]])
)</f>
        <v>-63465.38</v>
      </c>
      <c r="N1321" s="161">
        <f>IF(VLOOKUP(Transactions[[#This Row],[Symbol]],Symbols[],COLUMN(Symbols[Currency])-COLUMN(Symbols[])+1,FALSE)=
       VLOOKUP(Transactions[[#This Row],[Account]],Accounts[],COLUMN(Accounts[Currency])-COLUMN(Accounts[])+1,FALSE),
     Transactions[[#This Row],[OrigCashImpact]],
     0
)</f>
        <v>-63465.38</v>
      </c>
      <c r="O13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1630060.5799999987</v>
      </c>
      <c r="P13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80000</v>
      </c>
      <c r="Q13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390600</v>
      </c>
      <c r="R1321" s="41">
        <f>ROW()</f>
        <v>1321</v>
      </c>
      <c r="S13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63465.38</v>
      </c>
      <c r="T13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322563.98</v>
      </c>
      <c r="U13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390600</v>
      </c>
      <c r="V1321" s="166">
        <f>IF(INDEX(TransTypes[],Transactions[[#This Row],[TTR]],TT_COL_GLFlag)=1,Transactions[[#This Row],[CalCashImpact]]+Transactions[[#This Row],[CostImpact]],0)</f>
        <v>0</v>
      </c>
      <c r="W1321" s="167">
        <f>Transactions[[#This Row],[Amount]]*INDEX(TransTypes[],Transactions[[#This Row],[TTR]],TT_COL_AmntSign)</f>
        <v>-63465.38</v>
      </c>
      <c r="X1321" s="167">
        <f>IF(INDEX(TransTypes[],Transactions[[#This Row],[TTR]],TT_COL_LONGORSHORT)="S",
      IF( OR(INDEX(TransTypes[],Transactions[[#This Row],[TTR]],TT_COL_GLFlag)=1, INDEX(TransTypes[], Transactions[[#This Row],[TTR]], TT_COL_ShareTransferFlag)=1),
            Transactions[[#This Row],[CostImpact]]*-1,
            Transactions[[#This Row],[CalCashImpact]]
      ),
     0
)</f>
        <v>0</v>
      </c>
      <c r="Y1321" s="168" t="str">
        <f>VLOOKUP(Transactions[[#This Row],[Symbol]],Symbols[], COLUMN(Symbols[Currency])-COLUMN(Symbols[])+1,FALSE)</f>
        <v>CNY</v>
      </c>
    </row>
    <row r="1322" spans="1:25">
      <c r="A1322" s="155" t="s">
        <v>82</v>
      </c>
      <c r="B1322" s="156">
        <v>42677</v>
      </c>
      <c r="C1322" s="155" t="s">
        <v>113</v>
      </c>
      <c r="D1322" s="155"/>
      <c r="E1322" s="155" t="s">
        <v>647</v>
      </c>
      <c r="F1322" s="157">
        <v>4000</v>
      </c>
      <c r="G1322" s="158">
        <v>46.96</v>
      </c>
      <c r="H1322" s="157">
        <v>75.14</v>
      </c>
      <c r="I1322" s="157"/>
      <c r="J1322" s="159">
        <v>187915.14</v>
      </c>
      <c r="K1322" s="6" t="s">
        <v>641</v>
      </c>
      <c r="L1322" s="20">
        <f>IF(ISNA(MATCH(Transactions[[#This Row],[TransType]],TransTypes[TransType],0)),1,MATCH(Transactions[[#This Row],[TransType]],TransTypes[TransType],0))</f>
        <v>2</v>
      </c>
      <c r="M1322" s="160">
        <f>IF( AND( INDEX(TransTypes[],Transactions[[#This Row],[TTR]],TT_COL_GLFlag)=1, INDEX(TransTypes[],Transactions[[#This Row],[TTR]],TT_COL_LONGORSHORT)="S" ),
      Transactions[[#This Row],[PL]],
      IF(INDEX(TransTypes[],Transactions[[#This Row],[TTR]],TT_COL_LONGORSHORT)="S",0,Transactions[[#This Row],[CalCashImpact]])
)</f>
        <v>-187915.14</v>
      </c>
      <c r="N1322" s="161">
        <f>IF(VLOOKUP(Transactions[[#This Row],[Symbol]],Symbols[],COLUMN(Symbols[Currency])-COLUMN(Symbols[])+1,FALSE)=
       VLOOKUP(Transactions[[#This Row],[Account]],Accounts[],COLUMN(Accounts[Currency])-COLUMN(Accounts[])+1,FALSE),
     Transactions[[#This Row],[OrigCashImpact]],
     0
)</f>
        <v>-187915.14</v>
      </c>
      <c r="O13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1442145.439999999</v>
      </c>
      <c r="P13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3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322" s="41">
        <f>ROW()</f>
        <v>1322</v>
      </c>
      <c r="S13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187915.14</v>
      </c>
      <c r="T13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187915.14</v>
      </c>
      <c r="U13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22" s="166">
        <f>IF(INDEX(TransTypes[],Transactions[[#This Row],[TTR]],TT_COL_GLFlag)=1,Transactions[[#This Row],[CalCashImpact]]+Transactions[[#This Row],[CostImpact]],0)</f>
        <v>0</v>
      </c>
      <c r="W1322" s="167">
        <f>Transactions[[#This Row],[Amount]]*INDEX(TransTypes[],Transactions[[#This Row],[TTR]],TT_COL_AmntSign)</f>
        <v>-187915.14</v>
      </c>
      <c r="X1322" s="167">
        <f>IF(INDEX(TransTypes[],Transactions[[#This Row],[TTR]],TT_COL_LONGORSHORT)="S",
      IF( OR(INDEX(TransTypes[],Transactions[[#This Row],[TTR]],TT_COL_GLFlag)=1, INDEX(TransTypes[], Transactions[[#This Row],[TTR]], TT_COL_ShareTransferFlag)=1),
            Transactions[[#This Row],[CostImpact]]*-1,
            Transactions[[#This Row],[CalCashImpact]]
      ),
     0
)</f>
        <v>0</v>
      </c>
      <c r="Y1322" s="168" t="str">
        <f>VLOOKUP(Transactions[[#This Row],[Symbol]],Symbols[], COLUMN(Symbols[Currency])-COLUMN(Symbols[])+1,FALSE)</f>
        <v>CNY</v>
      </c>
    </row>
    <row r="1323" spans="1:25">
      <c r="A1323" s="155" t="s">
        <v>82</v>
      </c>
      <c r="B1323" s="156">
        <v>42685</v>
      </c>
      <c r="C1323" s="155" t="s">
        <v>115</v>
      </c>
      <c r="D1323" s="155"/>
      <c r="E1323" s="155" t="s">
        <v>711</v>
      </c>
      <c r="F1323" s="157">
        <v>2000</v>
      </c>
      <c r="G1323" s="158">
        <v>18.43</v>
      </c>
      <c r="H1323" s="157">
        <v>51.61</v>
      </c>
      <c r="I1323" s="157"/>
      <c r="J1323" s="159">
        <v>36808.39</v>
      </c>
      <c r="K1323" s="6" t="s">
        <v>641</v>
      </c>
      <c r="L1323" s="20">
        <f>IF(ISNA(MATCH(Transactions[[#This Row],[TransType]],TransTypes[TransType],0)),1,MATCH(Transactions[[#This Row],[TransType]],TransTypes[TransType],0))</f>
        <v>3</v>
      </c>
      <c r="M1323" s="160">
        <f>IF( AND( INDEX(TransTypes[],Transactions[[#This Row],[TTR]],TT_COL_GLFlag)=1, INDEX(TransTypes[],Transactions[[#This Row],[TTR]],TT_COL_LONGORSHORT)="S" ),
      Transactions[[#This Row],[PL]],
      IF(INDEX(TransTypes[],Transactions[[#This Row],[TTR]],TT_COL_LONGORSHORT)="S",0,Transactions[[#This Row],[CalCashImpact]])
)</f>
        <v>36808.39</v>
      </c>
      <c r="N1323" s="161">
        <f>IF(VLOOKUP(Transactions[[#This Row],[Symbol]],Symbols[],COLUMN(Symbols[Currency])-COLUMN(Symbols[])+1,FALSE)=
       VLOOKUP(Transactions[[#This Row],[Account]],Accounts[],COLUMN(Accounts[Currency])-COLUMN(Accounts[])+1,FALSE),
     Transactions[[#This Row],[OrigCashImpact]],
     0
)</f>
        <v>36808.39</v>
      </c>
      <c r="O13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1478953.8299999989</v>
      </c>
      <c r="P13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11000</v>
      </c>
      <c r="R1323" s="41">
        <f>ROW()</f>
        <v>1323</v>
      </c>
      <c r="S13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-36527.159999999996</v>
      </c>
      <c r="T13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200899.37999999998</v>
      </c>
      <c r="U13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323" s="166">
        <f>IF(INDEX(TransTypes[],Transactions[[#This Row],[TTR]],TT_COL_GLFlag)=1,Transactions[[#This Row],[CalCashImpact]]+Transactions[[#This Row],[CostImpact]],0)</f>
        <v>281.2300000000032</v>
      </c>
      <c r="W1323" s="167">
        <f>Transactions[[#This Row],[Amount]]*INDEX(TransTypes[],Transactions[[#This Row],[TTR]],TT_COL_AmntSign)</f>
        <v>36808.39</v>
      </c>
      <c r="X1323" s="167">
        <f>IF(INDEX(TransTypes[],Transactions[[#This Row],[TTR]],TT_COL_LONGORSHORT)="S",
      IF( OR(INDEX(TransTypes[],Transactions[[#This Row],[TTR]],TT_COL_GLFlag)=1, INDEX(TransTypes[], Transactions[[#This Row],[TTR]], TT_COL_ShareTransferFlag)=1),
            Transactions[[#This Row],[CostImpact]]*-1,
            Transactions[[#This Row],[CalCashImpact]]
      ),
     0
)</f>
        <v>0</v>
      </c>
      <c r="Y1323" s="168" t="str">
        <f>VLOOKUP(Transactions[[#This Row],[Symbol]],Symbols[], COLUMN(Symbols[Currency])-COLUMN(Symbols[])+1,FALSE)</f>
        <v>CNY</v>
      </c>
    </row>
    <row r="1324" spans="1:25">
      <c r="A1324" s="155" t="s">
        <v>82</v>
      </c>
      <c r="B1324" s="156">
        <v>42685</v>
      </c>
      <c r="C1324" s="155" t="s">
        <v>115</v>
      </c>
      <c r="D1324" s="155"/>
      <c r="E1324" s="155" t="s">
        <v>711</v>
      </c>
      <c r="F1324" s="157">
        <v>5000</v>
      </c>
      <c r="G1324" s="158">
        <v>18.329999999999998</v>
      </c>
      <c r="H1324" s="157">
        <v>128.31</v>
      </c>
      <c r="I1324" s="157"/>
      <c r="J1324" s="159">
        <v>91521.69</v>
      </c>
      <c r="K1324" s="6" t="s">
        <v>641</v>
      </c>
      <c r="L1324" s="20">
        <f>IF(ISNA(MATCH(Transactions[[#This Row],[TransType]],TransTypes[TransType],0)),1,MATCH(Transactions[[#This Row],[TransType]],TransTypes[TransType],0))</f>
        <v>3</v>
      </c>
      <c r="M1324" s="160">
        <f>IF( AND( INDEX(TransTypes[],Transactions[[#This Row],[TTR]],TT_COL_GLFlag)=1, INDEX(TransTypes[],Transactions[[#This Row],[TTR]],TT_COL_LONGORSHORT)="S" ),
      Transactions[[#This Row],[PL]],
      IF(INDEX(TransTypes[],Transactions[[#This Row],[TTR]],TT_COL_LONGORSHORT)="S",0,Transactions[[#This Row],[CalCashImpact]])
)</f>
        <v>91521.69</v>
      </c>
      <c r="N1324" s="161">
        <f>IF(VLOOKUP(Transactions[[#This Row],[Symbol]],Symbols[],COLUMN(Symbols[Currency])-COLUMN(Symbols[])+1,FALSE)=
       VLOOKUP(Transactions[[#This Row],[Account]],Accounts[],COLUMN(Accounts[Currency])-COLUMN(Accounts[])+1,FALSE),
     Transactions[[#This Row],[OrigCashImpact]],
     0
)</f>
        <v>91521.69</v>
      </c>
      <c r="O13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1570475.5199999991</v>
      </c>
      <c r="P13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3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324" s="41">
        <f>ROW()</f>
        <v>1324</v>
      </c>
      <c r="S13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-91317.9</v>
      </c>
      <c r="T13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109581.47999999998</v>
      </c>
      <c r="U13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11000</v>
      </c>
      <c r="V1324" s="166">
        <f>IF(INDEX(TransTypes[],Transactions[[#This Row],[TTR]],TT_COL_GLFlag)=1,Transactions[[#This Row],[CalCashImpact]]+Transactions[[#This Row],[CostImpact]],0)</f>
        <v>203.79000000000815</v>
      </c>
      <c r="W1324" s="167">
        <f>Transactions[[#This Row],[Amount]]*INDEX(TransTypes[],Transactions[[#This Row],[TTR]],TT_COL_AmntSign)</f>
        <v>91521.69</v>
      </c>
      <c r="X1324" s="167">
        <f>IF(INDEX(TransTypes[],Transactions[[#This Row],[TTR]],TT_COL_LONGORSHORT)="S",
      IF( OR(INDEX(TransTypes[],Transactions[[#This Row],[TTR]],TT_COL_GLFlag)=1, INDEX(TransTypes[], Transactions[[#This Row],[TTR]], TT_COL_ShareTransferFlag)=1),
            Transactions[[#This Row],[CostImpact]]*-1,
            Transactions[[#This Row],[CalCashImpact]]
      ),
     0
)</f>
        <v>0</v>
      </c>
      <c r="Y1324" s="168" t="str">
        <f>VLOOKUP(Transactions[[#This Row],[Symbol]],Symbols[], COLUMN(Symbols[Currency])-COLUMN(Symbols[])+1,FALSE)</f>
        <v>CNY</v>
      </c>
    </row>
    <row r="1325" spans="1:25">
      <c r="A1325" s="155" t="s">
        <v>82</v>
      </c>
      <c r="B1325" s="156">
        <v>42685</v>
      </c>
      <c r="C1325" s="155" t="s">
        <v>115</v>
      </c>
      <c r="D1325" s="155"/>
      <c r="E1325" s="155" t="s">
        <v>675</v>
      </c>
      <c r="F1325" s="157">
        <v>100000</v>
      </c>
      <c r="G1325" s="158">
        <v>1.2350000000000001</v>
      </c>
      <c r="H1325" s="157">
        <v>49.41</v>
      </c>
      <c r="I1325" s="157"/>
      <c r="J1325" s="159">
        <v>123450.59</v>
      </c>
      <c r="K1325" s="6" t="s">
        <v>641</v>
      </c>
      <c r="L1325" s="20">
        <f>IF(ISNA(MATCH(Transactions[[#This Row],[TransType]],TransTypes[TransType],0)),1,MATCH(Transactions[[#This Row],[TransType]],TransTypes[TransType],0))</f>
        <v>3</v>
      </c>
      <c r="M1325" s="160">
        <f>IF( AND( INDEX(TransTypes[],Transactions[[#This Row],[TTR]],TT_COL_GLFlag)=1, INDEX(TransTypes[],Transactions[[#This Row],[TTR]],TT_COL_LONGORSHORT)="S" ),
      Transactions[[#This Row],[PL]],
      IF(INDEX(TransTypes[],Transactions[[#This Row],[TTR]],TT_COL_LONGORSHORT)="S",0,Transactions[[#This Row],[CalCashImpact]])
)</f>
        <v>123450.59</v>
      </c>
      <c r="N1325" s="161">
        <f>IF(VLOOKUP(Transactions[[#This Row],[Symbol]],Symbols[],COLUMN(Symbols[Currency])-COLUMN(Symbols[])+1,FALSE)=
       VLOOKUP(Transactions[[#This Row],[Account]],Accounts[],COLUMN(Accounts[Currency])-COLUMN(Accounts[])+1,FALSE),
     Transactions[[#This Row],[OrigCashImpact]],
     0
)</f>
        <v>123450.59</v>
      </c>
      <c r="O13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1693926.1099999989</v>
      </c>
      <c r="P13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13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90000</v>
      </c>
      <c r="R1325" s="41">
        <f>ROW()</f>
        <v>1325</v>
      </c>
      <c r="S13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-97898.60225225224</v>
      </c>
      <c r="T13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88108.742027027023</v>
      </c>
      <c r="U13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190000</v>
      </c>
      <c r="V1325" s="166">
        <f>IF(INDEX(TransTypes[],Transactions[[#This Row],[TTR]],TT_COL_GLFlag)=1,Transactions[[#This Row],[CalCashImpact]]+Transactions[[#This Row],[CostImpact]],0)</f>
        <v>25551.987747747757</v>
      </c>
      <c r="W1325" s="167">
        <f>Transactions[[#This Row],[Amount]]*INDEX(TransTypes[],Transactions[[#This Row],[TTR]],TT_COL_AmntSign)</f>
        <v>123450.59</v>
      </c>
      <c r="X1325" s="167">
        <f>IF(INDEX(TransTypes[],Transactions[[#This Row],[TTR]],TT_COL_LONGORSHORT)="S",
      IF( OR(INDEX(TransTypes[],Transactions[[#This Row],[TTR]],TT_COL_GLFlag)=1, INDEX(TransTypes[], Transactions[[#This Row],[TTR]], TT_COL_ShareTransferFlag)=1),
            Transactions[[#This Row],[CostImpact]]*-1,
            Transactions[[#This Row],[CalCashImpact]]
      ),
     0
)</f>
        <v>0</v>
      </c>
      <c r="Y1325" s="168" t="str">
        <f>VLOOKUP(Transactions[[#This Row],[Symbol]],Symbols[], COLUMN(Symbols[Currency])-COLUMN(Symbols[])+1,FALSE)</f>
        <v>CNY</v>
      </c>
    </row>
    <row r="1326" spans="1:25">
      <c r="A1326" s="155" t="s">
        <v>82</v>
      </c>
      <c r="B1326" s="156">
        <v>42685</v>
      </c>
      <c r="C1326" s="155" t="s">
        <v>113</v>
      </c>
      <c r="D1326" s="155"/>
      <c r="E1326" s="155" t="s">
        <v>705</v>
      </c>
      <c r="F1326" s="157">
        <v>2000</v>
      </c>
      <c r="G1326" s="158">
        <v>22.26</v>
      </c>
      <c r="H1326" s="157">
        <v>17.809999999999999</v>
      </c>
      <c r="I1326" s="157"/>
      <c r="J1326" s="159">
        <v>44537.81</v>
      </c>
      <c r="K1326" s="6" t="s">
        <v>641</v>
      </c>
      <c r="L1326" s="20">
        <f>IF(ISNA(MATCH(Transactions[[#This Row],[TransType]],TransTypes[TransType],0)),1,MATCH(Transactions[[#This Row],[TransType]],TransTypes[TransType],0))</f>
        <v>2</v>
      </c>
      <c r="M1326" s="160">
        <f>IF( AND( INDEX(TransTypes[],Transactions[[#This Row],[TTR]],TT_COL_GLFlag)=1, INDEX(TransTypes[],Transactions[[#This Row],[TTR]],TT_COL_LONGORSHORT)="S" ),
      Transactions[[#This Row],[PL]],
      IF(INDEX(TransTypes[],Transactions[[#This Row],[TTR]],TT_COL_LONGORSHORT)="S",0,Transactions[[#This Row],[CalCashImpact]])
)</f>
        <v>-44537.81</v>
      </c>
      <c r="N1326" s="161">
        <f>IF(VLOOKUP(Transactions[[#This Row],[Symbol]],Symbols[],COLUMN(Symbols[Currency])-COLUMN(Symbols[])+1,FALSE)=
       VLOOKUP(Transactions[[#This Row],[Account]],Accounts[],COLUMN(Accounts[Currency])-COLUMN(Accounts[])+1,FALSE),
     Transactions[[#This Row],[OrigCashImpact]],
     0
)</f>
        <v>-44537.81</v>
      </c>
      <c r="O13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1649388.2999999989</v>
      </c>
      <c r="P13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326" s="41">
        <f>ROW()</f>
        <v>1326</v>
      </c>
      <c r="S13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44537.81</v>
      </c>
      <c r="T13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167709.53285714285</v>
      </c>
      <c r="U13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326" s="166">
        <f>IF(INDEX(TransTypes[],Transactions[[#This Row],[TTR]],TT_COL_GLFlag)=1,Transactions[[#This Row],[CalCashImpact]]+Transactions[[#This Row],[CostImpact]],0)</f>
        <v>0</v>
      </c>
      <c r="W1326" s="167">
        <f>Transactions[[#This Row],[Amount]]*INDEX(TransTypes[],Transactions[[#This Row],[TTR]],TT_COL_AmntSign)</f>
        <v>-44537.81</v>
      </c>
      <c r="X1326" s="167">
        <f>IF(INDEX(TransTypes[],Transactions[[#This Row],[TTR]],TT_COL_LONGORSHORT)="S",
      IF( OR(INDEX(TransTypes[],Transactions[[#This Row],[TTR]],TT_COL_GLFlag)=1, INDEX(TransTypes[], Transactions[[#This Row],[TTR]], TT_COL_ShareTransferFlag)=1),
            Transactions[[#This Row],[CostImpact]]*-1,
            Transactions[[#This Row],[CalCashImpact]]
      ),
     0
)</f>
        <v>0</v>
      </c>
      <c r="Y1326" s="168" t="str">
        <f>VLOOKUP(Transactions[[#This Row],[Symbol]],Symbols[], COLUMN(Symbols[Currency])-COLUMN(Symbols[])+1,FALSE)</f>
        <v>CNY</v>
      </c>
    </row>
    <row r="1327" spans="1:25">
      <c r="A1327" s="155" t="s">
        <v>82</v>
      </c>
      <c r="B1327" s="156">
        <v>42685</v>
      </c>
      <c r="C1327" s="155" t="s">
        <v>113</v>
      </c>
      <c r="D1327" s="155"/>
      <c r="E1327" s="155" t="s">
        <v>488</v>
      </c>
      <c r="F1327" s="157">
        <v>2000</v>
      </c>
      <c r="G1327" s="158">
        <v>17.716999999999999</v>
      </c>
      <c r="H1327" s="157">
        <v>14.88</v>
      </c>
      <c r="I1327" s="157"/>
      <c r="J1327" s="159">
        <v>35448.879999999997</v>
      </c>
      <c r="K1327" s="6" t="s">
        <v>641</v>
      </c>
      <c r="L1327" s="20">
        <f>IF(ISNA(MATCH(Transactions[[#This Row],[TransType]],TransTypes[TransType],0)),1,MATCH(Transactions[[#This Row],[TransType]],TransTypes[TransType],0))</f>
        <v>2</v>
      </c>
      <c r="M1327" s="160">
        <f>IF( AND( INDEX(TransTypes[],Transactions[[#This Row],[TTR]],TT_COL_GLFlag)=1, INDEX(TransTypes[],Transactions[[#This Row],[TTR]],TT_COL_LONGORSHORT)="S" ),
      Transactions[[#This Row],[PL]],
      IF(INDEX(TransTypes[],Transactions[[#This Row],[TTR]],TT_COL_LONGORSHORT)="S",0,Transactions[[#This Row],[CalCashImpact]])
)</f>
        <v>-35448.879999999997</v>
      </c>
      <c r="N1327" s="161">
        <f>IF(VLOOKUP(Transactions[[#This Row],[Symbol]],Symbols[],COLUMN(Symbols[Currency])-COLUMN(Symbols[])+1,FALSE)=
       VLOOKUP(Transactions[[#This Row],[Account]],Accounts[],COLUMN(Accounts[Currency])-COLUMN(Accounts[])+1,FALSE),
     Transactions[[#This Row],[OrigCashImpact]],
     0
)</f>
        <v>-35448.879999999997</v>
      </c>
      <c r="O13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1613939.419999999</v>
      </c>
      <c r="P13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327" s="41">
        <f>ROW()</f>
        <v>1327</v>
      </c>
      <c r="S13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35448.879999999997</v>
      </c>
      <c r="T13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123825.98199999999</v>
      </c>
      <c r="U13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327" s="166">
        <f>IF(INDEX(TransTypes[],Transactions[[#This Row],[TTR]],TT_COL_GLFlag)=1,Transactions[[#This Row],[CalCashImpact]]+Transactions[[#This Row],[CostImpact]],0)</f>
        <v>0</v>
      </c>
      <c r="W1327" s="167">
        <f>Transactions[[#This Row],[Amount]]*INDEX(TransTypes[],Transactions[[#This Row],[TTR]],TT_COL_AmntSign)</f>
        <v>-35448.879999999997</v>
      </c>
      <c r="X1327" s="167">
        <f>IF(INDEX(TransTypes[],Transactions[[#This Row],[TTR]],TT_COL_LONGORSHORT)="S",
      IF( OR(INDEX(TransTypes[],Transactions[[#This Row],[TTR]],TT_COL_GLFlag)=1, INDEX(TransTypes[], Transactions[[#This Row],[TTR]], TT_COL_ShareTransferFlag)=1),
            Transactions[[#This Row],[CostImpact]]*-1,
            Transactions[[#This Row],[CalCashImpact]]
      ),
     0
)</f>
        <v>0</v>
      </c>
      <c r="Y1327" s="168" t="str">
        <f>VLOOKUP(Transactions[[#This Row],[Symbol]],Symbols[], COLUMN(Symbols[Currency])-COLUMN(Symbols[])+1,FALSE)</f>
        <v>CNY</v>
      </c>
    </row>
    <row r="1328" spans="1:25">
      <c r="A1328" s="155" t="s">
        <v>82</v>
      </c>
      <c r="B1328" s="156">
        <v>42685</v>
      </c>
      <c r="C1328" s="155" t="s">
        <v>115</v>
      </c>
      <c r="D1328" s="155"/>
      <c r="E1328" s="155" t="s">
        <v>665</v>
      </c>
      <c r="F1328" s="157">
        <v>97800</v>
      </c>
      <c r="G1328" s="158">
        <v>1.0349999999999999</v>
      </c>
      <c r="H1328" s="157">
        <v>40.49</v>
      </c>
      <c r="I1328" s="157"/>
      <c r="J1328" s="159">
        <v>101182.51</v>
      </c>
      <c r="K1328" s="6" t="s">
        <v>641</v>
      </c>
      <c r="L1328" s="20">
        <f>IF(ISNA(MATCH(Transactions[[#This Row],[TransType]],TransTypes[TransType],0)),1,MATCH(Transactions[[#This Row],[TransType]],TransTypes[TransType],0))</f>
        <v>3</v>
      </c>
      <c r="M1328" s="160">
        <f>IF( AND( INDEX(TransTypes[],Transactions[[#This Row],[TTR]],TT_COL_GLFlag)=1, INDEX(TransTypes[],Transactions[[#This Row],[TTR]],TT_COL_LONGORSHORT)="S" ),
      Transactions[[#This Row],[PL]],
      IF(INDEX(TransTypes[],Transactions[[#This Row],[TTR]],TT_COL_LONGORSHORT)="S",0,Transactions[[#This Row],[CalCashImpact]])
)</f>
        <v>101182.51</v>
      </c>
      <c r="N1328" s="161">
        <f>IF(VLOOKUP(Transactions[[#This Row],[Symbol]],Symbols[],COLUMN(Symbols[Currency])-COLUMN(Symbols[])+1,FALSE)=
       VLOOKUP(Transactions[[#This Row],[Account]],Accounts[],COLUMN(Accounts[Currency])-COLUMN(Accounts[])+1,FALSE),
     Transactions[[#This Row],[OrigCashImpact]],
     0
)</f>
        <v>101182.51</v>
      </c>
      <c r="O13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1715121.929999999</v>
      </c>
      <c r="P13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-97800</v>
      </c>
      <c r="Q13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300000</v>
      </c>
      <c r="R1328" s="41">
        <f>ROW()</f>
        <v>1328</v>
      </c>
      <c r="S13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-96245.73093140428</v>
      </c>
      <c r="T13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295232.3034705653</v>
      </c>
      <c r="U13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397800</v>
      </c>
      <c r="V1328" s="166">
        <f>IF(INDEX(TransTypes[],Transactions[[#This Row],[TTR]],TT_COL_GLFlag)=1,Transactions[[#This Row],[CalCashImpact]]+Transactions[[#This Row],[CostImpact]],0)</f>
        <v>4936.7790685957152</v>
      </c>
      <c r="W1328" s="167">
        <f>Transactions[[#This Row],[Amount]]*INDEX(TransTypes[],Transactions[[#This Row],[TTR]],TT_COL_AmntSign)</f>
        <v>101182.51</v>
      </c>
      <c r="X1328" s="167">
        <f>IF(INDEX(TransTypes[],Transactions[[#This Row],[TTR]],TT_COL_LONGORSHORT)="S",
      IF( OR(INDEX(TransTypes[],Transactions[[#This Row],[TTR]],TT_COL_GLFlag)=1, INDEX(TransTypes[], Transactions[[#This Row],[TTR]], TT_COL_ShareTransferFlag)=1),
            Transactions[[#This Row],[CostImpact]]*-1,
            Transactions[[#This Row],[CalCashImpact]]
      ),
     0
)</f>
        <v>0</v>
      </c>
      <c r="Y1328" s="168" t="str">
        <f>VLOOKUP(Transactions[[#This Row],[Symbol]],Symbols[], COLUMN(Symbols[Currency])-COLUMN(Symbols[])+1,FALSE)</f>
        <v>CNY</v>
      </c>
    </row>
    <row r="1329" spans="1:25">
      <c r="A1329" s="155" t="s">
        <v>82</v>
      </c>
      <c r="B1329" s="156">
        <v>42688</v>
      </c>
      <c r="C1329" s="155" t="s">
        <v>113</v>
      </c>
      <c r="D1329" s="155"/>
      <c r="E1329" s="155" t="s">
        <v>715</v>
      </c>
      <c r="F1329" s="157">
        <v>200000</v>
      </c>
      <c r="G1329" s="158">
        <v>0.41499999999999998</v>
      </c>
      <c r="H1329" s="157">
        <v>33.200000000000003</v>
      </c>
      <c r="I1329" s="157"/>
      <c r="J1329" s="159">
        <v>83033.2</v>
      </c>
      <c r="K1329" s="6" t="s">
        <v>641</v>
      </c>
      <c r="L1329" s="20">
        <f>IF(ISNA(MATCH(Transactions[[#This Row],[TransType]],TransTypes[TransType],0)),1,MATCH(Transactions[[#This Row],[TransType]],TransTypes[TransType],0))</f>
        <v>2</v>
      </c>
      <c r="M1329" s="160">
        <f>IF( AND( INDEX(TransTypes[],Transactions[[#This Row],[TTR]],TT_COL_GLFlag)=1, INDEX(TransTypes[],Transactions[[#This Row],[TTR]],TT_COL_LONGORSHORT)="S" ),
      Transactions[[#This Row],[PL]],
      IF(INDEX(TransTypes[],Transactions[[#This Row],[TTR]],TT_COL_LONGORSHORT)="S",0,Transactions[[#This Row],[CalCashImpact]])
)</f>
        <v>-83033.2</v>
      </c>
      <c r="N1329" s="161">
        <f>IF(VLOOKUP(Transactions[[#This Row],[Symbol]],Symbols[],COLUMN(Symbols[Currency])-COLUMN(Symbols[])+1,FALSE)=
       VLOOKUP(Transactions[[#This Row],[Account]],Accounts[],COLUMN(Accounts[Currency])-COLUMN(Accounts[])+1,FALSE),
     Transactions[[#This Row],[OrigCashImpact]],
     0
)</f>
        <v>-83033.2</v>
      </c>
      <c r="O13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1632088.7299999991</v>
      </c>
      <c r="P13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13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2710000</v>
      </c>
      <c r="R1329" s="41">
        <f>ROW()</f>
        <v>1329</v>
      </c>
      <c r="S13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83033.2</v>
      </c>
      <c r="T13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1079172.2361486489</v>
      </c>
      <c r="U13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2710000</v>
      </c>
      <c r="V1329" s="166">
        <f>IF(INDEX(TransTypes[],Transactions[[#This Row],[TTR]],TT_COL_GLFlag)=1,Transactions[[#This Row],[CalCashImpact]]+Transactions[[#This Row],[CostImpact]],0)</f>
        <v>0</v>
      </c>
      <c r="W1329" s="167">
        <f>Transactions[[#This Row],[Amount]]*INDEX(TransTypes[],Transactions[[#This Row],[TTR]],TT_COL_AmntSign)</f>
        <v>-83033.2</v>
      </c>
      <c r="X1329" s="167">
        <f>IF(INDEX(TransTypes[],Transactions[[#This Row],[TTR]],TT_COL_LONGORSHORT)="S",
      IF( OR(INDEX(TransTypes[],Transactions[[#This Row],[TTR]],TT_COL_GLFlag)=1, INDEX(TransTypes[], Transactions[[#This Row],[TTR]], TT_COL_ShareTransferFlag)=1),
            Transactions[[#This Row],[CostImpact]]*-1,
            Transactions[[#This Row],[CalCashImpact]]
      ),
     0
)</f>
        <v>0</v>
      </c>
      <c r="Y1329" s="168" t="str">
        <f>VLOOKUP(Transactions[[#This Row],[Symbol]],Symbols[], COLUMN(Symbols[Currency])-COLUMN(Symbols[])+1,FALSE)</f>
        <v>CNY</v>
      </c>
    </row>
    <row r="1330" spans="1:25">
      <c r="A1330" s="155" t="s">
        <v>82</v>
      </c>
      <c r="B1330" s="156">
        <v>42688</v>
      </c>
      <c r="C1330" s="155" t="s">
        <v>113</v>
      </c>
      <c r="D1330" s="155"/>
      <c r="E1330" s="155" t="s">
        <v>644</v>
      </c>
      <c r="F1330" s="157">
        <v>500</v>
      </c>
      <c r="G1330" s="158">
        <v>59.89</v>
      </c>
      <c r="H1330" s="157">
        <v>11.98</v>
      </c>
      <c r="I1330" s="157"/>
      <c r="J1330" s="159">
        <v>29956.98</v>
      </c>
      <c r="K1330" s="6" t="s">
        <v>641</v>
      </c>
      <c r="L1330" s="20">
        <f>IF(ISNA(MATCH(Transactions[[#This Row],[TransType]],TransTypes[TransType],0)),1,MATCH(Transactions[[#This Row],[TransType]],TransTypes[TransType],0))</f>
        <v>2</v>
      </c>
      <c r="M1330" s="160">
        <f>IF( AND( INDEX(TransTypes[],Transactions[[#This Row],[TTR]],TT_COL_GLFlag)=1, INDEX(TransTypes[],Transactions[[#This Row],[TTR]],TT_COL_LONGORSHORT)="S" ),
      Transactions[[#This Row],[PL]],
      IF(INDEX(TransTypes[],Transactions[[#This Row],[TTR]],TT_COL_LONGORSHORT)="S",0,Transactions[[#This Row],[CalCashImpact]])
)</f>
        <v>-29956.98</v>
      </c>
      <c r="N1330" s="161">
        <f>IF(VLOOKUP(Transactions[[#This Row],[Symbol]],Symbols[],COLUMN(Symbols[Currency])-COLUMN(Symbols[])+1,FALSE)=
       VLOOKUP(Transactions[[#This Row],[Account]],Accounts[],COLUMN(Accounts[Currency])-COLUMN(Accounts[])+1,FALSE),
     Transactions[[#This Row],[OrigCashImpact]],
     0
)</f>
        <v>-29956.98</v>
      </c>
      <c r="O13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1602131.7499999991</v>
      </c>
      <c r="P13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330" s="41">
        <f>ROW()</f>
        <v>1330</v>
      </c>
      <c r="S13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29956.98</v>
      </c>
      <c r="T13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259836.20280045352</v>
      </c>
      <c r="U13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30" s="166">
        <f>IF(INDEX(TransTypes[],Transactions[[#This Row],[TTR]],TT_COL_GLFlag)=1,Transactions[[#This Row],[CalCashImpact]]+Transactions[[#This Row],[CostImpact]],0)</f>
        <v>0</v>
      </c>
      <c r="W1330" s="167">
        <f>Transactions[[#This Row],[Amount]]*INDEX(TransTypes[],Transactions[[#This Row],[TTR]],TT_COL_AmntSign)</f>
        <v>-29956.98</v>
      </c>
      <c r="X1330" s="167">
        <f>IF(INDEX(TransTypes[],Transactions[[#This Row],[TTR]],TT_COL_LONGORSHORT)="S",
      IF( OR(INDEX(TransTypes[],Transactions[[#This Row],[TTR]],TT_COL_GLFlag)=1, INDEX(TransTypes[], Transactions[[#This Row],[TTR]], TT_COL_ShareTransferFlag)=1),
            Transactions[[#This Row],[CostImpact]]*-1,
            Transactions[[#This Row],[CalCashImpact]]
      ),
     0
)</f>
        <v>0</v>
      </c>
      <c r="Y1330" s="168" t="str">
        <f>VLOOKUP(Transactions[[#This Row],[Symbol]],Symbols[], COLUMN(Symbols[Currency])-COLUMN(Symbols[])+1,FALSE)</f>
        <v>CNY</v>
      </c>
    </row>
    <row r="1331" spans="1:25">
      <c r="A1331" s="155" t="s">
        <v>82</v>
      </c>
      <c r="B1331" s="156">
        <v>42688</v>
      </c>
      <c r="C1331" s="155" t="s">
        <v>115</v>
      </c>
      <c r="D1331" s="155"/>
      <c r="E1331" s="155" t="s">
        <v>710</v>
      </c>
      <c r="F1331" s="157">
        <v>5000</v>
      </c>
      <c r="G1331" s="158">
        <v>22.23</v>
      </c>
      <c r="H1331" s="157">
        <v>155.61000000000001</v>
      </c>
      <c r="I1331" s="157"/>
      <c r="J1331" s="159">
        <v>110994.39</v>
      </c>
      <c r="K1331" s="6" t="s">
        <v>641</v>
      </c>
      <c r="L1331" s="20">
        <f>IF(ISNA(MATCH(Transactions[[#This Row],[TransType]],TransTypes[TransType],0)),1,MATCH(Transactions[[#This Row],[TransType]],TransTypes[TransType],0))</f>
        <v>3</v>
      </c>
      <c r="M1331" s="160">
        <f>IF( AND( INDEX(TransTypes[],Transactions[[#This Row],[TTR]],TT_COL_GLFlag)=1, INDEX(TransTypes[],Transactions[[#This Row],[TTR]],TT_COL_LONGORSHORT)="S" ),
      Transactions[[#This Row],[PL]],
      IF(INDEX(TransTypes[],Transactions[[#This Row],[TTR]],TT_COL_LONGORSHORT)="S",0,Transactions[[#This Row],[CalCashImpact]])
)</f>
        <v>110994.39</v>
      </c>
      <c r="N1331" s="161">
        <f>IF(VLOOKUP(Transactions[[#This Row],[Symbol]],Symbols[],COLUMN(Symbols[Currency])-COLUMN(Symbols[])+1,FALSE)=
       VLOOKUP(Transactions[[#This Row],[Account]],Accounts[],COLUMN(Accounts[Currency])-COLUMN(Accounts[])+1,FALSE),
     Transactions[[#This Row],[OrigCashImpact]],
     0
)</f>
        <v>110994.39</v>
      </c>
      <c r="O13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1713126.139999999</v>
      </c>
      <c r="P13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3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331" s="41">
        <f>ROW()</f>
        <v>1331</v>
      </c>
      <c r="S13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-112699.2263888889</v>
      </c>
      <c r="T13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157778.91694444447</v>
      </c>
      <c r="U13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331" s="166">
        <f>IF(INDEX(TransTypes[],Transactions[[#This Row],[TTR]],TT_COL_GLFlag)=1,Transactions[[#This Row],[CalCashImpact]]+Transactions[[#This Row],[CostImpact]],0)</f>
        <v>-1704.8363888888998</v>
      </c>
      <c r="W1331" s="167">
        <f>Transactions[[#This Row],[Amount]]*INDEX(TransTypes[],Transactions[[#This Row],[TTR]],TT_COL_AmntSign)</f>
        <v>110994.39</v>
      </c>
      <c r="X1331" s="167">
        <f>IF(INDEX(TransTypes[],Transactions[[#This Row],[TTR]],TT_COL_LONGORSHORT)="S",
      IF( OR(INDEX(TransTypes[],Transactions[[#This Row],[TTR]],TT_COL_GLFlag)=1, INDEX(TransTypes[], Transactions[[#This Row],[TTR]], TT_COL_ShareTransferFlag)=1),
            Transactions[[#This Row],[CostImpact]]*-1,
            Transactions[[#This Row],[CalCashImpact]]
      ),
     0
)</f>
        <v>0</v>
      </c>
      <c r="Y1331" s="168" t="str">
        <f>VLOOKUP(Transactions[[#This Row],[Symbol]],Symbols[], COLUMN(Symbols[Currency])-COLUMN(Symbols[])+1,FALSE)</f>
        <v>CNY</v>
      </c>
    </row>
    <row r="1332" spans="1:25">
      <c r="A1332" s="155" t="s">
        <v>82</v>
      </c>
      <c r="B1332" s="156">
        <v>42688</v>
      </c>
      <c r="C1332" s="155" t="s">
        <v>115</v>
      </c>
      <c r="D1332" s="155"/>
      <c r="E1332" s="155" t="s">
        <v>644</v>
      </c>
      <c r="F1332" s="157">
        <v>500</v>
      </c>
      <c r="G1332" s="158">
        <v>60.31</v>
      </c>
      <c r="H1332" s="157">
        <v>42.21</v>
      </c>
      <c r="I1332" s="157"/>
      <c r="J1332" s="159">
        <v>30112.79</v>
      </c>
      <c r="K1332" s="6" t="s">
        <v>641</v>
      </c>
      <c r="L1332" s="20">
        <f>IF(ISNA(MATCH(Transactions[[#This Row],[TransType]],TransTypes[TransType],0)),1,MATCH(Transactions[[#This Row],[TransType]],TransTypes[TransType],0))</f>
        <v>3</v>
      </c>
      <c r="M1332" s="160">
        <f>IF( AND( INDEX(TransTypes[],Transactions[[#This Row],[TTR]],TT_COL_GLFlag)=1, INDEX(TransTypes[],Transactions[[#This Row],[TTR]],TT_COL_LONGORSHORT)="S" ),
      Transactions[[#This Row],[PL]],
      IF(INDEX(TransTypes[],Transactions[[#This Row],[TTR]],TT_COL_LONGORSHORT)="S",0,Transactions[[#This Row],[CalCashImpact]])
)</f>
        <v>30112.79</v>
      </c>
      <c r="N1332" s="161">
        <f>IF(VLOOKUP(Transactions[[#This Row],[Symbol]],Symbols[],COLUMN(Symbols[Currency])-COLUMN(Symbols[])+1,FALSE)=
       VLOOKUP(Transactions[[#This Row],[Account]],Accounts[],COLUMN(Accounts[Currency])-COLUMN(Accounts[])+1,FALSE),
     Transactions[[#This Row],[OrigCashImpact]],
     0
)</f>
        <v>30112.79</v>
      </c>
      <c r="O13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1743238.929999999</v>
      </c>
      <c r="P13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1332" s="41">
        <f>ROW()</f>
        <v>1332</v>
      </c>
      <c r="S13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-32479.525350056691</v>
      </c>
      <c r="T13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227356.67745039682</v>
      </c>
      <c r="U13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32" s="166">
        <f>IF(INDEX(TransTypes[],Transactions[[#This Row],[TTR]],TT_COL_GLFlag)=1,Transactions[[#This Row],[CalCashImpact]]+Transactions[[#This Row],[CostImpact]],0)</f>
        <v>-2366.7353500566896</v>
      </c>
      <c r="W1332" s="167">
        <f>Transactions[[#This Row],[Amount]]*INDEX(TransTypes[],Transactions[[#This Row],[TTR]],TT_COL_AmntSign)</f>
        <v>30112.79</v>
      </c>
      <c r="X1332" s="167">
        <f>IF(INDEX(TransTypes[],Transactions[[#This Row],[TTR]],TT_COL_LONGORSHORT)="S",
      IF( OR(INDEX(TransTypes[],Transactions[[#This Row],[TTR]],TT_COL_GLFlag)=1, INDEX(TransTypes[], Transactions[[#This Row],[TTR]], TT_COL_ShareTransferFlag)=1),
            Transactions[[#This Row],[CostImpact]]*-1,
            Transactions[[#This Row],[CalCashImpact]]
      ),
     0
)</f>
        <v>0</v>
      </c>
      <c r="Y1332" s="168" t="str">
        <f>VLOOKUP(Transactions[[#This Row],[Symbol]],Symbols[], COLUMN(Symbols[Currency])-COLUMN(Symbols[])+1,FALSE)</f>
        <v>CNY</v>
      </c>
    </row>
    <row r="1333" spans="1:25">
      <c r="A1333" s="155" t="s">
        <v>82</v>
      </c>
      <c r="B1333" s="156">
        <v>42688</v>
      </c>
      <c r="C1333" s="155" t="s">
        <v>115</v>
      </c>
      <c r="D1333" s="155"/>
      <c r="E1333" s="155" t="s">
        <v>647</v>
      </c>
      <c r="F1333" s="157">
        <v>1000</v>
      </c>
      <c r="G1333" s="158">
        <v>46.48</v>
      </c>
      <c r="H1333" s="157">
        <v>65.069999999999993</v>
      </c>
      <c r="I1333" s="157"/>
      <c r="J1333" s="159">
        <v>46414.93</v>
      </c>
      <c r="K1333" s="6" t="s">
        <v>641</v>
      </c>
      <c r="L1333" s="20">
        <f>IF(ISNA(MATCH(Transactions[[#This Row],[TransType]],TransTypes[TransType],0)),1,MATCH(Transactions[[#This Row],[TransType]],TransTypes[TransType],0))</f>
        <v>3</v>
      </c>
      <c r="M1333" s="160">
        <f>IF( AND( INDEX(TransTypes[],Transactions[[#This Row],[TTR]],TT_COL_GLFlag)=1, INDEX(TransTypes[],Transactions[[#This Row],[TTR]],TT_COL_LONGORSHORT)="S" ),
      Transactions[[#This Row],[PL]],
      IF(INDEX(TransTypes[],Transactions[[#This Row],[TTR]],TT_COL_LONGORSHORT)="S",0,Transactions[[#This Row],[CalCashImpact]])
)</f>
        <v>46414.93</v>
      </c>
      <c r="N1333" s="161">
        <f>IF(VLOOKUP(Transactions[[#This Row],[Symbol]],Symbols[],COLUMN(Symbols[Currency])-COLUMN(Symbols[])+1,FALSE)=
       VLOOKUP(Transactions[[#This Row],[Account]],Accounts[],COLUMN(Accounts[Currency])-COLUMN(Accounts[])+1,FALSE),
     Transactions[[#This Row],[OrigCashImpact]],
     0
)</f>
        <v>46414.93</v>
      </c>
      <c r="O13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1789653.8599999989</v>
      </c>
      <c r="P13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333" s="41">
        <f>ROW()</f>
        <v>1333</v>
      </c>
      <c r="S13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-46978.785000000003</v>
      </c>
      <c r="T13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140936.35500000001</v>
      </c>
      <c r="U13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33" s="166">
        <f>IF(INDEX(TransTypes[],Transactions[[#This Row],[TTR]],TT_COL_GLFlag)=1,Transactions[[#This Row],[CalCashImpact]]+Transactions[[#This Row],[CostImpact]],0)</f>
        <v>-563.8550000000032</v>
      </c>
      <c r="W1333" s="167">
        <f>Transactions[[#This Row],[Amount]]*INDEX(TransTypes[],Transactions[[#This Row],[TTR]],TT_COL_AmntSign)</f>
        <v>46414.93</v>
      </c>
      <c r="X1333" s="167">
        <f>IF(INDEX(TransTypes[],Transactions[[#This Row],[TTR]],TT_COL_LONGORSHORT)="S",
      IF( OR(INDEX(TransTypes[],Transactions[[#This Row],[TTR]],TT_COL_GLFlag)=1, INDEX(TransTypes[], Transactions[[#This Row],[TTR]], TT_COL_ShareTransferFlag)=1),
            Transactions[[#This Row],[CostImpact]]*-1,
            Transactions[[#This Row],[CalCashImpact]]
      ),
     0
)</f>
        <v>0</v>
      </c>
      <c r="Y1333" s="168" t="str">
        <f>VLOOKUP(Transactions[[#This Row],[Symbol]],Symbols[], COLUMN(Symbols[Currency])-COLUMN(Symbols[])+1,FALSE)</f>
        <v>CNY</v>
      </c>
    </row>
    <row r="1334" spans="1:25">
      <c r="A1334" s="155" t="s">
        <v>82</v>
      </c>
      <c r="B1334" s="156">
        <v>42688</v>
      </c>
      <c r="C1334" s="155" t="s">
        <v>115</v>
      </c>
      <c r="D1334" s="155"/>
      <c r="E1334" s="155" t="s">
        <v>710</v>
      </c>
      <c r="F1334" s="157">
        <v>2000</v>
      </c>
      <c r="G1334" s="158">
        <v>22.32</v>
      </c>
      <c r="H1334" s="157">
        <v>62.5</v>
      </c>
      <c r="I1334" s="157"/>
      <c r="J1334" s="159">
        <v>44577.5</v>
      </c>
      <c r="K1334" s="6" t="s">
        <v>641</v>
      </c>
      <c r="L1334" s="20">
        <f>IF(ISNA(MATCH(Transactions[[#This Row],[TransType]],TransTypes[TransType],0)),1,MATCH(Transactions[[#This Row],[TransType]],TransTypes[TransType],0))</f>
        <v>3</v>
      </c>
      <c r="M1334" s="160">
        <f>IF( AND( INDEX(TransTypes[],Transactions[[#This Row],[TTR]],TT_COL_GLFlag)=1, INDEX(TransTypes[],Transactions[[#This Row],[TTR]],TT_COL_LONGORSHORT)="S" ),
      Transactions[[#This Row],[PL]],
      IF(INDEX(TransTypes[],Transactions[[#This Row],[TTR]],TT_COL_LONGORSHORT)="S",0,Transactions[[#This Row],[CalCashImpact]])
)</f>
        <v>44577.5</v>
      </c>
      <c r="N1334" s="161">
        <f>IF(VLOOKUP(Transactions[[#This Row],[Symbol]],Symbols[],COLUMN(Symbols[Currency])-COLUMN(Symbols[])+1,FALSE)=
       VLOOKUP(Transactions[[#This Row],[Account]],Accounts[],COLUMN(Accounts[Currency])-COLUMN(Accounts[])+1,FALSE),
     Transactions[[#This Row],[OrigCashImpact]],
     0
)</f>
        <v>44577.5</v>
      </c>
      <c r="O13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1834231.3599999989</v>
      </c>
      <c r="P13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334" s="41">
        <f>ROW()</f>
        <v>1334</v>
      </c>
      <c r="S13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-45079.690555555564</v>
      </c>
      <c r="T13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112699.2263888889</v>
      </c>
      <c r="U13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334" s="166">
        <f>IF(INDEX(TransTypes[],Transactions[[#This Row],[TTR]],TT_COL_GLFlag)=1,Transactions[[#This Row],[CalCashImpact]]+Transactions[[#This Row],[CostImpact]],0)</f>
        <v>-502.19055555556406</v>
      </c>
      <c r="W1334" s="167">
        <f>Transactions[[#This Row],[Amount]]*INDEX(TransTypes[],Transactions[[#This Row],[TTR]],TT_COL_AmntSign)</f>
        <v>44577.5</v>
      </c>
      <c r="X1334" s="167">
        <f>IF(INDEX(TransTypes[],Transactions[[#This Row],[TTR]],TT_COL_LONGORSHORT)="S",
      IF( OR(INDEX(TransTypes[],Transactions[[#This Row],[TTR]],TT_COL_GLFlag)=1, INDEX(TransTypes[], Transactions[[#This Row],[TTR]], TT_COL_ShareTransferFlag)=1),
            Transactions[[#This Row],[CostImpact]]*-1,
            Transactions[[#This Row],[CalCashImpact]]
      ),
     0
)</f>
        <v>0</v>
      </c>
      <c r="Y1334" s="168" t="str">
        <f>VLOOKUP(Transactions[[#This Row],[Symbol]],Symbols[], COLUMN(Symbols[Currency])-COLUMN(Symbols[])+1,FALSE)</f>
        <v>CNY</v>
      </c>
    </row>
    <row r="1335" spans="1:25">
      <c r="A1335" s="155" t="s">
        <v>82</v>
      </c>
      <c r="B1335" s="156">
        <v>42688</v>
      </c>
      <c r="C1335" s="155" t="s">
        <v>115</v>
      </c>
      <c r="D1335" s="155"/>
      <c r="E1335" s="155" t="s">
        <v>684</v>
      </c>
      <c r="F1335" s="157">
        <v>2000</v>
      </c>
      <c r="G1335" s="158">
        <v>23.67</v>
      </c>
      <c r="H1335" s="157">
        <v>67.239999999999995</v>
      </c>
      <c r="I1335" s="157"/>
      <c r="J1335" s="159">
        <v>47272.76</v>
      </c>
      <c r="K1335" s="6" t="s">
        <v>641</v>
      </c>
      <c r="L1335" s="20">
        <f>IF(ISNA(MATCH(Transactions[[#This Row],[TransType]],TransTypes[TransType],0)),1,MATCH(Transactions[[#This Row],[TransType]],TransTypes[TransType],0))</f>
        <v>3</v>
      </c>
      <c r="M1335" s="160">
        <f>IF( AND( INDEX(TransTypes[],Transactions[[#This Row],[TTR]],TT_COL_GLFlag)=1, INDEX(TransTypes[],Transactions[[#This Row],[TTR]],TT_COL_LONGORSHORT)="S" ),
      Transactions[[#This Row],[PL]],
      IF(INDEX(TransTypes[],Transactions[[#This Row],[TTR]],TT_COL_LONGORSHORT)="S",0,Transactions[[#This Row],[CalCashImpact]])
)</f>
        <v>47272.76</v>
      </c>
      <c r="N1335" s="161">
        <f>IF(VLOOKUP(Transactions[[#This Row],[Symbol]],Symbols[],COLUMN(Symbols[Currency])-COLUMN(Symbols[])+1,FALSE)=
       VLOOKUP(Transactions[[#This Row],[Account]],Accounts[],COLUMN(Accounts[Currency])-COLUMN(Accounts[])+1,FALSE),
     Transactions[[#This Row],[OrigCashImpact]],
     0
)</f>
        <v>47272.76</v>
      </c>
      <c r="O13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1881504.1199999989</v>
      </c>
      <c r="P13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335" s="41">
        <f>ROW()</f>
        <v>1335</v>
      </c>
      <c r="S13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-40579.4352</v>
      </c>
      <c r="T13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60869.152800000003</v>
      </c>
      <c r="U13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335" s="166">
        <f>IF(INDEX(TransTypes[],Transactions[[#This Row],[TTR]],TT_COL_GLFlag)=1,Transactions[[#This Row],[CalCashImpact]]+Transactions[[#This Row],[CostImpact]],0)</f>
        <v>6693.3248000000021</v>
      </c>
      <c r="W1335" s="167">
        <f>Transactions[[#This Row],[Amount]]*INDEX(TransTypes[],Transactions[[#This Row],[TTR]],TT_COL_AmntSign)</f>
        <v>47272.76</v>
      </c>
      <c r="X1335" s="167">
        <f>IF(INDEX(TransTypes[],Transactions[[#This Row],[TTR]],TT_COL_LONGORSHORT)="S",
      IF( OR(INDEX(TransTypes[],Transactions[[#This Row],[TTR]],TT_COL_GLFlag)=1, INDEX(TransTypes[], Transactions[[#This Row],[TTR]], TT_COL_ShareTransferFlag)=1),
            Transactions[[#This Row],[CostImpact]]*-1,
            Transactions[[#This Row],[CalCashImpact]]
      ),
     0
)</f>
        <v>0</v>
      </c>
      <c r="Y1335" s="168" t="str">
        <f>VLOOKUP(Transactions[[#This Row],[Symbol]],Symbols[], COLUMN(Symbols[Currency])-COLUMN(Symbols[])+1,FALSE)</f>
        <v>CNY</v>
      </c>
    </row>
    <row r="1336" spans="1:25">
      <c r="A1336" s="155" t="s">
        <v>82</v>
      </c>
      <c r="B1336" s="156">
        <v>42691</v>
      </c>
      <c r="C1336" s="155" t="s">
        <v>156</v>
      </c>
      <c r="D1336" s="155"/>
      <c r="E1336" s="155" t="s">
        <v>211</v>
      </c>
      <c r="F1336" s="157">
        <v>97850.36</v>
      </c>
      <c r="G1336" s="158">
        <f>Transactions[[#This Row],[Amount]]/Transactions[[#This Row],[Qty]]</f>
        <v>0.88724998048039883</v>
      </c>
      <c r="H1336" s="157"/>
      <c r="I1336" s="157"/>
      <c r="J1336" s="159">
        <v>86817.73</v>
      </c>
      <c r="K1336" s="6" t="s">
        <v>686</v>
      </c>
      <c r="L1336" s="20">
        <f>IF(ISNA(MATCH(Transactions[[#This Row],[TransType]],TransTypes[TransType],0)),1,MATCH(Transactions[[#This Row],[TransType]],TransTypes[TransType],0))</f>
        <v>17</v>
      </c>
      <c r="M1336" s="160">
        <f>IF( AND( INDEX(TransTypes[],Transactions[[#This Row],[TTR]],TT_COL_GLFlag)=1, INDEX(TransTypes[],Transactions[[#This Row],[TTR]],TT_COL_LONGORSHORT)="S" ),
      Transactions[[#This Row],[PL]],
      IF(INDEX(TransTypes[],Transactions[[#This Row],[TTR]],TT_COL_LONGORSHORT)="S",0,Transactions[[#This Row],[CalCashImpact]])
)</f>
        <v>-86817.73</v>
      </c>
      <c r="N1336" s="161">
        <f>IF(VLOOKUP(Transactions[[#This Row],[Symbol]],Symbols[],COLUMN(Symbols[Currency])-COLUMN(Symbols[])+1,FALSE)=
       VLOOKUP(Transactions[[#This Row],[Account]],Accounts[],COLUMN(Accounts[Currency])-COLUMN(Accounts[])+1,FALSE),
     Transactions[[#This Row],[OrigCashImpact]],
     0
)</f>
        <v>-86817.73</v>
      </c>
      <c r="O13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1794686.389999999</v>
      </c>
      <c r="P13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36" s="41">
        <f>ROW()</f>
        <v>1336</v>
      </c>
      <c r="S13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36" s="166">
        <f>IF(INDEX(TransTypes[],Transactions[[#This Row],[TTR]],TT_COL_GLFlag)=1,Transactions[[#This Row],[CalCashImpact]]+Transactions[[#This Row],[CostImpact]],0)</f>
        <v>0</v>
      </c>
      <c r="W1336" s="167">
        <f>Transactions[[#This Row],[Amount]]*INDEX(TransTypes[],Transactions[[#This Row],[TTR]],TT_COL_AmntSign)</f>
        <v>-86817.73</v>
      </c>
      <c r="X1336" s="167">
        <f>IF(INDEX(TransTypes[],Transactions[[#This Row],[TTR]],TT_COL_LONGORSHORT)="S",
      IF( OR(INDEX(TransTypes[],Transactions[[#This Row],[TTR]],TT_COL_GLFlag)=1, INDEX(TransTypes[], Transactions[[#This Row],[TTR]], TT_COL_ShareTransferFlag)=1),
            Transactions[[#This Row],[CostImpact]]*-1,
            Transactions[[#This Row],[CalCashImpact]]
      ),
     0
)</f>
        <v>0</v>
      </c>
      <c r="Y1336" s="168" t="str">
        <f>VLOOKUP(Transactions[[#This Row],[Symbol]],Symbols[], COLUMN(Symbols[Currency])-COLUMN(Symbols[])+1,FALSE)</f>
        <v>CNY</v>
      </c>
    </row>
    <row r="1337" spans="1:25">
      <c r="A1337" s="155" t="s">
        <v>82</v>
      </c>
      <c r="B1337" s="156">
        <v>42691</v>
      </c>
      <c r="C1337" s="155" t="s">
        <v>239</v>
      </c>
      <c r="D1337" s="155"/>
      <c r="E1337" s="155" t="s">
        <v>210</v>
      </c>
      <c r="F1337" s="157">
        <v>97850.36</v>
      </c>
      <c r="G1337" s="158">
        <v>1</v>
      </c>
      <c r="H1337" s="157"/>
      <c r="I1337" s="157"/>
      <c r="J1337" s="159">
        <v>97850.36</v>
      </c>
      <c r="K1337" s="6" t="s">
        <v>641</v>
      </c>
      <c r="L1337" s="20">
        <f>IF(ISNA(MATCH(Transactions[[#This Row],[TransType]],TransTypes[TransType],0)),1,MATCH(Transactions[[#This Row],[TransType]],TransTypes[TransType],0))</f>
        <v>18</v>
      </c>
      <c r="M1337" s="160">
        <f>IF( AND( INDEX(TransTypes[],Transactions[[#This Row],[TTR]],TT_COL_GLFlag)=1, INDEX(TransTypes[],Transactions[[#This Row],[TTR]],TT_COL_LONGORSHORT)="S" ),
      Transactions[[#This Row],[PL]],
      IF(INDEX(TransTypes[],Transactions[[#This Row],[TTR]],TT_COL_LONGORSHORT)="S",0,Transactions[[#This Row],[CalCashImpact]])
)</f>
        <v>97850.36</v>
      </c>
      <c r="N1337" s="161">
        <f>IF(VLOOKUP(Transactions[[#This Row],[Symbol]],Symbols[],COLUMN(Symbols[Currency])-COLUMN(Symbols[])+1,FALSE)=
       VLOOKUP(Transactions[[#This Row],[Account]],Accounts[],COLUMN(Accounts[Currency])-COLUMN(Accounts[])+1,FALSE),
     Transactions[[#This Row],[OrigCashImpact]],
     0
)</f>
        <v>0</v>
      </c>
      <c r="O13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1794686.389999999</v>
      </c>
      <c r="P13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37" s="41">
        <f>ROW()</f>
        <v>1337</v>
      </c>
      <c r="S13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37" s="166">
        <f>IF(INDEX(TransTypes[],Transactions[[#This Row],[TTR]],TT_COL_GLFlag)=1,Transactions[[#This Row],[CalCashImpact]]+Transactions[[#This Row],[CostImpact]],0)</f>
        <v>0</v>
      </c>
      <c r="W1337" s="167">
        <f>Transactions[[#This Row],[Amount]]*INDEX(TransTypes[],Transactions[[#This Row],[TTR]],TT_COL_AmntSign)</f>
        <v>97850.36</v>
      </c>
      <c r="X1337" s="167">
        <f>IF(INDEX(TransTypes[],Transactions[[#This Row],[TTR]],TT_COL_LONGORSHORT)="S",
      IF( OR(INDEX(TransTypes[],Transactions[[#This Row],[TTR]],TT_COL_GLFlag)=1, INDEX(TransTypes[], Transactions[[#This Row],[TTR]], TT_COL_ShareTransferFlag)=1),
            Transactions[[#This Row],[CostImpact]]*-1,
            Transactions[[#This Row],[CalCashImpact]]
      ),
     0
)</f>
        <v>0</v>
      </c>
      <c r="Y1337" s="168" t="str">
        <f>VLOOKUP(Transactions[[#This Row],[Symbol]],Symbols[], COLUMN(Symbols[Currency])-COLUMN(Symbols[])+1,FALSE)</f>
        <v>HKD</v>
      </c>
    </row>
    <row r="1338" spans="1:25">
      <c r="A1338" s="155" t="s">
        <v>82</v>
      </c>
      <c r="B1338" s="156">
        <v>42691</v>
      </c>
      <c r="C1338" s="155" t="s">
        <v>113</v>
      </c>
      <c r="D1338" s="155"/>
      <c r="E1338" s="155" t="s">
        <v>646</v>
      </c>
      <c r="F1338" s="157">
        <v>500</v>
      </c>
      <c r="G1338" s="158">
        <v>194.9</v>
      </c>
      <c r="H1338" s="157">
        <v>400.36</v>
      </c>
      <c r="I1338" s="157"/>
      <c r="J1338" s="159">
        <v>97850.36</v>
      </c>
      <c r="K1338" s="6" t="s">
        <v>641</v>
      </c>
      <c r="L1338" s="20">
        <f>IF(ISNA(MATCH(Transactions[[#This Row],[TransType]],TransTypes[TransType],0)),1,MATCH(Transactions[[#This Row],[TransType]],TransTypes[TransType],0))</f>
        <v>2</v>
      </c>
      <c r="M1338" s="160">
        <f>IF( AND( INDEX(TransTypes[],Transactions[[#This Row],[TTR]],TT_COL_GLFlag)=1, INDEX(TransTypes[],Transactions[[#This Row],[TTR]],TT_COL_LONGORSHORT)="S" ),
      Transactions[[#This Row],[PL]],
      IF(INDEX(TransTypes[],Transactions[[#This Row],[TTR]],TT_COL_LONGORSHORT)="S",0,Transactions[[#This Row],[CalCashImpact]])
)</f>
        <v>-97850.36</v>
      </c>
      <c r="N1338" s="161">
        <f>IF(VLOOKUP(Transactions[[#This Row],[Symbol]],Symbols[],COLUMN(Symbols[Currency])-COLUMN(Symbols[])+1,FALSE)=
       VLOOKUP(Transactions[[#This Row],[Account]],Accounts[],COLUMN(Accounts[Currency])-COLUMN(Accounts[])+1,FALSE),
     Transactions[[#This Row],[OrigCashImpact]],
     0
)</f>
        <v>0</v>
      </c>
      <c r="O13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1794686.389999999</v>
      </c>
      <c r="P13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338" s="41">
        <f>ROW()</f>
        <v>1338</v>
      </c>
      <c r="S13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97850.36</v>
      </c>
      <c r="T13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781293.1</v>
      </c>
      <c r="U13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338" s="166">
        <f>IF(INDEX(TransTypes[],Transactions[[#This Row],[TTR]],TT_COL_GLFlag)=1,Transactions[[#This Row],[CalCashImpact]]+Transactions[[#This Row],[CostImpact]],0)</f>
        <v>0</v>
      </c>
      <c r="W1338" s="167">
        <f>Transactions[[#This Row],[Amount]]*INDEX(TransTypes[],Transactions[[#This Row],[TTR]],TT_COL_AmntSign)</f>
        <v>-97850.36</v>
      </c>
      <c r="X1338" s="167">
        <f>IF(INDEX(TransTypes[],Transactions[[#This Row],[TTR]],TT_COL_LONGORSHORT)="S",
      IF( OR(INDEX(TransTypes[],Transactions[[#This Row],[TTR]],TT_COL_GLFlag)=1, INDEX(TransTypes[], Transactions[[#This Row],[TTR]], TT_COL_ShareTransferFlag)=1),
            Transactions[[#This Row],[CostImpact]]*-1,
            Transactions[[#This Row],[CalCashImpact]]
      ),
     0
)</f>
        <v>0</v>
      </c>
      <c r="Y1338" s="168" t="str">
        <f>VLOOKUP(Transactions[[#This Row],[Symbol]],Symbols[], COLUMN(Symbols[Currency])-COLUMN(Symbols[])+1,FALSE)</f>
        <v>HKD</v>
      </c>
    </row>
    <row r="1339" spans="1:25">
      <c r="A1339" s="155" t="s">
        <v>82</v>
      </c>
      <c r="B1339" s="156">
        <v>42692</v>
      </c>
      <c r="C1339" s="155" t="s">
        <v>115</v>
      </c>
      <c r="D1339" s="155"/>
      <c r="E1339" s="155" t="s">
        <v>717</v>
      </c>
      <c r="F1339" s="157">
        <v>5000</v>
      </c>
      <c r="G1339" s="158">
        <v>26.84</v>
      </c>
      <c r="H1339" s="157">
        <v>190.56</v>
      </c>
      <c r="I1339" s="157"/>
      <c r="J1339" s="159">
        <v>134009.44</v>
      </c>
      <c r="K1339" s="6" t="s">
        <v>641</v>
      </c>
      <c r="L1339" s="20">
        <f>IF(ISNA(MATCH(Transactions[[#This Row],[TransType]],TransTypes[TransType],0)),1,MATCH(Transactions[[#This Row],[TransType]],TransTypes[TransType],0))</f>
        <v>3</v>
      </c>
      <c r="M1339" s="160">
        <f>IF( AND( INDEX(TransTypes[],Transactions[[#This Row],[TTR]],TT_COL_GLFlag)=1, INDEX(TransTypes[],Transactions[[#This Row],[TTR]],TT_COL_LONGORSHORT)="S" ),
      Transactions[[#This Row],[PL]],
      IF(INDEX(TransTypes[],Transactions[[#This Row],[TTR]],TT_COL_LONGORSHORT)="S",0,Transactions[[#This Row],[CalCashImpact]])
)</f>
        <v>134009.44</v>
      </c>
      <c r="N1339" s="161">
        <f>IF(VLOOKUP(Transactions[[#This Row],[Symbol]],Symbols[],COLUMN(Symbols[Currency])-COLUMN(Symbols[])+1,FALSE)=
       VLOOKUP(Transactions[[#This Row],[Account]],Accounts[],COLUMN(Accounts[Currency])-COLUMN(Accounts[])+1,FALSE),
     Transactions[[#This Row],[OrigCashImpact]],
     0
)</f>
        <v>134009.44</v>
      </c>
      <c r="O13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1928695.8299999989</v>
      </c>
      <c r="P13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3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39" s="41">
        <f>ROW()</f>
        <v>1339</v>
      </c>
      <c r="S13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-143610.29</v>
      </c>
      <c r="T13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339" s="166">
        <f>IF(INDEX(TransTypes[],Transactions[[#This Row],[TTR]],TT_COL_GLFlag)=1,Transactions[[#This Row],[CalCashImpact]]+Transactions[[#This Row],[CostImpact]],0)</f>
        <v>-9600.8500000000058</v>
      </c>
      <c r="W1339" s="167">
        <f>Transactions[[#This Row],[Amount]]*INDEX(TransTypes[],Transactions[[#This Row],[TTR]],TT_COL_AmntSign)</f>
        <v>134009.44</v>
      </c>
      <c r="X1339" s="167">
        <f>IF(INDEX(TransTypes[],Transactions[[#This Row],[TTR]],TT_COL_LONGORSHORT)="S",
      IF( OR(INDEX(TransTypes[],Transactions[[#This Row],[TTR]],TT_COL_GLFlag)=1, INDEX(TransTypes[], Transactions[[#This Row],[TTR]], TT_COL_ShareTransferFlag)=1),
            Transactions[[#This Row],[CostImpact]]*-1,
            Transactions[[#This Row],[CalCashImpact]]
      ),
     0
)</f>
        <v>0</v>
      </c>
      <c r="Y1339" s="168" t="str">
        <f>VLOOKUP(Transactions[[#This Row],[Symbol]],Symbols[], COLUMN(Symbols[Currency])-COLUMN(Symbols[])+1,FALSE)</f>
        <v>CNY</v>
      </c>
    </row>
    <row r="1340" spans="1:25">
      <c r="A1340" s="155" t="s">
        <v>82</v>
      </c>
      <c r="B1340" s="156">
        <v>42695</v>
      </c>
      <c r="C1340" s="155" t="s">
        <v>113</v>
      </c>
      <c r="D1340" s="155"/>
      <c r="E1340" s="155" t="s">
        <v>482</v>
      </c>
      <c r="F1340" s="157">
        <v>2000</v>
      </c>
      <c r="G1340" s="158">
        <v>22.68</v>
      </c>
      <c r="H1340" s="157">
        <v>18.14</v>
      </c>
      <c r="I1340" s="157"/>
      <c r="J1340" s="159">
        <v>45378.14</v>
      </c>
      <c r="K1340" s="6" t="s">
        <v>641</v>
      </c>
      <c r="L1340" s="20">
        <f>IF(ISNA(MATCH(Transactions[[#This Row],[TransType]],TransTypes[TransType],0)),1,MATCH(Transactions[[#This Row],[TransType]],TransTypes[TransType],0))</f>
        <v>2</v>
      </c>
      <c r="M1340" s="160">
        <f>IF( AND( INDEX(TransTypes[],Transactions[[#This Row],[TTR]],TT_COL_GLFlag)=1, INDEX(TransTypes[],Transactions[[#This Row],[TTR]],TT_COL_LONGORSHORT)="S" ),
      Transactions[[#This Row],[PL]],
      IF(INDEX(TransTypes[],Transactions[[#This Row],[TTR]],TT_COL_LONGORSHORT)="S",0,Transactions[[#This Row],[CalCashImpact]])
)</f>
        <v>-45378.14</v>
      </c>
      <c r="N1340" s="161">
        <f>IF(VLOOKUP(Transactions[[#This Row],[Symbol]],Symbols[],COLUMN(Symbols[Currency])-COLUMN(Symbols[])+1,FALSE)=
       VLOOKUP(Transactions[[#This Row],[Account]],Accounts[],COLUMN(Accounts[Currency])-COLUMN(Accounts[])+1,FALSE),
     Transactions[[#This Row],[OrigCashImpact]],
     0
)</f>
        <v>-45378.14</v>
      </c>
      <c r="O13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1883317.689999999</v>
      </c>
      <c r="P13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340" s="41">
        <f>ROW()</f>
        <v>1340</v>
      </c>
      <c r="S13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45378.14</v>
      </c>
      <c r="T13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127851.12</v>
      </c>
      <c r="U13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340" s="166">
        <f>IF(INDEX(TransTypes[],Transactions[[#This Row],[TTR]],TT_COL_GLFlag)=1,Transactions[[#This Row],[CalCashImpact]]+Transactions[[#This Row],[CostImpact]],0)</f>
        <v>0</v>
      </c>
      <c r="W1340" s="167">
        <f>Transactions[[#This Row],[Amount]]*INDEX(TransTypes[],Transactions[[#This Row],[TTR]],TT_COL_AmntSign)</f>
        <v>-45378.14</v>
      </c>
      <c r="X1340" s="167">
        <f>IF(INDEX(TransTypes[],Transactions[[#This Row],[TTR]],TT_COL_LONGORSHORT)="S",
      IF( OR(INDEX(TransTypes[],Transactions[[#This Row],[TTR]],TT_COL_GLFlag)=1, INDEX(TransTypes[], Transactions[[#This Row],[TTR]], TT_COL_ShareTransferFlag)=1),
            Transactions[[#This Row],[CostImpact]]*-1,
            Transactions[[#This Row],[CalCashImpact]]
      ),
     0
)</f>
        <v>0</v>
      </c>
      <c r="Y1340" s="168" t="str">
        <f>VLOOKUP(Transactions[[#This Row],[Symbol]],Symbols[], COLUMN(Symbols[Currency])-COLUMN(Symbols[])+1,FALSE)</f>
        <v>CNY</v>
      </c>
    </row>
    <row r="1341" spans="1:25">
      <c r="A1341" s="155" t="s">
        <v>82</v>
      </c>
      <c r="B1341" s="156">
        <v>42695</v>
      </c>
      <c r="C1341" s="155" t="s">
        <v>113</v>
      </c>
      <c r="D1341" s="155"/>
      <c r="E1341" s="155" t="s">
        <v>468</v>
      </c>
      <c r="F1341" s="157">
        <v>3000</v>
      </c>
      <c r="G1341" s="158">
        <v>35.93</v>
      </c>
      <c r="H1341" s="157">
        <v>45.28</v>
      </c>
      <c r="I1341" s="157"/>
      <c r="J1341" s="159">
        <v>107835.28</v>
      </c>
      <c r="K1341" s="6" t="s">
        <v>641</v>
      </c>
      <c r="L1341" s="20">
        <f>IF(ISNA(MATCH(Transactions[[#This Row],[TransType]],TransTypes[TransType],0)),1,MATCH(Transactions[[#This Row],[TransType]],TransTypes[TransType],0))</f>
        <v>2</v>
      </c>
      <c r="M1341" s="160">
        <f>IF( AND( INDEX(TransTypes[],Transactions[[#This Row],[TTR]],TT_COL_GLFlag)=1, INDEX(TransTypes[],Transactions[[#This Row],[TTR]],TT_COL_LONGORSHORT)="S" ),
      Transactions[[#This Row],[PL]],
      IF(INDEX(TransTypes[],Transactions[[#This Row],[TTR]],TT_COL_LONGORSHORT)="S",0,Transactions[[#This Row],[CalCashImpact]])
)</f>
        <v>-107835.28</v>
      </c>
      <c r="N1341" s="161">
        <f>IF(VLOOKUP(Transactions[[#This Row],[Symbol]],Symbols[],COLUMN(Symbols[Currency])-COLUMN(Symbols[])+1,FALSE)=
       VLOOKUP(Transactions[[#This Row],[Account]],Accounts[],COLUMN(Accounts[Currency])-COLUMN(Accounts[])+1,FALSE),
     Transactions[[#This Row],[OrigCashImpact]],
     0
)</f>
        <v>-107835.28</v>
      </c>
      <c r="O13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1775482.409999999</v>
      </c>
      <c r="P13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3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341" s="41">
        <f>ROW()</f>
        <v>1341</v>
      </c>
      <c r="S13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107835.28</v>
      </c>
      <c r="T13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107835.28</v>
      </c>
      <c r="U13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341" s="166">
        <f>IF(INDEX(TransTypes[],Transactions[[#This Row],[TTR]],TT_COL_GLFlag)=1,Transactions[[#This Row],[CalCashImpact]]+Transactions[[#This Row],[CostImpact]],0)</f>
        <v>0</v>
      </c>
      <c r="W1341" s="167">
        <f>Transactions[[#This Row],[Amount]]*INDEX(TransTypes[],Transactions[[#This Row],[TTR]],TT_COL_AmntSign)</f>
        <v>-107835.28</v>
      </c>
      <c r="X1341" s="167">
        <f>IF(INDEX(TransTypes[],Transactions[[#This Row],[TTR]],TT_COL_LONGORSHORT)="S",
      IF( OR(INDEX(TransTypes[],Transactions[[#This Row],[TTR]],TT_COL_GLFlag)=1, INDEX(TransTypes[], Transactions[[#This Row],[TTR]], TT_COL_ShareTransferFlag)=1),
            Transactions[[#This Row],[CostImpact]]*-1,
            Transactions[[#This Row],[CalCashImpact]]
      ),
     0
)</f>
        <v>0</v>
      </c>
      <c r="Y1341" s="168" t="str">
        <f>VLOOKUP(Transactions[[#This Row],[Symbol]],Symbols[], COLUMN(Symbols[Currency])-COLUMN(Symbols[])+1,FALSE)</f>
        <v>CNY</v>
      </c>
    </row>
    <row r="1342" spans="1:25">
      <c r="A1342" s="155" t="s">
        <v>82</v>
      </c>
      <c r="B1342" s="156">
        <v>42697</v>
      </c>
      <c r="C1342" s="155" t="s">
        <v>115</v>
      </c>
      <c r="D1342" s="155"/>
      <c r="E1342" s="155" t="s">
        <v>647</v>
      </c>
      <c r="F1342" s="157">
        <v>1000</v>
      </c>
      <c r="G1342" s="158">
        <v>49.21</v>
      </c>
      <c r="H1342" s="157">
        <v>68.89</v>
      </c>
      <c r="I1342" s="157"/>
      <c r="J1342" s="159">
        <v>49141.11</v>
      </c>
      <c r="K1342" s="6" t="s">
        <v>641</v>
      </c>
      <c r="L1342" s="20">
        <f>IF(ISNA(MATCH(Transactions[[#This Row],[TransType]],TransTypes[TransType],0)),1,MATCH(Transactions[[#This Row],[TransType]],TransTypes[TransType],0))</f>
        <v>3</v>
      </c>
      <c r="M1342" s="160">
        <f>IF( AND( INDEX(TransTypes[],Transactions[[#This Row],[TTR]],TT_COL_GLFlag)=1, INDEX(TransTypes[],Transactions[[#This Row],[TTR]],TT_COL_LONGORSHORT)="S" ),
      Transactions[[#This Row],[PL]],
      IF(INDEX(TransTypes[],Transactions[[#This Row],[TTR]],TT_COL_LONGORSHORT)="S",0,Transactions[[#This Row],[CalCashImpact]])
)</f>
        <v>49141.11</v>
      </c>
      <c r="N1342" s="161">
        <f>IF(VLOOKUP(Transactions[[#This Row],[Symbol]],Symbols[],COLUMN(Symbols[Currency])-COLUMN(Symbols[])+1,FALSE)=
       VLOOKUP(Transactions[[#This Row],[Account]],Accounts[],COLUMN(Accounts[Currency])-COLUMN(Accounts[])+1,FALSE),
     Transactions[[#This Row],[OrigCashImpact]],
     0
)</f>
        <v>49141.11</v>
      </c>
      <c r="O13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1824623.5199999991</v>
      </c>
      <c r="P13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342" s="41">
        <f>ROW()</f>
        <v>1342</v>
      </c>
      <c r="S13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-46978.785000000003</v>
      </c>
      <c r="T13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93957.57</v>
      </c>
      <c r="U13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342" s="166">
        <f>IF(INDEX(TransTypes[],Transactions[[#This Row],[TTR]],TT_COL_GLFlag)=1,Transactions[[#This Row],[CalCashImpact]]+Transactions[[#This Row],[CostImpact]],0)</f>
        <v>2162.3249999999971</v>
      </c>
      <c r="W1342" s="167">
        <f>Transactions[[#This Row],[Amount]]*INDEX(TransTypes[],Transactions[[#This Row],[TTR]],TT_COL_AmntSign)</f>
        <v>49141.11</v>
      </c>
      <c r="X1342" s="167">
        <f>IF(INDEX(TransTypes[],Transactions[[#This Row],[TTR]],TT_COL_LONGORSHORT)="S",
      IF( OR(INDEX(TransTypes[],Transactions[[#This Row],[TTR]],TT_COL_GLFlag)=1, INDEX(TransTypes[], Transactions[[#This Row],[TTR]], TT_COL_ShareTransferFlag)=1),
            Transactions[[#This Row],[CostImpact]]*-1,
            Transactions[[#This Row],[CalCashImpact]]
      ),
     0
)</f>
        <v>0</v>
      </c>
      <c r="Y1342" s="168" t="str">
        <f>VLOOKUP(Transactions[[#This Row],[Symbol]],Symbols[], COLUMN(Symbols[Currency])-COLUMN(Symbols[])+1,FALSE)</f>
        <v>CNY</v>
      </c>
    </row>
    <row r="1343" spans="1:25">
      <c r="A1343" s="155" t="s">
        <v>82</v>
      </c>
      <c r="B1343" s="156">
        <v>42697</v>
      </c>
      <c r="C1343" s="155" t="s">
        <v>113</v>
      </c>
      <c r="D1343" s="155"/>
      <c r="E1343" s="155" t="s">
        <v>704</v>
      </c>
      <c r="F1343" s="157">
        <v>2000</v>
      </c>
      <c r="G1343" s="158">
        <v>21.78</v>
      </c>
      <c r="H1343" s="157">
        <v>17.420000000000002</v>
      </c>
      <c r="I1343" s="157"/>
      <c r="J1343" s="159">
        <v>43577.42</v>
      </c>
      <c r="K1343" s="6" t="s">
        <v>641</v>
      </c>
      <c r="L1343" s="20">
        <f>IF(ISNA(MATCH(Transactions[[#This Row],[TransType]],TransTypes[TransType],0)),1,MATCH(Transactions[[#This Row],[TransType]],TransTypes[TransType],0))</f>
        <v>2</v>
      </c>
      <c r="M1343" s="160">
        <f>IF( AND( INDEX(TransTypes[],Transactions[[#This Row],[TTR]],TT_COL_GLFlag)=1, INDEX(TransTypes[],Transactions[[#This Row],[TTR]],TT_COL_LONGORSHORT)="S" ),
      Transactions[[#This Row],[PL]],
      IF(INDEX(TransTypes[],Transactions[[#This Row],[TTR]],TT_COL_LONGORSHORT)="S",0,Transactions[[#This Row],[CalCashImpact]])
)</f>
        <v>-43577.42</v>
      </c>
      <c r="N1343" s="161">
        <f>IF(VLOOKUP(Transactions[[#This Row],[Symbol]],Symbols[],COLUMN(Symbols[Currency])-COLUMN(Symbols[])+1,FALSE)=
       VLOOKUP(Transactions[[#This Row],[Account]],Accounts[],COLUMN(Accounts[Currency])-COLUMN(Accounts[])+1,FALSE),
     Transactions[[#This Row],[OrigCashImpact]],
     0
)</f>
        <v>-43577.42</v>
      </c>
      <c r="O13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1781046.0999999989</v>
      </c>
      <c r="P13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343" s="41">
        <f>ROW()</f>
        <v>1343</v>
      </c>
      <c r="S13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43577.42</v>
      </c>
      <c r="T13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175198.79749999999</v>
      </c>
      <c r="U13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343" s="166">
        <f>IF(INDEX(TransTypes[],Transactions[[#This Row],[TTR]],TT_COL_GLFlag)=1,Transactions[[#This Row],[CalCashImpact]]+Transactions[[#This Row],[CostImpact]],0)</f>
        <v>0</v>
      </c>
      <c r="W1343" s="167">
        <f>Transactions[[#This Row],[Amount]]*INDEX(TransTypes[],Transactions[[#This Row],[TTR]],TT_COL_AmntSign)</f>
        <v>-43577.42</v>
      </c>
      <c r="X1343" s="167">
        <f>IF(INDEX(TransTypes[],Transactions[[#This Row],[TTR]],TT_COL_LONGORSHORT)="S",
      IF( OR(INDEX(TransTypes[],Transactions[[#This Row],[TTR]],TT_COL_GLFlag)=1, INDEX(TransTypes[], Transactions[[#This Row],[TTR]], TT_COL_ShareTransferFlag)=1),
            Transactions[[#This Row],[CostImpact]]*-1,
            Transactions[[#This Row],[CalCashImpact]]
      ),
     0
)</f>
        <v>0</v>
      </c>
      <c r="Y1343" s="168" t="str">
        <f>VLOOKUP(Transactions[[#This Row],[Symbol]],Symbols[], COLUMN(Symbols[Currency])-COLUMN(Symbols[])+1,FALSE)</f>
        <v>CNY</v>
      </c>
    </row>
    <row r="1344" spans="1:25">
      <c r="A1344" s="155" t="s">
        <v>82</v>
      </c>
      <c r="B1344" s="156">
        <v>42697</v>
      </c>
      <c r="C1344" s="155" t="s">
        <v>113</v>
      </c>
      <c r="D1344" s="155"/>
      <c r="E1344" s="155" t="s">
        <v>710</v>
      </c>
      <c r="F1344" s="157">
        <v>2000</v>
      </c>
      <c r="G1344" s="158">
        <v>22.19</v>
      </c>
      <c r="H1344" s="157">
        <v>17.75</v>
      </c>
      <c r="I1344" s="157"/>
      <c r="J1344" s="159">
        <v>44397.75</v>
      </c>
      <c r="K1344" s="6" t="s">
        <v>641</v>
      </c>
      <c r="L1344" s="20">
        <f>IF(ISNA(MATCH(Transactions[[#This Row],[TransType]],TransTypes[TransType],0)),1,MATCH(Transactions[[#This Row],[TransType]],TransTypes[TransType],0))</f>
        <v>2</v>
      </c>
      <c r="M1344" s="160">
        <f>IF( AND( INDEX(TransTypes[],Transactions[[#This Row],[TTR]],TT_COL_GLFlag)=1, INDEX(TransTypes[],Transactions[[#This Row],[TTR]],TT_COL_LONGORSHORT)="S" ),
      Transactions[[#This Row],[PL]],
      IF(INDEX(TransTypes[],Transactions[[#This Row],[TTR]],TT_COL_LONGORSHORT)="S",0,Transactions[[#This Row],[CalCashImpact]])
)</f>
        <v>-44397.75</v>
      </c>
      <c r="N1344" s="161">
        <f>IF(VLOOKUP(Transactions[[#This Row],[Symbol]],Symbols[],COLUMN(Symbols[Currency])-COLUMN(Symbols[])+1,FALSE)=
       VLOOKUP(Transactions[[#This Row],[Account]],Accounts[],COLUMN(Accounts[Currency])-COLUMN(Accounts[])+1,FALSE),
     Transactions[[#This Row],[OrigCashImpact]],
     0
)</f>
        <v>-44397.75</v>
      </c>
      <c r="O13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1736648.3499999989</v>
      </c>
      <c r="P13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344" s="41">
        <f>ROW()</f>
        <v>1344</v>
      </c>
      <c r="S13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44397.75</v>
      </c>
      <c r="T13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157096.9763888889</v>
      </c>
      <c r="U13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344" s="166">
        <f>IF(INDEX(TransTypes[],Transactions[[#This Row],[TTR]],TT_COL_GLFlag)=1,Transactions[[#This Row],[CalCashImpact]]+Transactions[[#This Row],[CostImpact]],0)</f>
        <v>0</v>
      </c>
      <c r="W1344" s="167">
        <f>Transactions[[#This Row],[Amount]]*INDEX(TransTypes[],Transactions[[#This Row],[TTR]],TT_COL_AmntSign)</f>
        <v>-44397.75</v>
      </c>
      <c r="X1344" s="167">
        <f>IF(INDEX(TransTypes[],Transactions[[#This Row],[TTR]],TT_COL_LONGORSHORT)="S",
      IF( OR(INDEX(TransTypes[],Transactions[[#This Row],[TTR]],TT_COL_GLFlag)=1, INDEX(TransTypes[], Transactions[[#This Row],[TTR]], TT_COL_ShareTransferFlag)=1),
            Transactions[[#This Row],[CostImpact]]*-1,
            Transactions[[#This Row],[CalCashImpact]]
      ),
     0
)</f>
        <v>0</v>
      </c>
      <c r="Y1344" s="168" t="str">
        <f>VLOOKUP(Transactions[[#This Row],[Symbol]],Symbols[], COLUMN(Symbols[Currency])-COLUMN(Symbols[])+1,FALSE)</f>
        <v>CNY</v>
      </c>
    </row>
    <row r="1345" spans="1:25">
      <c r="A1345" s="155" t="s">
        <v>82</v>
      </c>
      <c r="B1345" s="156">
        <v>42697</v>
      </c>
      <c r="C1345" s="155" t="s">
        <v>115</v>
      </c>
      <c r="D1345" s="155"/>
      <c r="E1345" s="155" t="s">
        <v>715</v>
      </c>
      <c r="F1345" s="157">
        <v>200000</v>
      </c>
      <c r="G1345" s="158">
        <v>0.42099999999999999</v>
      </c>
      <c r="H1345" s="157">
        <v>16.940000000000001</v>
      </c>
      <c r="I1345" s="157"/>
      <c r="J1345" s="159">
        <v>84183.06</v>
      </c>
      <c r="K1345" s="6" t="s">
        <v>641</v>
      </c>
      <c r="L1345" s="20">
        <f>IF(ISNA(MATCH(Transactions[[#This Row],[TransType]],TransTypes[TransType],0)),1,MATCH(Transactions[[#This Row],[TransType]],TransTypes[TransType],0))</f>
        <v>3</v>
      </c>
      <c r="M1345" s="160">
        <f>IF( AND( INDEX(TransTypes[],Transactions[[#This Row],[TTR]],TT_COL_GLFlag)=1, INDEX(TransTypes[],Transactions[[#This Row],[TTR]],TT_COL_LONGORSHORT)="S" ),
      Transactions[[#This Row],[PL]],
      IF(INDEX(TransTypes[],Transactions[[#This Row],[TTR]],TT_COL_LONGORSHORT)="S",0,Transactions[[#This Row],[CalCashImpact]])
)</f>
        <v>84183.06</v>
      </c>
      <c r="N1345" s="161">
        <f>IF(VLOOKUP(Transactions[[#This Row],[Symbol]],Symbols[],COLUMN(Symbols[Currency])-COLUMN(Symbols[])+1,FALSE)=
       VLOOKUP(Transactions[[#This Row],[Account]],Accounts[],COLUMN(Accounts[Currency])-COLUMN(Accounts[])+1,FALSE),
     Transactions[[#This Row],[OrigCashImpact]],
     0
)</f>
        <v>84183.06</v>
      </c>
      <c r="O13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1820831.409999999</v>
      </c>
      <c r="P13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13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2510000</v>
      </c>
      <c r="R1345" s="41">
        <f>ROW()</f>
        <v>1345</v>
      </c>
      <c r="S13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-79643.707464844934</v>
      </c>
      <c r="T13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999528.52868380398</v>
      </c>
      <c r="U13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2710000</v>
      </c>
      <c r="V1345" s="166">
        <f>IF(INDEX(TransTypes[],Transactions[[#This Row],[TTR]],TT_COL_GLFlag)=1,Transactions[[#This Row],[CalCashImpact]]+Transactions[[#This Row],[CostImpact]],0)</f>
        <v>4539.3525351550634</v>
      </c>
      <c r="W1345" s="167">
        <f>Transactions[[#This Row],[Amount]]*INDEX(TransTypes[],Transactions[[#This Row],[TTR]],TT_COL_AmntSign)</f>
        <v>84183.06</v>
      </c>
      <c r="X1345" s="167">
        <f>IF(INDEX(TransTypes[],Transactions[[#This Row],[TTR]],TT_COL_LONGORSHORT)="S",
      IF( OR(INDEX(TransTypes[],Transactions[[#This Row],[TTR]],TT_COL_GLFlag)=1, INDEX(TransTypes[], Transactions[[#This Row],[TTR]], TT_COL_ShareTransferFlag)=1),
            Transactions[[#This Row],[CostImpact]]*-1,
            Transactions[[#This Row],[CalCashImpact]]
      ),
     0
)</f>
        <v>0</v>
      </c>
      <c r="Y1345" s="168" t="str">
        <f>VLOOKUP(Transactions[[#This Row],[Symbol]],Symbols[], COLUMN(Symbols[Currency])-COLUMN(Symbols[])+1,FALSE)</f>
        <v>CNY</v>
      </c>
    </row>
    <row r="1346" spans="1:25">
      <c r="A1346" s="155" t="s">
        <v>82</v>
      </c>
      <c r="B1346" s="156">
        <v>42697</v>
      </c>
      <c r="C1346" s="155" t="s">
        <v>115</v>
      </c>
      <c r="D1346" s="155"/>
      <c r="E1346" s="155" t="s">
        <v>712</v>
      </c>
      <c r="F1346" s="157">
        <v>50000</v>
      </c>
      <c r="G1346" s="158">
        <v>0.84199999999999997</v>
      </c>
      <c r="H1346" s="157">
        <v>16.84</v>
      </c>
      <c r="I1346" s="157"/>
      <c r="J1346" s="159">
        <v>42083.16</v>
      </c>
      <c r="K1346" s="6" t="s">
        <v>641</v>
      </c>
      <c r="L1346" s="20">
        <f>IF(ISNA(MATCH(Transactions[[#This Row],[TransType]],TransTypes[TransType],0)),1,MATCH(Transactions[[#This Row],[TransType]],TransTypes[TransType],0))</f>
        <v>3</v>
      </c>
      <c r="M1346" s="160">
        <f>IF( AND( INDEX(TransTypes[],Transactions[[#This Row],[TTR]],TT_COL_GLFlag)=1, INDEX(TransTypes[],Transactions[[#This Row],[TTR]],TT_COL_LONGORSHORT)="S" ),
      Transactions[[#This Row],[PL]],
      IF(INDEX(TransTypes[],Transactions[[#This Row],[TTR]],TT_COL_LONGORSHORT)="S",0,Transactions[[#This Row],[CalCashImpact]])
)</f>
        <v>42083.16</v>
      </c>
      <c r="N1346" s="161">
        <f>IF(VLOOKUP(Transactions[[#This Row],[Symbol]],Symbols[],COLUMN(Symbols[Currency])-COLUMN(Symbols[])+1,FALSE)=
       VLOOKUP(Transactions[[#This Row],[Account]],Accounts[],COLUMN(Accounts[Currency])-COLUMN(Accounts[])+1,FALSE),
     Transactions[[#This Row],[OrigCashImpact]],
     0
)</f>
        <v>42083.16</v>
      </c>
      <c r="O13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1862914.5699999989</v>
      </c>
      <c r="P13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3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340600</v>
      </c>
      <c r="R1346" s="41">
        <f>ROW()</f>
        <v>1346</v>
      </c>
      <c r="S13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-41290.832053251412</v>
      </c>
      <c r="T13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281273.14794674859</v>
      </c>
      <c r="U13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390600</v>
      </c>
      <c r="V1346" s="166">
        <f>IF(INDEX(TransTypes[],Transactions[[#This Row],[TTR]],TT_COL_GLFlag)=1,Transactions[[#This Row],[CalCashImpact]]+Transactions[[#This Row],[CostImpact]],0)</f>
        <v>792.32794674859178</v>
      </c>
      <c r="W1346" s="167">
        <f>Transactions[[#This Row],[Amount]]*INDEX(TransTypes[],Transactions[[#This Row],[TTR]],TT_COL_AmntSign)</f>
        <v>42083.16</v>
      </c>
      <c r="X1346" s="167">
        <f>IF(INDEX(TransTypes[],Transactions[[#This Row],[TTR]],TT_COL_LONGORSHORT)="S",
      IF( OR(INDEX(TransTypes[],Transactions[[#This Row],[TTR]],TT_COL_GLFlag)=1, INDEX(TransTypes[], Transactions[[#This Row],[TTR]], TT_COL_ShareTransferFlag)=1),
            Transactions[[#This Row],[CostImpact]]*-1,
            Transactions[[#This Row],[CalCashImpact]]
      ),
     0
)</f>
        <v>0</v>
      </c>
      <c r="Y1346" s="168" t="str">
        <f>VLOOKUP(Transactions[[#This Row],[Symbol]],Symbols[], COLUMN(Symbols[Currency])-COLUMN(Symbols[])+1,FALSE)</f>
        <v>CNY</v>
      </c>
    </row>
    <row r="1347" spans="1:25">
      <c r="A1347" s="155" t="s">
        <v>82</v>
      </c>
      <c r="B1347" s="156">
        <v>42697</v>
      </c>
      <c r="C1347" s="155" t="s">
        <v>115</v>
      </c>
      <c r="D1347" s="155"/>
      <c r="E1347" s="155" t="s">
        <v>665</v>
      </c>
      <c r="F1347" s="157">
        <v>50000</v>
      </c>
      <c r="G1347" s="158">
        <v>1.0780000000000001</v>
      </c>
      <c r="H1347" s="157">
        <v>21.56</v>
      </c>
      <c r="I1347" s="157"/>
      <c r="J1347" s="159">
        <v>53878.44</v>
      </c>
      <c r="K1347" s="6" t="s">
        <v>641</v>
      </c>
      <c r="L1347" s="20">
        <f>IF(ISNA(MATCH(Transactions[[#This Row],[TransType]],TransTypes[TransType],0)),1,MATCH(Transactions[[#This Row],[TransType]],TransTypes[TransType],0))</f>
        <v>3</v>
      </c>
      <c r="M1347" s="160">
        <f>IF( AND( INDEX(TransTypes[],Transactions[[#This Row],[TTR]],TT_COL_GLFlag)=1, INDEX(TransTypes[],Transactions[[#This Row],[TTR]],TT_COL_LONGORSHORT)="S" ),
      Transactions[[#This Row],[PL]],
      IF(INDEX(TransTypes[],Transactions[[#This Row],[TTR]],TT_COL_LONGORSHORT)="S",0,Transactions[[#This Row],[CalCashImpact]])
)</f>
        <v>53878.44</v>
      </c>
      <c r="N1347" s="161">
        <f>IF(VLOOKUP(Transactions[[#This Row],[Symbol]],Symbols[],COLUMN(Symbols[Currency])-COLUMN(Symbols[])+1,FALSE)=
       VLOOKUP(Transactions[[#This Row],[Account]],Accounts[],COLUMN(Accounts[Currency])-COLUMN(Accounts[])+1,FALSE),
     Transactions[[#This Row],[OrigCashImpact]],
     0
)</f>
        <v>53878.44</v>
      </c>
      <c r="O13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1916793.0099999991</v>
      </c>
      <c r="P13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3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250000</v>
      </c>
      <c r="R1347" s="41">
        <f>ROW()</f>
        <v>1347</v>
      </c>
      <c r="S13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-49205.38391176088</v>
      </c>
      <c r="T13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246026.91955880442</v>
      </c>
      <c r="U13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1347" s="166">
        <f>IF(INDEX(TransTypes[],Transactions[[#This Row],[TTR]],TT_COL_GLFlag)=1,Transactions[[#This Row],[CalCashImpact]]+Transactions[[#This Row],[CostImpact]],0)</f>
        <v>4673.0560882391219</v>
      </c>
      <c r="W1347" s="167">
        <f>Transactions[[#This Row],[Amount]]*INDEX(TransTypes[],Transactions[[#This Row],[TTR]],TT_COL_AmntSign)</f>
        <v>53878.44</v>
      </c>
      <c r="X1347" s="167">
        <f>IF(INDEX(TransTypes[],Transactions[[#This Row],[TTR]],TT_COL_LONGORSHORT)="S",
      IF( OR(INDEX(TransTypes[],Transactions[[#This Row],[TTR]],TT_COL_GLFlag)=1, INDEX(TransTypes[], Transactions[[#This Row],[TTR]], TT_COL_ShareTransferFlag)=1),
            Transactions[[#This Row],[CostImpact]]*-1,
            Transactions[[#This Row],[CalCashImpact]]
      ),
     0
)</f>
        <v>0</v>
      </c>
      <c r="Y1347" s="168" t="str">
        <f>VLOOKUP(Transactions[[#This Row],[Symbol]],Symbols[], COLUMN(Symbols[Currency])-COLUMN(Symbols[])+1,FALSE)</f>
        <v>CNY</v>
      </c>
    </row>
    <row r="1348" spans="1:25">
      <c r="A1348" s="155" t="s">
        <v>82</v>
      </c>
      <c r="B1348" s="156">
        <v>42698</v>
      </c>
      <c r="C1348" s="155" t="s">
        <v>113</v>
      </c>
      <c r="D1348" s="155"/>
      <c r="E1348" s="155" t="s">
        <v>715</v>
      </c>
      <c r="F1348" s="157">
        <v>200000</v>
      </c>
      <c r="G1348" s="158">
        <v>0.41799999999999998</v>
      </c>
      <c r="H1348" s="157">
        <v>33.4</v>
      </c>
      <c r="I1348" s="157"/>
      <c r="J1348" s="159">
        <v>83633.399999999994</v>
      </c>
      <c r="K1348" s="6" t="s">
        <v>641</v>
      </c>
      <c r="L1348" s="20">
        <f>IF(ISNA(MATCH(Transactions[[#This Row],[TransType]],TransTypes[TransType],0)),1,MATCH(Transactions[[#This Row],[TransType]],TransTypes[TransType],0))</f>
        <v>2</v>
      </c>
      <c r="M1348" s="160">
        <f>IF( AND( INDEX(TransTypes[],Transactions[[#This Row],[TTR]],TT_COL_GLFlag)=1, INDEX(TransTypes[],Transactions[[#This Row],[TTR]],TT_COL_LONGORSHORT)="S" ),
      Transactions[[#This Row],[PL]],
      IF(INDEX(TransTypes[],Transactions[[#This Row],[TTR]],TT_COL_LONGORSHORT)="S",0,Transactions[[#This Row],[CalCashImpact]])
)</f>
        <v>-83633.399999999994</v>
      </c>
      <c r="N1348" s="161">
        <f>IF(VLOOKUP(Transactions[[#This Row],[Symbol]],Symbols[],COLUMN(Symbols[Currency])-COLUMN(Symbols[])+1,FALSE)=
       VLOOKUP(Transactions[[#This Row],[Account]],Accounts[],COLUMN(Accounts[Currency])-COLUMN(Accounts[])+1,FALSE),
     Transactions[[#This Row],[OrigCashImpact]],
     0
)</f>
        <v>-83633.399999999994</v>
      </c>
      <c r="O13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1833159.6099999992</v>
      </c>
      <c r="P13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200000</v>
      </c>
      <c r="Q13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2710000</v>
      </c>
      <c r="R1348" s="41">
        <f>ROW()</f>
        <v>1348</v>
      </c>
      <c r="S13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83633.399999999994</v>
      </c>
      <c r="T13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1083161.9286838039</v>
      </c>
      <c r="U13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2710000</v>
      </c>
      <c r="V1348" s="166">
        <f>IF(INDEX(TransTypes[],Transactions[[#This Row],[TTR]],TT_COL_GLFlag)=1,Transactions[[#This Row],[CalCashImpact]]+Transactions[[#This Row],[CostImpact]],0)</f>
        <v>0</v>
      </c>
      <c r="W1348" s="167">
        <f>Transactions[[#This Row],[Amount]]*INDEX(TransTypes[],Transactions[[#This Row],[TTR]],TT_COL_AmntSign)</f>
        <v>-83633.399999999994</v>
      </c>
      <c r="X1348" s="167">
        <f>IF(INDEX(TransTypes[],Transactions[[#This Row],[TTR]],TT_COL_LONGORSHORT)="S",
      IF( OR(INDEX(TransTypes[],Transactions[[#This Row],[TTR]],TT_COL_GLFlag)=1, INDEX(TransTypes[], Transactions[[#This Row],[TTR]], TT_COL_ShareTransferFlag)=1),
            Transactions[[#This Row],[CostImpact]]*-1,
            Transactions[[#This Row],[CalCashImpact]]
      ),
     0
)</f>
        <v>0</v>
      </c>
      <c r="Y1348" s="168" t="str">
        <f>VLOOKUP(Transactions[[#This Row],[Symbol]],Symbols[], COLUMN(Symbols[Currency])-COLUMN(Symbols[])+1,FALSE)</f>
        <v>CNY</v>
      </c>
    </row>
    <row r="1349" spans="1:25">
      <c r="A1349" s="155" t="s">
        <v>82</v>
      </c>
      <c r="B1349" s="156">
        <v>42698</v>
      </c>
      <c r="C1349" s="155" t="s">
        <v>115</v>
      </c>
      <c r="D1349" s="155"/>
      <c r="E1349" s="155" t="s">
        <v>711</v>
      </c>
      <c r="F1349" s="157">
        <v>6000</v>
      </c>
      <c r="G1349" s="158">
        <v>18.382999999999999</v>
      </c>
      <c r="H1349" s="157">
        <v>154.41999999999999</v>
      </c>
      <c r="I1349" s="157"/>
      <c r="J1349" s="159">
        <v>110143.58</v>
      </c>
      <c r="K1349" s="6" t="s">
        <v>641</v>
      </c>
      <c r="L1349" s="20">
        <f>IF(ISNA(MATCH(Transactions[[#This Row],[TransType]],TransTypes[TransType],0)),1,MATCH(Transactions[[#This Row],[TransType]],TransTypes[TransType],0))</f>
        <v>3</v>
      </c>
      <c r="M1349" s="160">
        <f>IF( AND( INDEX(TransTypes[],Transactions[[#This Row],[TTR]],TT_COL_GLFlag)=1, INDEX(TransTypes[],Transactions[[#This Row],[TTR]],TT_COL_LONGORSHORT)="S" ),
      Transactions[[#This Row],[PL]],
      IF(INDEX(TransTypes[],Transactions[[#This Row],[TTR]],TT_COL_LONGORSHORT)="S",0,Transactions[[#This Row],[CalCashImpact]])
)</f>
        <v>110143.58</v>
      </c>
      <c r="N1349" s="161">
        <f>IF(VLOOKUP(Transactions[[#This Row],[Symbol]],Symbols[],COLUMN(Symbols[Currency])-COLUMN(Symbols[])+1,FALSE)=
       VLOOKUP(Transactions[[#This Row],[Account]],Accounts[],COLUMN(Accounts[Currency])-COLUMN(Accounts[])+1,FALSE),
     Transactions[[#This Row],[OrigCashImpact]],
     0
)</f>
        <v>110143.58</v>
      </c>
      <c r="O13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1943303.189999999</v>
      </c>
      <c r="P13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3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49" s="41">
        <f>ROW()</f>
        <v>1349</v>
      </c>
      <c r="S13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-109581.47999999998</v>
      </c>
      <c r="T13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349" s="166">
        <f>IF(INDEX(TransTypes[],Transactions[[#This Row],[TTR]],TT_COL_GLFlag)=1,Transactions[[#This Row],[CalCashImpact]]+Transactions[[#This Row],[CostImpact]],0)</f>
        <v>562.10000000002037</v>
      </c>
      <c r="W1349" s="167">
        <f>Transactions[[#This Row],[Amount]]*INDEX(TransTypes[],Transactions[[#This Row],[TTR]],TT_COL_AmntSign)</f>
        <v>110143.58</v>
      </c>
      <c r="X1349" s="167">
        <f>IF(INDEX(TransTypes[],Transactions[[#This Row],[TTR]],TT_COL_LONGORSHORT)="S",
      IF( OR(INDEX(TransTypes[],Transactions[[#This Row],[TTR]],TT_COL_GLFlag)=1, INDEX(TransTypes[], Transactions[[#This Row],[TTR]], TT_COL_ShareTransferFlag)=1),
            Transactions[[#This Row],[CostImpact]]*-1,
            Transactions[[#This Row],[CalCashImpact]]
      ),
     0
)</f>
        <v>0</v>
      </c>
      <c r="Y1349" s="168" t="str">
        <f>VLOOKUP(Transactions[[#This Row],[Symbol]],Symbols[], COLUMN(Symbols[Currency])-COLUMN(Symbols[])+1,FALSE)</f>
        <v>CNY</v>
      </c>
    </row>
    <row r="1350" spans="1:25">
      <c r="A1350" s="155" t="s">
        <v>82</v>
      </c>
      <c r="B1350" s="156">
        <v>42698</v>
      </c>
      <c r="C1350" s="155" t="s">
        <v>115</v>
      </c>
      <c r="D1350" s="155"/>
      <c r="E1350" s="155" t="s">
        <v>683</v>
      </c>
      <c r="F1350" s="157">
        <v>5000</v>
      </c>
      <c r="G1350" s="158">
        <v>15.86</v>
      </c>
      <c r="H1350" s="157">
        <v>111.02</v>
      </c>
      <c r="I1350" s="157"/>
      <c r="J1350" s="159">
        <v>79188.98</v>
      </c>
      <c r="K1350" s="6" t="s">
        <v>641</v>
      </c>
      <c r="L1350" s="20">
        <f>IF(ISNA(MATCH(Transactions[[#This Row],[TransType]],TransTypes[TransType],0)),1,MATCH(Transactions[[#This Row],[TransType]],TransTypes[TransType],0))</f>
        <v>3</v>
      </c>
      <c r="M1350" s="160">
        <f>IF( AND( INDEX(TransTypes[],Transactions[[#This Row],[TTR]],TT_COL_GLFlag)=1, INDEX(TransTypes[],Transactions[[#This Row],[TTR]],TT_COL_LONGORSHORT)="S" ),
      Transactions[[#This Row],[PL]],
      IF(INDEX(TransTypes[],Transactions[[#This Row],[TTR]],TT_COL_LONGORSHORT)="S",0,Transactions[[#This Row],[CalCashImpact]])
)</f>
        <v>79188.98</v>
      </c>
      <c r="N1350" s="161">
        <f>IF(VLOOKUP(Transactions[[#This Row],[Symbol]],Symbols[],COLUMN(Symbols[Currency])-COLUMN(Symbols[])+1,FALSE)=
       VLOOKUP(Transactions[[#This Row],[Account]],Accounts[],COLUMN(Accounts[Currency])-COLUMN(Accounts[])+1,FALSE),
     Transactions[[#This Row],[OrigCashImpact]],
     0
)</f>
        <v>79188.98</v>
      </c>
      <c r="O13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2022492.169999999</v>
      </c>
      <c r="P13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3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50" s="41">
        <f>ROW()</f>
        <v>1350</v>
      </c>
      <c r="S13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-79311.709999999992</v>
      </c>
      <c r="T13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350" s="166">
        <f>IF(INDEX(TransTypes[],Transactions[[#This Row],[TTR]],TT_COL_GLFlag)=1,Transactions[[#This Row],[CalCashImpact]]+Transactions[[#This Row],[CostImpact]],0)</f>
        <v>-122.72999999999593</v>
      </c>
      <c r="W1350" s="167">
        <f>Transactions[[#This Row],[Amount]]*INDEX(TransTypes[],Transactions[[#This Row],[TTR]],TT_COL_AmntSign)</f>
        <v>79188.98</v>
      </c>
      <c r="X1350" s="167">
        <f>IF(INDEX(TransTypes[],Transactions[[#This Row],[TTR]],TT_COL_LONGORSHORT)="S",
      IF( OR(INDEX(TransTypes[],Transactions[[#This Row],[TTR]],TT_COL_GLFlag)=1, INDEX(TransTypes[], Transactions[[#This Row],[TTR]], TT_COL_ShareTransferFlag)=1),
            Transactions[[#This Row],[CostImpact]]*-1,
            Transactions[[#This Row],[CalCashImpact]]
      ),
     0
)</f>
        <v>0</v>
      </c>
      <c r="Y1350" s="168" t="str">
        <f>VLOOKUP(Transactions[[#This Row],[Symbol]],Symbols[], COLUMN(Symbols[Currency])-COLUMN(Symbols[])+1,FALSE)</f>
        <v>CNY</v>
      </c>
    </row>
    <row r="1351" spans="1:25">
      <c r="A1351" s="155" t="s">
        <v>82</v>
      </c>
      <c r="B1351" s="156">
        <v>42698</v>
      </c>
      <c r="C1351" s="155" t="s">
        <v>113</v>
      </c>
      <c r="D1351" s="155"/>
      <c r="E1351" s="155" t="s">
        <v>704</v>
      </c>
      <c r="F1351" s="157">
        <v>2000</v>
      </c>
      <c r="G1351" s="158">
        <v>21.8</v>
      </c>
      <c r="H1351" s="157">
        <v>17.440000000000001</v>
      </c>
      <c r="I1351" s="157"/>
      <c r="J1351" s="159">
        <v>43617.440000000002</v>
      </c>
      <c r="K1351" s="6" t="s">
        <v>641</v>
      </c>
      <c r="L1351" s="20">
        <f>IF(ISNA(MATCH(Transactions[[#This Row],[TransType]],TransTypes[TransType],0)),1,MATCH(Transactions[[#This Row],[TransType]],TransTypes[TransType],0))</f>
        <v>2</v>
      </c>
      <c r="M1351" s="160">
        <f>IF( AND( INDEX(TransTypes[],Transactions[[#This Row],[TTR]],TT_COL_GLFlag)=1, INDEX(TransTypes[],Transactions[[#This Row],[TTR]],TT_COL_LONGORSHORT)="S" ),
      Transactions[[#This Row],[PL]],
      IF(INDEX(TransTypes[],Transactions[[#This Row],[TTR]],TT_COL_LONGORSHORT)="S",0,Transactions[[#This Row],[CalCashImpact]])
)</f>
        <v>-43617.440000000002</v>
      </c>
      <c r="N1351" s="161">
        <f>IF(VLOOKUP(Transactions[[#This Row],[Symbol]],Symbols[],COLUMN(Symbols[Currency])-COLUMN(Symbols[])+1,FALSE)=
       VLOOKUP(Transactions[[#This Row],[Account]],Accounts[],COLUMN(Accounts[Currency])-COLUMN(Accounts[])+1,FALSE),
     Transactions[[#This Row],[OrigCashImpact]],
     0
)</f>
        <v>-43617.440000000002</v>
      </c>
      <c r="O13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1978874.7299999991</v>
      </c>
      <c r="P13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351" s="41">
        <f>ROW()</f>
        <v>1351</v>
      </c>
      <c r="S13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43617.440000000002</v>
      </c>
      <c r="T13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218816.23749999999</v>
      </c>
      <c r="U13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351" s="166">
        <f>IF(INDEX(TransTypes[],Transactions[[#This Row],[TTR]],TT_COL_GLFlag)=1,Transactions[[#This Row],[CalCashImpact]]+Transactions[[#This Row],[CostImpact]],0)</f>
        <v>0</v>
      </c>
      <c r="W1351" s="167">
        <f>Transactions[[#This Row],[Amount]]*INDEX(TransTypes[],Transactions[[#This Row],[TTR]],TT_COL_AmntSign)</f>
        <v>-43617.440000000002</v>
      </c>
      <c r="X1351" s="167">
        <f>IF(INDEX(TransTypes[],Transactions[[#This Row],[TTR]],TT_COL_LONGORSHORT)="S",
      IF( OR(INDEX(TransTypes[],Transactions[[#This Row],[TTR]],TT_COL_GLFlag)=1, INDEX(TransTypes[], Transactions[[#This Row],[TTR]], TT_COL_ShareTransferFlag)=1),
            Transactions[[#This Row],[CostImpact]]*-1,
            Transactions[[#This Row],[CalCashImpact]]
      ),
     0
)</f>
        <v>0</v>
      </c>
      <c r="Y1351" s="168" t="str">
        <f>VLOOKUP(Transactions[[#This Row],[Symbol]],Symbols[], COLUMN(Symbols[Currency])-COLUMN(Symbols[])+1,FALSE)</f>
        <v>CNY</v>
      </c>
    </row>
    <row r="1352" spans="1:25">
      <c r="A1352" s="155" t="s">
        <v>82</v>
      </c>
      <c r="B1352" s="156">
        <v>42698</v>
      </c>
      <c r="C1352" s="155" t="s">
        <v>113</v>
      </c>
      <c r="D1352" s="155"/>
      <c r="E1352" s="155" t="s">
        <v>718</v>
      </c>
      <c r="F1352" s="157">
        <v>5000</v>
      </c>
      <c r="G1352" s="158">
        <v>19.2</v>
      </c>
      <c r="H1352" s="157">
        <v>40.33</v>
      </c>
      <c r="I1352" s="157"/>
      <c r="J1352" s="159">
        <v>96040.33</v>
      </c>
      <c r="K1352" s="6" t="s">
        <v>641</v>
      </c>
      <c r="L1352" s="20">
        <f>IF(ISNA(MATCH(Transactions[[#This Row],[TransType]],TransTypes[TransType],0)),1,MATCH(Transactions[[#This Row],[TransType]],TransTypes[TransType],0))</f>
        <v>2</v>
      </c>
      <c r="M1352" s="160">
        <f>IF( AND( INDEX(TransTypes[],Transactions[[#This Row],[TTR]],TT_COL_GLFlag)=1, INDEX(TransTypes[],Transactions[[#This Row],[TTR]],TT_COL_LONGORSHORT)="S" ),
      Transactions[[#This Row],[PL]],
      IF(INDEX(TransTypes[],Transactions[[#This Row],[TTR]],TT_COL_LONGORSHORT)="S",0,Transactions[[#This Row],[CalCashImpact]])
)</f>
        <v>-96040.33</v>
      </c>
      <c r="N1352" s="161">
        <f>IF(VLOOKUP(Transactions[[#This Row],[Symbol]],Symbols[],COLUMN(Symbols[Currency])-COLUMN(Symbols[])+1,FALSE)=
       VLOOKUP(Transactions[[#This Row],[Account]],Accounts[],COLUMN(Accounts[Currency])-COLUMN(Accounts[])+1,FALSE),
     Transactions[[#This Row],[OrigCashImpact]],
     0
)</f>
        <v>-96040.33</v>
      </c>
      <c r="O13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1882834.399999999</v>
      </c>
      <c r="P13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3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352" s="41">
        <f>ROW()</f>
        <v>1352</v>
      </c>
      <c r="S13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96040.33</v>
      </c>
      <c r="T13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96040.33</v>
      </c>
      <c r="U13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352" s="166">
        <f>IF(INDEX(TransTypes[],Transactions[[#This Row],[TTR]],TT_COL_GLFlag)=1,Transactions[[#This Row],[CalCashImpact]]+Transactions[[#This Row],[CostImpact]],0)</f>
        <v>0</v>
      </c>
      <c r="W1352" s="167">
        <f>Transactions[[#This Row],[Amount]]*INDEX(TransTypes[],Transactions[[#This Row],[TTR]],TT_COL_AmntSign)</f>
        <v>-96040.33</v>
      </c>
      <c r="X1352" s="167">
        <f>IF(INDEX(TransTypes[],Transactions[[#This Row],[TTR]],TT_COL_LONGORSHORT)="S",
      IF( OR(INDEX(TransTypes[],Transactions[[#This Row],[TTR]],TT_COL_GLFlag)=1, INDEX(TransTypes[], Transactions[[#This Row],[TTR]], TT_COL_ShareTransferFlag)=1),
            Transactions[[#This Row],[CostImpact]]*-1,
            Transactions[[#This Row],[CalCashImpact]]
      ),
     0
)</f>
        <v>0</v>
      </c>
      <c r="Y1352" s="168" t="str">
        <f>VLOOKUP(Transactions[[#This Row],[Symbol]],Symbols[], COLUMN(Symbols[Currency])-COLUMN(Symbols[])+1,FALSE)</f>
        <v>CNY</v>
      </c>
    </row>
    <row r="1353" spans="1:25">
      <c r="A1353" s="155" t="s">
        <v>82</v>
      </c>
      <c r="B1353" s="156">
        <v>42699</v>
      </c>
      <c r="C1353" s="155" t="s">
        <v>113</v>
      </c>
      <c r="D1353" s="155"/>
      <c r="E1353" s="155" t="s">
        <v>644</v>
      </c>
      <c r="F1353" s="157">
        <v>500</v>
      </c>
      <c r="G1353" s="158">
        <v>59.57</v>
      </c>
      <c r="H1353" s="157">
        <v>11.91</v>
      </c>
      <c r="I1353" s="157"/>
      <c r="J1353" s="159">
        <v>29796.91</v>
      </c>
      <c r="K1353" s="6" t="s">
        <v>641</v>
      </c>
      <c r="L1353" s="20">
        <f>IF(ISNA(MATCH(Transactions[[#This Row],[TransType]],TransTypes[TransType],0)),1,MATCH(Transactions[[#This Row],[TransType]],TransTypes[TransType],0))</f>
        <v>2</v>
      </c>
      <c r="M1353" s="160">
        <f>IF( AND( INDEX(TransTypes[],Transactions[[#This Row],[TTR]],TT_COL_GLFlag)=1, INDEX(TransTypes[],Transactions[[#This Row],[TTR]],TT_COL_LONGORSHORT)="S" ),
      Transactions[[#This Row],[PL]],
      IF(INDEX(TransTypes[],Transactions[[#This Row],[TTR]],TT_COL_LONGORSHORT)="S",0,Transactions[[#This Row],[CalCashImpact]])
)</f>
        <v>-29796.91</v>
      </c>
      <c r="N1353" s="161">
        <f>IF(VLOOKUP(Transactions[[#This Row],[Symbol]],Symbols[],COLUMN(Symbols[Currency])-COLUMN(Symbols[])+1,FALSE)=
       VLOOKUP(Transactions[[#This Row],[Account]],Accounts[],COLUMN(Accounts[Currency])-COLUMN(Accounts[])+1,FALSE),
     Transactions[[#This Row],[OrigCashImpact]],
     0
)</f>
        <v>-29796.91</v>
      </c>
      <c r="O13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1853037.4899999993</v>
      </c>
      <c r="P13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353" s="41">
        <f>ROW()</f>
        <v>1353</v>
      </c>
      <c r="S13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29796.91</v>
      </c>
      <c r="T13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257153.58745039682</v>
      </c>
      <c r="U13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53" s="166">
        <f>IF(INDEX(TransTypes[],Transactions[[#This Row],[TTR]],TT_COL_GLFlag)=1,Transactions[[#This Row],[CalCashImpact]]+Transactions[[#This Row],[CostImpact]],0)</f>
        <v>0</v>
      </c>
      <c r="W1353" s="167">
        <f>Transactions[[#This Row],[Amount]]*INDEX(TransTypes[],Transactions[[#This Row],[TTR]],TT_COL_AmntSign)</f>
        <v>-29796.91</v>
      </c>
      <c r="X1353" s="167">
        <f>IF(INDEX(TransTypes[],Transactions[[#This Row],[TTR]],TT_COL_LONGORSHORT)="S",
      IF( OR(INDEX(TransTypes[],Transactions[[#This Row],[TTR]],TT_COL_GLFlag)=1, INDEX(TransTypes[], Transactions[[#This Row],[TTR]], TT_COL_ShareTransferFlag)=1),
            Transactions[[#This Row],[CostImpact]]*-1,
            Transactions[[#This Row],[CalCashImpact]]
      ),
     0
)</f>
        <v>0</v>
      </c>
      <c r="Y1353" s="168" t="str">
        <f>VLOOKUP(Transactions[[#This Row],[Symbol]],Symbols[], COLUMN(Symbols[Currency])-COLUMN(Symbols[])+1,FALSE)</f>
        <v>CNY</v>
      </c>
    </row>
    <row r="1354" spans="1:25">
      <c r="A1354" s="155" t="s">
        <v>82</v>
      </c>
      <c r="B1354" s="156">
        <v>42699</v>
      </c>
      <c r="C1354" s="155" t="s">
        <v>115</v>
      </c>
      <c r="D1354" s="155"/>
      <c r="E1354" s="155" t="s">
        <v>482</v>
      </c>
      <c r="F1354" s="157">
        <v>2000</v>
      </c>
      <c r="G1354" s="158">
        <v>26.41</v>
      </c>
      <c r="H1354" s="157">
        <v>73.95</v>
      </c>
      <c r="I1354" s="157"/>
      <c r="J1354" s="159">
        <v>52746.05</v>
      </c>
      <c r="K1354" s="6" t="s">
        <v>641</v>
      </c>
      <c r="L1354" s="20">
        <f>IF(ISNA(MATCH(Transactions[[#This Row],[TransType]],TransTypes[TransType],0)),1,MATCH(Transactions[[#This Row],[TransType]],TransTypes[TransType],0))</f>
        <v>3</v>
      </c>
      <c r="M1354" s="160">
        <f>IF( AND( INDEX(TransTypes[],Transactions[[#This Row],[TTR]],TT_COL_GLFlag)=1, INDEX(TransTypes[],Transactions[[#This Row],[TTR]],TT_COL_LONGORSHORT)="S" ),
      Transactions[[#This Row],[PL]],
      IF(INDEX(TransTypes[],Transactions[[#This Row],[TTR]],TT_COL_LONGORSHORT)="S",0,Transactions[[#This Row],[CalCashImpact]])
)</f>
        <v>52746.05</v>
      </c>
      <c r="N1354" s="161">
        <f>IF(VLOOKUP(Transactions[[#This Row],[Symbol]],Symbols[],COLUMN(Symbols[Currency])-COLUMN(Symbols[])+1,FALSE)=
       VLOOKUP(Transactions[[#This Row],[Account]],Accounts[],COLUMN(Accounts[Currency])-COLUMN(Accounts[])+1,FALSE),
     Transactions[[#This Row],[OrigCashImpact]],
     0
)</f>
        <v>52746.05</v>
      </c>
      <c r="O13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1905783.5399999991</v>
      </c>
      <c r="P13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354" s="41">
        <f>ROW()</f>
        <v>1354</v>
      </c>
      <c r="S13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-42617.039999999994</v>
      </c>
      <c r="T13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85234.08</v>
      </c>
      <c r="U13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354" s="166">
        <f>IF(INDEX(TransTypes[],Transactions[[#This Row],[TTR]],TT_COL_GLFlag)=1,Transactions[[#This Row],[CalCashImpact]]+Transactions[[#This Row],[CostImpact]],0)</f>
        <v>10129.010000000009</v>
      </c>
      <c r="W1354" s="167">
        <f>Transactions[[#This Row],[Amount]]*INDEX(TransTypes[],Transactions[[#This Row],[TTR]],TT_COL_AmntSign)</f>
        <v>52746.05</v>
      </c>
      <c r="X1354" s="167">
        <f>IF(INDEX(TransTypes[],Transactions[[#This Row],[TTR]],TT_COL_LONGORSHORT)="S",
      IF( OR(INDEX(TransTypes[],Transactions[[#This Row],[TTR]],TT_COL_GLFlag)=1, INDEX(TransTypes[], Transactions[[#This Row],[TTR]], TT_COL_ShareTransferFlag)=1),
            Transactions[[#This Row],[CostImpact]]*-1,
            Transactions[[#This Row],[CalCashImpact]]
      ),
     0
)</f>
        <v>0</v>
      </c>
      <c r="Y1354" s="168" t="str">
        <f>VLOOKUP(Transactions[[#This Row],[Symbol]],Symbols[], COLUMN(Symbols[Currency])-COLUMN(Symbols[])+1,FALSE)</f>
        <v>CNY</v>
      </c>
    </row>
    <row r="1355" spans="1:25">
      <c r="A1355" s="155" t="s">
        <v>82</v>
      </c>
      <c r="B1355" s="156">
        <v>42702</v>
      </c>
      <c r="C1355" s="155" t="s">
        <v>115</v>
      </c>
      <c r="D1355" s="155"/>
      <c r="E1355" s="155" t="s">
        <v>644</v>
      </c>
      <c r="F1355" s="157">
        <v>500</v>
      </c>
      <c r="G1355" s="158">
        <v>60.06</v>
      </c>
      <c r="H1355" s="157">
        <v>42.04</v>
      </c>
      <c r="I1355" s="157"/>
      <c r="J1355" s="159">
        <v>29987.96</v>
      </c>
      <c r="K1355" s="6" t="s">
        <v>641</v>
      </c>
      <c r="L1355" s="20">
        <f>IF(ISNA(MATCH(Transactions[[#This Row],[TransType]],TransTypes[TransType],0)),1,MATCH(Transactions[[#This Row],[TransType]],TransTypes[TransType],0))</f>
        <v>3</v>
      </c>
      <c r="M1355" s="160">
        <f>IF( AND( INDEX(TransTypes[],Transactions[[#This Row],[TTR]],TT_COL_GLFlag)=1, INDEX(TransTypes[],Transactions[[#This Row],[TTR]],TT_COL_LONGORSHORT)="S" ),
      Transactions[[#This Row],[PL]],
      IF(INDEX(TransTypes[],Transactions[[#This Row],[TTR]],TT_COL_LONGORSHORT)="S",0,Transactions[[#This Row],[CalCashImpact]])
)</f>
        <v>29987.96</v>
      </c>
      <c r="N1355" s="161">
        <f>IF(VLOOKUP(Transactions[[#This Row],[Symbol]],Symbols[],COLUMN(Symbols[Currency])-COLUMN(Symbols[])+1,FALSE)=
       VLOOKUP(Transactions[[#This Row],[Account]],Accounts[],COLUMN(Accounts[Currency])-COLUMN(Accounts[])+1,FALSE),
     Transactions[[#This Row],[OrigCashImpact]],
     0
)</f>
        <v>29987.96</v>
      </c>
      <c r="O13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1935771.4999999993</v>
      </c>
      <c r="P13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v>
      </c>
      <c r="R1355" s="41">
        <f>ROW()</f>
        <v>1355</v>
      </c>
      <c r="S13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-32144.198431299599</v>
      </c>
      <c r="T13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225009.38901909723</v>
      </c>
      <c r="U13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55" s="166">
        <f>IF(INDEX(TransTypes[],Transactions[[#This Row],[TTR]],TT_COL_GLFlag)=1,Transactions[[#This Row],[CalCashImpact]]+Transactions[[#This Row],[CostImpact]],0)</f>
        <v>-2156.2384312996001</v>
      </c>
      <c r="W1355" s="167">
        <f>Transactions[[#This Row],[Amount]]*INDEX(TransTypes[],Transactions[[#This Row],[TTR]],TT_COL_AmntSign)</f>
        <v>29987.96</v>
      </c>
      <c r="X1355" s="167">
        <f>IF(INDEX(TransTypes[],Transactions[[#This Row],[TTR]],TT_COL_LONGORSHORT)="S",
      IF( OR(INDEX(TransTypes[],Transactions[[#This Row],[TTR]],TT_COL_GLFlag)=1, INDEX(TransTypes[], Transactions[[#This Row],[TTR]], TT_COL_ShareTransferFlag)=1),
            Transactions[[#This Row],[CostImpact]]*-1,
            Transactions[[#This Row],[CalCashImpact]]
      ),
     0
)</f>
        <v>0</v>
      </c>
      <c r="Y1355" s="168" t="str">
        <f>VLOOKUP(Transactions[[#This Row],[Symbol]],Symbols[], COLUMN(Symbols[Currency])-COLUMN(Symbols[])+1,FALSE)</f>
        <v>CNY</v>
      </c>
    </row>
    <row r="1356" spans="1:25">
      <c r="A1356" s="155" t="s">
        <v>82</v>
      </c>
      <c r="B1356" s="156">
        <v>42702</v>
      </c>
      <c r="C1356" s="155" t="s">
        <v>115</v>
      </c>
      <c r="D1356" s="155"/>
      <c r="E1356" s="155" t="s">
        <v>647</v>
      </c>
      <c r="F1356" s="157">
        <v>500</v>
      </c>
      <c r="G1356" s="158">
        <v>49.85</v>
      </c>
      <c r="H1356" s="157">
        <v>34.9</v>
      </c>
      <c r="I1356" s="157"/>
      <c r="J1356" s="159">
        <v>24890.1</v>
      </c>
      <c r="K1356" s="6" t="s">
        <v>641</v>
      </c>
      <c r="L1356" s="20">
        <f>IF(ISNA(MATCH(Transactions[[#This Row],[TransType]],TransTypes[TransType],0)),1,MATCH(Transactions[[#This Row],[TransType]],TransTypes[TransType],0))</f>
        <v>3</v>
      </c>
      <c r="M1356" s="160">
        <f>IF( AND( INDEX(TransTypes[],Transactions[[#This Row],[TTR]],TT_COL_GLFlag)=1, INDEX(TransTypes[],Transactions[[#This Row],[TTR]],TT_COL_LONGORSHORT)="S" ),
      Transactions[[#This Row],[PL]],
      IF(INDEX(TransTypes[],Transactions[[#This Row],[TTR]],TT_COL_LONGORSHORT)="S",0,Transactions[[#This Row],[CalCashImpact]])
)</f>
        <v>24890.1</v>
      </c>
      <c r="N1356" s="161">
        <f>IF(VLOOKUP(Transactions[[#This Row],[Symbol]],Symbols[],COLUMN(Symbols[Currency])-COLUMN(Symbols[])+1,FALSE)=
       VLOOKUP(Transactions[[#This Row],[Account]],Accounts[],COLUMN(Accounts[Currency])-COLUMN(Accounts[])+1,FALSE),
     Transactions[[#This Row],[OrigCashImpact]],
     0
)</f>
        <v>24890.1</v>
      </c>
      <c r="O13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1960661.5999999994</v>
      </c>
      <c r="P13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v>
      </c>
      <c r="R1356" s="41">
        <f>ROW()</f>
        <v>1356</v>
      </c>
      <c r="S13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-23489.392500000002</v>
      </c>
      <c r="T13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70468.177500000005</v>
      </c>
      <c r="U13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356" s="166">
        <f>IF(INDEX(TransTypes[],Transactions[[#This Row],[TTR]],TT_COL_GLFlag)=1,Transactions[[#This Row],[CalCashImpact]]+Transactions[[#This Row],[CostImpact]],0)</f>
        <v>1400.7074999999968</v>
      </c>
      <c r="W1356" s="167">
        <f>Transactions[[#This Row],[Amount]]*INDEX(TransTypes[],Transactions[[#This Row],[TTR]],TT_COL_AmntSign)</f>
        <v>24890.1</v>
      </c>
      <c r="X1356" s="167">
        <f>IF(INDEX(TransTypes[],Transactions[[#This Row],[TTR]],TT_COL_LONGORSHORT)="S",
      IF( OR(INDEX(TransTypes[],Transactions[[#This Row],[TTR]],TT_COL_GLFlag)=1, INDEX(TransTypes[], Transactions[[#This Row],[TTR]], TT_COL_ShareTransferFlag)=1),
            Transactions[[#This Row],[CostImpact]]*-1,
            Transactions[[#This Row],[CalCashImpact]]
      ),
     0
)</f>
        <v>0</v>
      </c>
      <c r="Y1356" s="168" t="str">
        <f>VLOOKUP(Transactions[[#This Row],[Symbol]],Symbols[], COLUMN(Symbols[Currency])-COLUMN(Symbols[])+1,FALSE)</f>
        <v>CNY</v>
      </c>
    </row>
    <row r="1357" spans="1:25">
      <c r="A1357" s="155" t="s">
        <v>82</v>
      </c>
      <c r="B1357" s="156">
        <v>42702</v>
      </c>
      <c r="C1357" s="155" t="s">
        <v>115</v>
      </c>
      <c r="D1357" s="155"/>
      <c r="E1357" s="155" t="s">
        <v>710</v>
      </c>
      <c r="F1357" s="157">
        <v>1000</v>
      </c>
      <c r="G1357" s="158">
        <v>22.86</v>
      </c>
      <c r="H1357" s="157">
        <v>32</v>
      </c>
      <c r="I1357" s="157"/>
      <c r="J1357" s="159">
        <v>22828</v>
      </c>
      <c r="K1357" s="6" t="s">
        <v>641</v>
      </c>
      <c r="L1357" s="20">
        <f>IF(ISNA(MATCH(Transactions[[#This Row],[TransType]],TransTypes[TransType],0)),1,MATCH(Transactions[[#This Row],[TransType]],TransTypes[TransType],0))</f>
        <v>3</v>
      </c>
      <c r="M1357" s="160">
        <f>IF( AND( INDEX(TransTypes[],Transactions[[#This Row],[TTR]],TT_COL_GLFlag)=1, INDEX(TransTypes[],Transactions[[#This Row],[TTR]],TT_COL_LONGORSHORT)="S" ),
      Transactions[[#This Row],[PL]],
      IF(INDEX(TransTypes[],Transactions[[#This Row],[TTR]],TT_COL_LONGORSHORT)="S",0,Transactions[[#This Row],[CalCashImpact]])
)</f>
        <v>22828</v>
      </c>
      <c r="N1357" s="161">
        <f>IF(VLOOKUP(Transactions[[#This Row],[Symbol]],Symbols[],COLUMN(Symbols[Currency])-COLUMN(Symbols[])+1,FALSE)=
       VLOOKUP(Transactions[[#This Row],[Account]],Accounts[],COLUMN(Accounts[Currency])-COLUMN(Accounts[])+1,FALSE),
     Transactions[[#This Row],[OrigCashImpact]],
     0
)</f>
        <v>22828</v>
      </c>
      <c r="O13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1983489.5999999994</v>
      </c>
      <c r="P13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357" s="41">
        <f>ROW()</f>
        <v>1357</v>
      </c>
      <c r="S13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-22442.4251984127</v>
      </c>
      <c r="T13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134654.5511904762</v>
      </c>
      <c r="U13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357" s="166">
        <f>IF(INDEX(TransTypes[],Transactions[[#This Row],[TTR]],TT_COL_GLFlag)=1,Transactions[[#This Row],[CalCashImpact]]+Transactions[[#This Row],[CostImpact]],0)</f>
        <v>385.57480158729959</v>
      </c>
      <c r="W1357" s="167">
        <f>Transactions[[#This Row],[Amount]]*INDEX(TransTypes[],Transactions[[#This Row],[TTR]],TT_COL_AmntSign)</f>
        <v>22828</v>
      </c>
      <c r="X1357" s="167">
        <f>IF(INDEX(TransTypes[],Transactions[[#This Row],[TTR]],TT_COL_LONGORSHORT)="S",
      IF( OR(INDEX(TransTypes[],Transactions[[#This Row],[TTR]],TT_COL_GLFlag)=1, INDEX(TransTypes[], Transactions[[#This Row],[TTR]], TT_COL_ShareTransferFlag)=1),
            Transactions[[#This Row],[CostImpact]]*-1,
            Transactions[[#This Row],[CalCashImpact]]
      ),
     0
)</f>
        <v>0</v>
      </c>
      <c r="Y1357" s="168" t="str">
        <f>VLOOKUP(Transactions[[#This Row],[Symbol]],Symbols[], COLUMN(Symbols[Currency])-COLUMN(Symbols[])+1,FALSE)</f>
        <v>CNY</v>
      </c>
    </row>
    <row r="1358" spans="1:25">
      <c r="A1358" s="155" t="s">
        <v>82</v>
      </c>
      <c r="B1358" s="156">
        <v>42702</v>
      </c>
      <c r="C1358" s="155" t="s">
        <v>115</v>
      </c>
      <c r="D1358" s="155"/>
      <c r="E1358" s="155" t="s">
        <v>712</v>
      </c>
      <c r="F1358" s="157">
        <v>10600</v>
      </c>
      <c r="G1358" s="158">
        <v>0.86399999999999999</v>
      </c>
      <c r="H1358" s="157">
        <v>5</v>
      </c>
      <c r="I1358" s="157"/>
      <c r="J1358" s="159">
        <v>9153.4</v>
      </c>
      <c r="K1358" s="6" t="s">
        <v>641</v>
      </c>
      <c r="L1358" s="20">
        <f>IF(ISNA(MATCH(Transactions[[#This Row],[TransType]],TransTypes[TransType],0)),1,MATCH(Transactions[[#This Row],[TransType]],TransTypes[TransType],0))</f>
        <v>3</v>
      </c>
      <c r="M1358" s="160">
        <f>IF( AND( INDEX(TransTypes[],Transactions[[#This Row],[TTR]],TT_COL_GLFlag)=1, INDEX(TransTypes[],Transactions[[#This Row],[TTR]],TT_COL_LONGORSHORT)="S" ),
      Transactions[[#This Row],[PL]],
      IF(INDEX(TransTypes[],Transactions[[#This Row],[TTR]],TT_COL_LONGORSHORT)="S",0,Transactions[[#This Row],[CalCashImpact]])
)</f>
        <v>9153.4</v>
      </c>
      <c r="N1358" s="161">
        <f>IF(VLOOKUP(Transactions[[#This Row],[Symbol]],Symbols[],COLUMN(Symbols[Currency])-COLUMN(Symbols[])+1,FALSE)=
       VLOOKUP(Transactions[[#This Row],[Account]],Accounts[],COLUMN(Accounts[Currency])-COLUMN(Accounts[])+1,FALSE),
     Transactions[[#This Row],[OrigCashImpact]],
     0
)</f>
        <v>9153.4</v>
      </c>
      <c r="O13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1992642.9999999993</v>
      </c>
      <c r="P13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-10600</v>
      </c>
      <c r="Q13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330000</v>
      </c>
      <c r="R1358" s="41">
        <f>ROW()</f>
        <v>1358</v>
      </c>
      <c r="S13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-8753.6563952892993</v>
      </c>
      <c r="T13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272519.4915514593</v>
      </c>
      <c r="U13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340600</v>
      </c>
      <c r="V1358" s="166">
        <f>IF(INDEX(TransTypes[],Transactions[[#This Row],[TTR]],TT_COL_GLFlag)=1,Transactions[[#This Row],[CalCashImpact]]+Transactions[[#This Row],[CostImpact]],0)</f>
        <v>399.74360471070031</v>
      </c>
      <c r="W1358" s="167">
        <f>Transactions[[#This Row],[Amount]]*INDEX(TransTypes[],Transactions[[#This Row],[TTR]],TT_COL_AmntSign)</f>
        <v>9153.4</v>
      </c>
      <c r="X1358" s="167">
        <f>IF(INDEX(TransTypes[],Transactions[[#This Row],[TTR]],TT_COL_LONGORSHORT)="S",
      IF( OR(INDEX(TransTypes[],Transactions[[#This Row],[TTR]],TT_COL_GLFlag)=1, INDEX(TransTypes[], Transactions[[#This Row],[TTR]], TT_COL_ShareTransferFlag)=1),
            Transactions[[#This Row],[CostImpact]]*-1,
            Transactions[[#This Row],[CalCashImpact]]
      ),
     0
)</f>
        <v>0</v>
      </c>
      <c r="Y1358" s="168" t="str">
        <f>VLOOKUP(Transactions[[#This Row],[Symbol]],Symbols[], COLUMN(Symbols[Currency])-COLUMN(Symbols[])+1,FALSE)</f>
        <v>CNY</v>
      </c>
    </row>
    <row r="1359" spans="1:25">
      <c r="A1359" s="155" t="s">
        <v>82</v>
      </c>
      <c r="B1359" s="156">
        <v>42702</v>
      </c>
      <c r="C1359" s="155" t="s">
        <v>115</v>
      </c>
      <c r="D1359" s="155"/>
      <c r="E1359" s="155" t="s">
        <v>488</v>
      </c>
      <c r="F1359" s="157">
        <v>1000</v>
      </c>
      <c r="G1359" s="158">
        <v>18.8</v>
      </c>
      <c r="H1359" s="157">
        <v>26.7</v>
      </c>
      <c r="I1359" s="157"/>
      <c r="J1359" s="159">
        <v>18773.3</v>
      </c>
      <c r="K1359" s="6" t="s">
        <v>641</v>
      </c>
      <c r="L1359" s="20">
        <f>IF(ISNA(MATCH(Transactions[[#This Row],[TransType]],TransTypes[TransType],0)),1,MATCH(Transactions[[#This Row],[TransType]],TransTypes[TransType],0))</f>
        <v>3</v>
      </c>
      <c r="M1359" s="160">
        <f>IF( AND( INDEX(TransTypes[],Transactions[[#This Row],[TTR]],TT_COL_GLFlag)=1, INDEX(TransTypes[],Transactions[[#This Row],[TTR]],TT_COL_LONGORSHORT)="S" ),
      Transactions[[#This Row],[PL]],
      IF(INDEX(TransTypes[],Transactions[[#This Row],[TTR]],TT_COL_LONGORSHORT)="S",0,Transactions[[#This Row],[CalCashImpact]])
)</f>
        <v>18773.3</v>
      </c>
      <c r="N1359" s="161">
        <f>IF(VLOOKUP(Transactions[[#This Row],[Symbol]],Symbols[],COLUMN(Symbols[Currency])-COLUMN(Symbols[])+1,FALSE)=
       VLOOKUP(Transactions[[#This Row],[Account]],Accounts[],COLUMN(Accounts[Currency])-COLUMN(Accounts[])+1,FALSE),
     Transactions[[#This Row],[OrigCashImpact]],
     0
)</f>
        <v>18773.3</v>
      </c>
      <c r="O13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2011416.2999999993</v>
      </c>
      <c r="P13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359" s="41">
        <f>ROW()</f>
        <v>1359</v>
      </c>
      <c r="S13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-15478.247749999999</v>
      </c>
      <c r="T13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108347.73424999999</v>
      </c>
      <c r="U13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359" s="166">
        <f>IF(INDEX(TransTypes[],Transactions[[#This Row],[TTR]],TT_COL_GLFlag)=1,Transactions[[#This Row],[CalCashImpact]]+Transactions[[#This Row],[CostImpact]],0)</f>
        <v>3295.0522500000006</v>
      </c>
      <c r="W1359" s="167">
        <f>Transactions[[#This Row],[Amount]]*INDEX(TransTypes[],Transactions[[#This Row],[TTR]],TT_COL_AmntSign)</f>
        <v>18773.3</v>
      </c>
      <c r="X1359" s="167">
        <f>IF(INDEX(TransTypes[],Transactions[[#This Row],[TTR]],TT_COL_LONGORSHORT)="S",
      IF( OR(INDEX(TransTypes[],Transactions[[#This Row],[TTR]],TT_COL_GLFlag)=1, INDEX(TransTypes[], Transactions[[#This Row],[TTR]], TT_COL_ShareTransferFlag)=1),
            Transactions[[#This Row],[CostImpact]]*-1,
            Transactions[[#This Row],[CalCashImpact]]
      ),
     0
)</f>
        <v>0</v>
      </c>
      <c r="Y1359" s="168" t="str">
        <f>VLOOKUP(Transactions[[#This Row],[Symbol]],Symbols[], COLUMN(Symbols[Currency])-COLUMN(Symbols[])+1,FALSE)</f>
        <v>CNY</v>
      </c>
    </row>
    <row r="1360" spans="1:25">
      <c r="A1360" s="155" t="s">
        <v>82</v>
      </c>
      <c r="B1360" s="156">
        <v>42703</v>
      </c>
      <c r="C1360" s="155" t="s">
        <v>115</v>
      </c>
      <c r="D1360" s="155"/>
      <c r="E1360" s="155" t="s">
        <v>647</v>
      </c>
      <c r="F1360" s="157">
        <v>1000</v>
      </c>
      <c r="G1360" s="158">
        <v>48.89</v>
      </c>
      <c r="H1360" s="157">
        <v>68.45</v>
      </c>
      <c r="I1360" s="157"/>
      <c r="J1360" s="159">
        <v>48821.55</v>
      </c>
      <c r="K1360" s="6" t="s">
        <v>641</v>
      </c>
      <c r="L1360" s="20">
        <f>IF(ISNA(MATCH(Transactions[[#This Row],[TransType]],TransTypes[TransType],0)),1,MATCH(Transactions[[#This Row],[TransType]],TransTypes[TransType],0))</f>
        <v>3</v>
      </c>
      <c r="M1360" s="160">
        <f>IF( AND( INDEX(TransTypes[],Transactions[[#This Row],[TTR]],TT_COL_GLFlag)=1, INDEX(TransTypes[],Transactions[[#This Row],[TTR]],TT_COL_LONGORSHORT)="S" ),
      Transactions[[#This Row],[PL]],
      IF(INDEX(TransTypes[],Transactions[[#This Row],[TTR]],TT_COL_LONGORSHORT)="S",0,Transactions[[#This Row],[CalCashImpact]])
)</f>
        <v>48821.55</v>
      </c>
      <c r="N1360" s="161">
        <f>IF(VLOOKUP(Transactions[[#This Row],[Symbol]],Symbols[],COLUMN(Symbols[Currency])-COLUMN(Symbols[])+1,FALSE)=
       VLOOKUP(Transactions[[#This Row],[Account]],Accounts[],COLUMN(Accounts[Currency])-COLUMN(Accounts[])+1,FALSE),
     Transactions[[#This Row],[OrigCashImpact]],
     0
)</f>
        <v>48821.55</v>
      </c>
      <c r="O13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2060237.8499999994</v>
      </c>
      <c r="P13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360" s="41">
        <f>ROW()</f>
        <v>1360</v>
      </c>
      <c r="S13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-46978.785000000003</v>
      </c>
      <c r="T13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23489.392500000002</v>
      </c>
      <c r="U13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1360" s="166">
        <f>IF(INDEX(TransTypes[],Transactions[[#This Row],[TTR]],TT_COL_GLFlag)=1,Transactions[[#This Row],[CalCashImpact]]+Transactions[[#This Row],[CostImpact]],0)</f>
        <v>1842.7649999999994</v>
      </c>
      <c r="W1360" s="167">
        <f>Transactions[[#This Row],[Amount]]*INDEX(TransTypes[],Transactions[[#This Row],[TTR]],TT_COL_AmntSign)</f>
        <v>48821.55</v>
      </c>
      <c r="X1360" s="167">
        <f>IF(INDEX(TransTypes[],Transactions[[#This Row],[TTR]],TT_COL_LONGORSHORT)="S",
      IF( OR(INDEX(TransTypes[],Transactions[[#This Row],[TTR]],TT_COL_GLFlag)=1, INDEX(TransTypes[], Transactions[[#This Row],[TTR]], TT_COL_ShareTransferFlag)=1),
            Transactions[[#This Row],[CostImpact]]*-1,
            Transactions[[#This Row],[CalCashImpact]]
      ),
     0
)</f>
        <v>0</v>
      </c>
      <c r="Y1360" s="168" t="str">
        <f>VLOOKUP(Transactions[[#This Row],[Symbol]],Symbols[], COLUMN(Symbols[Currency])-COLUMN(Symbols[])+1,FALSE)</f>
        <v>CNY</v>
      </c>
    </row>
    <row r="1361" spans="1:25">
      <c r="A1361" s="155" t="s">
        <v>82</v>
      </c>
      <c r="B1361" s="156">
        <v>42703</v>
      </c>
      <c r="C1361" s="155" t="s">
        <v>115</v>
      </c>
      <c r="D1361" s="155"/>
      <c r="E1361" s="155" t="s">
        <v>644</v>
      </c>
      <c r="F1361" s="157">
        <v>500</v>
      </c>
      <c r="G1361" s="158">
        <v>60.56</v>
      </c>
      <c r="H1361" s="157">
        <v>42.39</v>
      </c>
      <c r="I1361" s="157"/>
      <c r="J1361" s="159">
        <v>30237.61</v>
      </c>
      <c r="K1361" s="6" t="s">
        <v>641</v>
      </c>
      <c r="L1361" s="20">
        <f>IF(ISNA(MATCH(Transactions[[#This Row],[TransType]],TransTypes[TransType],0)),1,MATCH(Transactions[[#This Row],[TransType]],TransTypes[TransType],0))</f>
        <v>3</v>
      </c>
      <c r="M1361" s="160">
        <f>IF( AND( INDEX(TransTypes[],Transactions[[#This Row],[TTR]],TT_COL_GLFlag)=1, INDEX(TransTypes[],Transactions[[#This Row],[TTR]],TT_COL_LONGORSHORT)="S" ),
      Transactions[[#This Row],[PL]],
      IF(INDEX(TransTypes[],Transactions[[#This Row],[TTR]],TT_COL_LONGORSHORT)="S",0,Transactions[[#This Row],[CalCashImpact]])
)</f>
        <v>30237.61</v>
      </c>
      <c r="N1361" s="161">
        <f>IF(VLOOKUP(Transactions[[#This Row],[Symbol]],Symbols[],COLUMN(Symbols[Currency])-COLUMN(Symbols[])+1,FALSE)=
       VLOOKUP(Transactions[[#This Row],[Account]],Accounts[],COLUMN(Accounts[Currency])-COLUMN(Accounts[])+1,FALSE),
     Transactions[[#This Row],[OrigCashImpact]],
     0
)</f>
        <v>30237.61</v>
      </c>
      <c r="O13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2090475.4599999993</v>
      </c>
      <c r="P13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3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361" s="41">
        <f>ROW()</f>
        <v>1361</v>
      </c>
      <c r="S13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-32144.198431299606</v>
      </c>
      <c r="T13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192865.19058779761</v>
      </c>
      <c r="U13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v>
      </c>
      <c r="V1361" s="166">
        <f>IF(INDEX(TransTypes[],Transactions[[#This Row],[TTR]],TT_COL_GLFlag)=1,Transactions[[#This Row],[CalCashImpact]]+Transactions[[#This Row],[CostImpact]],0)</f>
        <v>-1906.5884312996059</v>
      </c>
      <c r="W1361" s="167">
        <f>Transactions[[#This Row],[Amount]]*INDEX(TransTypes[],Transactions[[#This Row],[TTR]],TT_COL_AmntSign)</f>
        <v>30237.61</v>
      </c>
      <c r="X1361" s="167">
        <f>IF(INDEX(TransTypes[],Transactions[[#This Row],[TTR]],TT_COL_LONGORSHORT)="S",
      IF( OR(INDEX(TransTypes[],Transactions[[#This Row],[TTR]],TT_COL_GLFlag)=1, INDEX(TransTypes[], Transactions[[#This Row],[TTR]], TT_COL_ShareTransferFlag)=1),
            Transactions[[#This Row],[CostImpact]]*-1,
            Transactions[[#This Row],[CalCashImpact]]
      ),
     0
)</f>
        <v>0</v>
      </c>
      <c r="Y1361" s="168" t="str">
        <f>VLOOKUP(Transactions[[#This Row],[Symbol]],Symbols[], COLUMN(Symbols[Currency])-COLUMN(Symbols[])+1,FALSE)</f>
        <v>CNY</v>
      </c>
    </row>
    <row r="1362" spans="1:25">
      <c r="A1362" s="155" t="s">
        <v>82</v>
      </c>
      <c r="B1362" s="156">
        <v>42703</v>
      </c>
      <c r="C1362" s="155" t="s">
        <v>115</v>
      </c>
      <c r="D1362" s="155"/>
      <c r="E1362" s="155" t="s">
        <v>675</v>
      </c>
      <c r="F1362" s="157">
        <v>18000</v>
      </c>
      <c r="G1362" s="158">
        <v>1.252</v>
      </c>
      <c r="H1362" s="157">
        <v>9.01</v>
      </c>
      <c r="I1362" s="157"/>
      <c r="J1362" s="159">
        <v>22526.99</v>
      </c>
      <c r="K1362" s="6" t="s">
        <v>641</v>
      </c>
      <c r="L1362" s="20">
        <f>IF(ISNA(MATCH(Transactions[[#This Row],[TransType]],TransTypes[TransType],0)),1,MATCH(Transactions[[#This Row],[TransType]],TransTypes[TransType],0))</f>
        <v>3</v>
      </c>
      <c r="M1362" s="160">
        <f>IF( AND( INDEX(TransTypes[],Transactions[[#This Row],[TTR]],TT_COL_GLFlag)=1, INDEX(TransTypes[],Transactions[[#This Row],[TTR]],TT_COL_LONGORSHORT)="S" ),
      Transactions[[#This Row],[PL]],
      IF(INDEX(TransTypes[],Transactions[[#This Row],[TTR]],TT_COL_LONGORSHORT)="S",0,Transactions[[#This Row],[CalCashImpact]])
)</f>
        <v>22526.99</v>
      </c>
      <c r="N1362" s="161">
        <f>IF(VLOOKUP(Transactions[[#This Row],[Symbol]],Symbols[],COLUMN(Symbols[Currency])-COLUMN(Symbols[])+1,FALSE)=
       VLOOKUP(Transactions[[#This Row],[Account]],Accounts[],COLUMN(Accounts[Currency])-COLUMN(Accounts[])+1,FALSE),
     Transactions[[#This Row],[OrigCashImpact]],
     0
)</f>
        <v>22526.99</v>
      </c>
      <c r="O13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2113002.4499999993</v>
      </c>
      <c r="P13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-18000</v>
      </c>
      <c r="Q13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72000</v>
      </c>
      <c r="R1362" s="41">
        <f>ROW()</f>
        <v>1362</v>
      </c>
      <c r="S13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-17621.748405405404</v>
      </c>
      <c r="T13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70486.993621621616</v>
      </c>
      <c r="U13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90000</v>
      </c>
      <c r="V1362" s="166">
        <f>IF(INDEX(TransTypes[],Transactions[[#This Row],[TTR]],TT_COL_GLFlag)=1,Transactions[[#This Row],[CalCashImpact]]+Transactions[[#This Row],[CostImpact]],0)</f>
        <v>4905.2415945945977</v>
      </c>
      <c r="W1362" s="167">
        <f>Transactions[[#This Row],[Amount]]*INDEX(TransTypes[],Transactions[[#This Row],[TTR]],TT_COL_AmntSign)</f>
        <v>22526.99</v>
      </c>
      <c r="X1362" s="167">
        <f>IF(INDEX(TransTypes[],Transactions[[#This Row],[TTR]],TT_COL_LONGORSHORT)="S",
      IF( OR(INDEX(TransTypes[],Transactions[[#This Row],[TTR]],TT_COL_GLFlag)=1, INDEX(TransTypes[], Transactions[[#This Row],[TTR]], TT_COL_ShareTransferFlag)=1),
            Transactions[[#This Row],[CostImpact]]*-1,
            Transactions[[#This Row],[CalCashImpact]]
      ),
     0
)</f>
        <v>0</v>
      </c>
      <c r="Y1362" s="168" t="str">
        <f>VLOOKUP(Transactions[[#This Row],[Symbol]],Symbols[], COLUMN(Symbols[Currency])-COLUMN(Symbols[])+1,FALSE)</f>
        <v>CNY</v>
      </c>
    </row>
    <row r="1363" spans="1:25">
      <c r="A1363" s="155" t="s">
        <v>82</v>
      </c>
      <c r="B1363" s="156">
        <v>42703</v>
      </c>
      <c r="C1363" s="155" t="s">
        <v>115</v>
      </c>
      <c r="D1363" s="155"/>
      <c r="E1363" s="155" t="s">
        <v>712</v>
      </c>
      <c r="F1363" s="157">
        <v>30000</v>
      </c>
      <c r="G1363" s="158">
        <v>0.85799999999999998</v>
      </c>
      <c r="H1363" s="157">
        <v>10.3</v>
      </c>
      <c r="I1363" s="157"/>
      <c r="J1363" s="159">
        <v>25729.7</v>
      </c>
      <c r="K1363" s="6" t="s">
        <v>641</v>
      </c>
      <c r="L1363" s="20">
        <f>IF(ISNA(MATCH(Transactions[[#This Row],[TransType]],TransTypes[TransType],0)),1,MATCH(Transactions[[#This Row],[TransType]],TransTypes[TransType],0))</f>
        <v>3</v>
      </c>
      <c r="M1363" s="160">
        <f>IF( AND( INDEX(TransTypes[],Transactions[[#This Row],[TTR]],TT_COL_GLFlag)=1, INDEX(TransTypes[],Transactions[[#This Row],[TTR]],TT_COL_LONGORSHORT)="S" ),
      Transactions[[#This Row],[PL]],
      IF(INDEX(TransTypes[],Transactions[[#This Row],[TTR]],TT_COL_LONGORSHORT)="S",0,Transactions[[#This Row],[CalCashImpact]])
)</f>
        <v>25729.7</v>
      </c>
      <c r="N1363" s="161">
        <f>IF(VLOOKUP(Transactions[[#This Row],[Symbol]],Symbols[],COLUMN(Symbols[Currency])-COLUMN(Symbols[])+1,FALSE)=
       VLOOKUP(Transactions[[#This Row],[Account]],Accounts[],COLUMN(Accounts[Currency])-COLUMN(Accounts[])+1,FALSE),
     Transactions[[#This Row],[OrigCashImpact]],
     0
)</f>
        <v>25729.7</v>
      </c>
      <c r="O13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2138732.1499999994</v>
      </c>
      <c r="P13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v>
      </c>
      <c r="Q13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300000</v>
      </c>
      <c r="R1363" s="41">
        <f>ROW()</f>
        <v>1363</v>
      </c>
      <c r="S13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-24774.499231950846</v>
      </c>
      <c r="T13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247744.99231950846</v>
      </c>
      <c r="U13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330000</v>
      </c>
      <c r="V1363" s="166">
        <f>IF(INDEX(TransTypes[],Transactions[[#This Row],[TTR]],TT_COL_GLFlag)=1,Transactions[[#This Row],[CalCashImpact]]+Transactions[[#This Row],[CostImpact]],0)</f>
        <v>955.20076804915516</v>
      </c>
      <c r="W1363" s="167">
        <f>Transactions[[#This Row],[Amount]]*INDEX(TransTypes[],Transactions[[#This Row],[TTR]],TT_COL_AmntSign)</f>
        <v>25729.7</v>
      </c>
      <c r="X1363" s="167">
        <f>IF(INDEX(TransTypes[],Transactions[[#This Row],[TTR]],TT_COL_LONGORSHORT)="S",
      IF( OR(INDEX(TransTypes[],Transactions[[#This Row],[TTR]],TT_COL_GLFlag)=1, INDEX(TransTypes[], Transactions[[#This Row],[TTR]], TT_COL_ShareTransferFlag)=1),
            Transactions[[#This Row],[CostImpact]]*-1,
            Transactions[[#This Row],[CalCashImpact]]
      ),
     0
)</f>
        <v>0</v>
      </c>
      <c r="Y1363" s="168" t="str">
        <f>VLOOKUP(Transactions[[#This Row],[Symbol]],Symbols[], COLUMN(Symbols[Currency])-COLUMN(Symbols[])+1,FALSE)</f>
        <v>CNY</v>
      </c>
    </row>
    <row r="1364" spans="1:25">
      <c r="A1364" s="155" t="s">
        <v>82</v>
      </c>
      <c r="B1364" s="156">
        <v>42703</v>
      </c>
      <c r="C1364" s="155" t="s">
        <v>115</v>
      </c>
      <c r="D1364" s="155"/>
      <c r="E1364" s="155" t="s">
        <v>704</v>
      </c>
      <c r="F1364" s="157">
        <v>2000</v>
      </c>
      <c r="G1364" s="158">
        <v>23.14</v>
      </c>
      <c r="H1364" s="157">
        <v>64.790000000000006</v>
      </c>
      <c r="I1364" s="157"/>
      <c r="J1364" s="159">
        <v>46215.21</v>
      </c>
      <c r="K1364" s="6" t="s">
        <v>641</v>
      </c>
      <c r="L1364" s="20">
        <f>IF(ISNA(MATCH(Transactions[[#This Row],[TransType]],TransTypes[TransType],0)),1,MATCH(Transactions[[#This Row],[TransType]],TransTypes[TransType],0))</f>
        <v>3</v>
      </c>
      <c r="M1364" s="160">
        <f>IF( AND( INDEX(TransTypes[],Transactions[[#This Row],[TTR]],TT_COL_GLFlag)=1, INDEX(TransTypes[],Transactions[[#This Row],[TTR]],TT_COL_LONGORSHORT)="S" ),
      Transactions[[#This Row],[PL]],
      IF(INDEX(TransTypes[],Transactions[[#This Row],[TTR]],TT_COL_LONGORSHORT)="S",0,Transactions[[#This Row],[CalCashImpact]])
)</f>
        <v>46215.21</v>
      </c>
      <c r="N1364" s="161">
        <f>IF(VLOOKUP(Transactions[[#This Row],[Symbol]],Symbols[],COLUMN(Symbols[Currency])-COLUMN(Symbols[])+1,FALSE)=
       VLOOKUP(Transactions[[#This Row],[Account]],Accounts[],COLUMN(Accounts[Currency])-COLUMN(Accounts[])+1,FALSE),
     Transactions[[#This Row],[OrigCashImpact]],
     0
)</f>
        <v>46215.21</v>
      </c>
      <c r="O13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2184947.3599999994</v>
      </c>
      <c r="P13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364" s="41">
        <f>ROW()</f>
        <v>1364</v>
      </c>
      <c r="S13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-43763.247499999998</v>
      </c>
      <c r="T13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175052.99</v>
      </c>
      <c r="U13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364" s="166">
        <f>IF(INDEX(TransTypes[],Transactions[[#This Row],[TTR]],TT_COL_GLFlag)=1,Transactions[[#This Row],[CalCashImpact]]+Transactions[[#This Row],[CostImpact]],0)</f>
        <v>2451.9625000000015</v>
      </c>
      <c r="W1364" s="167">
        <f>Transactions[[#This Row],[Amount]]*INDEX(TransTypes[],Transactions[[#This Row],[TTR]],TT_COL_AmntSign)</f>
        <v>46215.21</v>
      </c>
      <c r="X1364" s="167">
        <f>IF(INDEX(TransTypes[],Transactions[[#This Row],[TTR]],TT_COL_LONGORSHORT)="S",
      IF( OR(INDEX(TransTypes[],Transactions[[#This Row],[TTR]],TT_COL_GLFlag)=1, INDEX(TransTypes[], Transactions[[#This Row],[TTR]], TT_COL_ShareTransferFlag)=1),
            Transactions[[#This Row],[CostImpact]]*-1,
            Transactions[[#This Row],[CalCashImpact]]
      ),
     0
)</f>
        <v>0</v>
      </c>
      <c r="Y1364" s="168" t="str">
        <f>VLOOKUP(Transactions[[#This Row],[Symbol]],Symbols[], COLUMN(Symbols[Currency])-COLUMN(Symbols[])+1,FALSE)</f>
        <v>CNY</v>
      </c>
    </row>
    <row r="1365" spans="1:25">
      <c r="A1365" s="155" t="s">
        <v>82</v>
      </c>
      <c r="B1365" s="156">
        <v>42703</v>
      </c>
      <c r="C1365" s="155" t="s">
        <v>115</v>
      </c>
      <c r="D1365" s="155"/>
      <c r="E1365" s="155" t="s">
        <v>710</v>
      </c>
      <c r="F1365" s="157">
        <v>1000</v>
      </c>
      <c r="G1365" s="158">
        <v>22.9</v>
      </c>
      <c r="H1365" s="157">
        <v>32.06</v>
      </c>
      <c r="I1365" s="157"/>
      <c r="J1365" s="159">
        <v>22867.94</v>
      </c>
      <c r="K1365" s="6" t="s">
        <v>641</v>
      </c>
      <c r="L1365" s="20">
        <f>IF(ISNA(MATCH(Transactions[[#This Row],[TransType]],TransTypes[TransType],0)),1,MATCH(Transactions[[#This Row],[TransType]],TransTypes[TransType],0))</f>
        <v>3</v>
      </c>
      <c r="M1365" s="160">
        <f>IF( AND( INDEX(TransTypes[],Transactions[[#This Row],[TTR]],TT_COL_GLFlag)=1, INDEX(TransTypes[],Transactions[[#This Row],[TTR]],TT_COL_LONGORSHORT)="S" ),
      Transactions[[#This Row],[PL]],
      IF(INDEX(TransTypes[],Transactions[[#This Row],[TTR]],TT_COL_LONGORSHORT)="S",0,Transactions[[#This Row],[CalCashImpact]])
)</f>
        <v>22867.94</v>
      </c>
      <c r="N1365" s="161">
        <f>IF(VLOOKUP(Transactions[[#This Row],[Symbol]],Symbols[],COLUMN(Symbols[Currency])-COLUMN(Symbols[])+1,FALSE)=
       VLOOKUP(Transactions[[#This Row],[Account]],Accounts[],COLUMN(Accounts[Currency])-COLUMN(Accounts[])+1,FALSE),
     Transactions[[#This Row],[OrigCashImpact]],
     0
)</f>
        <v>22867.94</v>
      </c>
      <c r="O13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2207815.2999999993</v>
      </c>
      <c r="P13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365" s="41">
        <f>ROW()</f>
        <v>1365</v>
      </c>
      <c r="S13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-22442.4251984127</v>
      </c>
      <c r="T13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112212.12599206349</v>
      </c>
      <c r="U13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365" s="166">
        <f>IF(INDEX(TransTypes[],Transactions[[#This Row],[TTR]],TT_COL_GLFlag)=1,Transactions[[#This Row],[CalCashImpact]]+Transactions[[#This Row],[CostImpact]],0)</f>
        <v>425.51480158729828</v>
      </c>
      <c r="W1365" s="167">
        <f>Transactions[[#This Row],[Amount]]*INDEX(TransTypes[],Transactions[[#This Row],[TTR]],TT_COL_AmntSign)</f>
        <v>22867.94</v>
      </c>
      <c r="X1365" s="167">
        <f>IF(INDEX(TransTypes[],Transactions[[#This Row],[TTR]],TT_COL_LONGORSHORT)="S",
      IF( OR(INDEX(TransTypes[],Transactions[[#This Row],[TTR]],TT_COL_GLFlag)=1, INDEX(TransTypes[], Transactions[[#This Row],[TTR]], TT_COL_ShareTransferFlag)=1),
            Transactions[[#This Row],[CostImpact]]*-1,
            Transactions[[#This Row],[CalCashImpact]]
      ),
     0
)</f>
        <v>0</v>
      </c>
      <c r="Y1365" s="168" t="str">
        <f>VLOOKUP(Transactions[[#This Row],[Symbol]],Symbols[], COLUMN(Symbols[Currency])-COLUMN(Symbols[])+1,FALSE)</f>
        <v>CNY</v>
      </c>
    </row>
    <row r="1366" spans="1:25">
      <c r="A1366" s="155" t="s">
        <v>82</v>
      </c>
      <c r="B1366" s="156">
        <v>42703</v>
      </c>
      <c r="C1366" s="155" t="s">
        <v>115</v>
      </c>
      <c r="D1366" s="155"/>
      <c r="E1366" s="155" t="s">
        <v>715</v>
      </c>
      <c r="F1366" s="157">
        <v>500000</v>
      </c>
      <c r="G1366" s="158">
        <v>0.42099999999999999</v>
      </c>
      <c r="H1366" s="157">
        <v>84.2</v>
      </c>
      <c r="I1366" s="157"/>
      <c r="J1366" s="159">
        <v>210415.8</v>
      </c>
      <c r="K1366" s="6" t="s">
        <v>641</v>
      </c>
      <c r="L1366" s="20">
        <f>IF(ISNA(MATCH(Transactions[[#This Row],[TransType]],TransTypes[TransType],0)),1,MATCH(Transactions[[#This Row],[TransType]],TransTypes[TransType],0))</f>
        <v>3</v>
      </c>
      <c r="M1366" s="160">
        <f>IF( AND( INDEX(TransTypes[],Transactions[[#This Row],[TTR]],TT_COL_GLFlag)=1, INDEX(TransTypes[],Transactions[[#This Row],[TTR]],TT_COL_LONGORSHORT)="S" ),
      Transactions[[#This Row],[PL]],
      IF(INDEX(TransTypes[],Transactions[[#This Row],[TTR]],TT_COL_LONGORSHORT)="S",0,Transactions[[#This Row],[CalCashImpact]])
)</f>
        <v>210415.8</v>
      </c>
      <c r="N1366" s="161">
        <f>IF(VLOOKUP(Transactions[[#This Row],[Symbol]],Symbols[],COLUMN(Symbols[Currency])-COLUMN(Symbols[])+1,FALSE)=
       VLOOKUP(Transactions[[#This Row],[Account]],Accounts[],COLUMN(Accounts[Currency])-COLUMN(Accounts[])+1,FALSE),
     Transactions[[#This Row],[OrigCashImpact]],
     0
)</f>
        <v>210415.8</v>
      </c>
      <c r="O13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2418231.0999999992</v>
      </c>
      <c r="P13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-500000</v>
      </c>
      <c r="Q13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2210000</v>
      </c>
      <c r="R1366" s="41">
        <f>ROW()</f>
        <v>1366</v>
      </c>
      <c r="S13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-199845.37429590477</v>
      </c>
      <c r="T13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883316.55438789912</v>
      </c>
      <c r="U13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2710000</v>
      </c>
      <c r="V1366" s="166">
        <f>IF(INDEX(TransTypes[],Transactions[[#This Row],[TTR]],TT_COL_GLFlag)=1,Transactions[[#This Row],[CalCashImpact]]+Transactions[[#This Row],[CostImpact]],0)</f>
        <v>10570.425704095222</v>
      </c>
      <c r="W1366" s="167">
        <f>Transactions[[#This Row],[Amount]]*INDEX(TransTypes[],Transactions[[#This Row],[TTR]],TT_COL_AmntSign)</f>
        <v>210415.8</v>
      </c>
      <c r="X1366" s="167">
        <f>IF(INDEX(TransTypes[],Transactions[[#This Row],[TTR]],TT_COL_LONGORSHORT)="S",
      IF( OR(INDEX(TransTypes[],Transactions[[#This Row],[TTR]],TT_COL_GLFlag)=1, INDEX(TransTypes[], Transactions[[#This Row],[TTR]], TT_COL_ShareTransferFlag)=1),
            Transactions[[#This Row],[CostImpact]]*-1,
            Transactions[[#This Row],[CalCashImpact]]
      ),
     0
)</f>
        <v>0</v>
      </c>
      <c r="Y1366" s="168" t="str">
        <f>VLOOKUP(Transactions[[#This Row],[Symbol]],Symbols[], COLUMN(Symbols[Currency])-COLUMN(Symbols[])+1,FALSE)</f>
        <v>CNY</v>
      </c>
    </row>
    <row r="1367" spans="1:25">
      <c r="A1367" s="155" t="s">
        <v>82</v>
      </c>
      <c r="B1367" s="156">
        <v>42703</v>
      </c>
      <c r="C1367" s="155" t="s">
        <v>115</v>
      </c>
      <c r="D1367" s="155"/>
      <c r="E1367" s="155" t="s">
        <v>705</v>
      </c>
      <c r="F1367" s="157">
        <v>2000</v>
      </c>
      <c r="G1367" s="158">
        <v>22.11</v>
      </c>
      <c r="H1367" s="157">
        <v>62.79</v>
      </c>
      <c r="I1367" s="157"/>
      <c r="J1367" s="159">
        <v>44157.21</v>
      </c>
      <c r="K1367" s="6" t="s">
        <v>641</v>
      </c>
      <c r="L1367" s="20">
        <f>IF(ISNA(MATCH(Transactions[[#This Row],[TransType]],TransTypes[TransType],0)),1,MATCH(Transactions[[#This Row],[TransType]],TransTypes[TransType],0))</f>
        <v>3</v>
      </c>
      <c r="M1367" s="160">
        <f>IF( AND( INDEX(TransTypes[],Transactions[[#This Row],[TTR]],TT_COL_GLFlag)=1, INDEX(TransTypes[],Transactions[[#This Row],[TTR]],TT_COL_LONGORSHORT)="S" ),
      Transactions[[#This Row],[PL]],
      IF(INDEX(TransTypes[],Transactions[[#This Row],[TTR]],TT_COL_LONGORSHORT)="S",0,Transactions[[#This Row],[CalCashImpact]])
)</f>
        <v>44157.21</v>
      </c>
      <c r="N1367" s="161">
        <f>IF(VLOOKUP(Transactions[[#This Row],[Symbol]],Symbols[],COLUMN(Symbols[Currency])-COLUMN(Symbols[])+1,FALSE)=
       VLOOKUP(Transactions[[#This Row],[Account]],Accounts[],COLUMN(Accounts[Currency])-COLUMN(Accounts[])+1,FALSE),
     Transactions[[#This Row],[OrigCashImpact]],
     0
)</f>
        <v>44157.21</v>
      </c>
      <c r="O13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2462388.3099999996</v>
      </c>
      <c r="P13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367" s="41">
        <f>ROW()</f>
        <v>1367</v>
      </c>
      <c r="S13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-41927.383214285714</v>
      </c>
      <c r="T13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125782.14964285714</v>
      </c>
      <c r="U13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367" s="166">
        <f>IF(INDEX(TransTypes[],Transactions[[#This Row],[TTR]],TT_COL_GLFlag)=1,Transactions[[#This Row],[CalCashImpact]]+Transactions[[#This Row],[CostImpact]],0)</f>
        <v>2229.8267857142855</v>
      </c>
      <c r="W1367" s="167">
        <f>Transactions[[#This Row],[Amount]]*INDEX(TransTypes[],Transactions[[#This Row],[TTR]],TT_COL_AmntSign)</f>
        <v>44157.21</v>
      </c>
      <c r="X1367" s="167">
        <f>IF(INDEX(TransTypes[],Transactions[[#This Row],[TTR]],TT_COL_LONGORSHORT)="S",
      IF( OR(INDEX(TransTypes[],Transactions[[#This Row],[TTR]],TT_COL_GLFlag)=1, INDEX(TransTypes[], Transactions[[#This Row],[TTR]], TT_COL_ShareTransferFlag)=1),
            Transactions[[#This Row],[CostImpact]]*-1,
            Transactions[[#This Row],[CalCashImpact]]
      ),
     0
)</f>
        <v>0</v>
      </c>
      <c r="Y1367" s="168" t="str">
        <f>VLOOKUP(Transactions[[#This Row],[Symbol]],Symbols[], COLUMN(Symbols[Currency])-COLUMN(Symbols[])+1,FALSE)</f>
        <v>CNY</v>
      </c>
    </row>
    <row r="1368" spans="1:25">
      <c r="A1368" s="155" t="s">
        <v>82</v>
      </c>
      <c r="B1368" s="156">
        <v>42703</v>
      </c>
      <c r="C1368" s="155" t="s">
        <v>115</v>
      </c>
      <c r="D1368" s="155"/>
      <c r="E1368" s="155" t="s">
        <v>468</v>
      </c>
      <c r="F1368" s="157">
        <v>3000</v>
      </c>
      <c r="G1368" s="158">
        <v>36.979999999999997</v>
      </c>
      <c r="H1368" s="157">
        <v>157.54</v>
      </c>
      <c r="I1368" s="157"/>
      <c r="J1368" s="159">
        <v>110782.46</v>
      </c>
      <c r="K1368" s="6" t="s">
        <v>641</v>
      </c>
      <c r="L1368" s="20">
        <f>IF(ISNA(MATCH(Transactions[[#This Row],[TransType]],TransTypes[TransType],0)),1,MATCH(Transactions[[#This Row],[TransType]],TransTypes[TransType],0))</f>
        <v>3</v>
      </c>
      <c r="M1368" s="160">
        <f>IF( AND( INDEX(TransTypes[],Transactions[[#This Row],[TTR]],TT_COL_GLFlag)=1, INDEX(TransTypes[],Transactions[[#This Row],[TTR]],TT_COL_LONGORSHORT)="S" ),
      Transactions[[#This Row],[PL]],
      IF(INDEX(TransTypes[],Transactions[[#This Row],[TTR]],TT_COL_LONGORSHORT)="S",0,Transactions[[#This Row],[CalCashImpact]])
)</f>
        <v>110782.46</v>
      </c>
      <c r="N1368" s="161">
        <f>IF(VLOOKUP(Transactions[[#This Row],[Symbol]],Symbols[],COLUMN(Symbols[Currency])-COLUMN(Symbols[])+1,FALSE)=
       VLOOKUP(Transactions[[#This Row],[Account]],Accounts[],COLUMN(Accounts[Currency])-COLUMN(Accounts[])+1,FALSE),
     Transactions[[#This Row],[OrigCashImpact]],
     0
)</f>
        <v>110782.46</v>
      </c>
      <c r="O13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2573170.7699999996</v>
      </c>
      <c r="P13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3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68" s="41">
        <f>ROW()</f>
        <v>1368</v>
      </c>
      <c r="S13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-107835.28</v>
      </c>
      <c r="T13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368" s="166">
        <f>IF(INDEX(TransTypes[],Transactions[[#This Row],[TTR]],TT_COL_GLFlag)=1,Transactions[[#This Row],[CalCashImpact]]+Transactions[[#This Row],[CostImpact]],0)</f>
        <v>2947.1800000000076</v>
      </c>
      <c r="W1368" s="167">
        <f>Transactions[[#This Row],[Amount]]*INDEX(TransTypes[],Transactions[[#This Row],[TTR]],TT_COL_AmntSign)</f>
        <v>110782.46</v>
      </c>
      <c r="X1368" s="167">
        <f>IF(INDEX(TransTypes[],Transactions[[#This Row],[TTR]],TT_COL_LONGORSHORT)="S",
      IF( OR(INDEX(TransTypes[],Transactions[[#This Row],[TTR]],TT_COL_GLFlag)=1, INDEX(TransTypes[], Transactions[[#This Row],[TTR]], TT_COL_ShareTransferFlag)=1),
            Transactions[[#This Row],[CostImpact]]*-1,
            Transactions[[#This Row],[CalCashImpact]]
      ),
     0
)</f>
        <v>0</v>
      </c>
      <c r="Y1368" s="168" t="str">
        <f>VLOOKUP(Transactions[[#This Row],[Symbol]],Symbols[], COLUMN(Symbols[Currency])-COLUMN(Symbols[])+1,FALSE)</f>
        <v>CNY</v>
      </c>
    </row>
    <row r="1369" spans="1:25">
      <c r="A1369" s="155" t="s">
        <v>82</v>
      </c>
      <c r="B1369" s="156">
        <v>42703</v>
      </c>
      <c r="C1369" s="155" t="s">
        <v>115</v>
      </c>
      <c r="D1369" s="155"/>
      <c r="E1369" s="155" t="s">
        <v>718</v>
      </c>
      <c r="F1369" s="157">
        <v>5000</v>
      </c>
      <c r="G1369" s="158">
        <v>19.329999999999998</v>
      </c>
      <c r="H1369" s="157">
        <v>137.26</v>
      </c>
      <c r="I1369" s="157"/>
      <c r="J1369" s="159">
        <v>96512.74</v>
      </c>
      <c r="K1369" s="6" t="s">
        <v>641</v>
      </c>
      <c r="L1369" s="20">
        <f>IF(ISNA(MATCH(Transactions[[#This Row],[TransType]],TransTypes[TransType],0)),1,MATCH(Transactions[[#This Row],[TransType]],TransTypes[TransType],0))</f>
        <v>3</v>
      </c>
      <c r="M1369" s="160">
        <f>IF( AND( INDEX(TransTypes[],Transactions[[#This Row],[TTR]],TT_COL_GLFlag)=1, INDEX(TransTypes[],Transactions[[#This Row],[TTR]],TT_COL_LONGORSHORT)="S" ),
      Transactions[[#This Row],[PL]],
      IF(INDEX(TransTypes[],Transactions[[#This Row],[TTR]],TT_COL_LONGORSHORT)="S",0,Transactions[[#This Row],[CalCashImpact]])
)</f>
        <v>96512.74</v>
      </c>
      <c r="N1369" s="161">
        <f>IF(VLOOKUP(Transactions[[#This Row],[Symbol]],Symbols[],COLUMN(Symbols[Currency])-COLUMN(Symbols[])+1,FALSE)=
       VLOOKUP(Transactions[[#This Row],[Account]],Accounts[],COLUMN(Accounts[Currency])-COLUMN(Accounts[])+1,FALSE),
     Transactions[[#This Row],[OrigCashImpact]],
     0
)</f>
        <v>96512.74</v>
      </c>
      <c r="O13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2669683.5099999993</v>
      </c>
      <c r="P13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3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69" s="41">
        <f>ROW()</f>
        <v>1369</v>
      </c>
      <c r="S13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-96040.329999999987</v>
      </c>
      <c r="T13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369" s="166">
        <f>IF(INDEX(TransTypes[],Transactions[[#This Row],[TTR]],TT_COL_GLFlag)=1,Transactions[[#This Row],[CalCashImpact]]+Transactions[[#This Row],[CostImpact]],0)</f>
        <v>472.41000000001804</v>
      </c>
      <c r="W1369" s="167">
        <f>Transactions[[#This Row],[Amount]]*INDEX(TransTypes[],Transactions[[#This Row],[TTR]],TT_COL_AmntSign)</f>
        <v>96512.74</v>
      </c>
      <c r="X1369" s="167">
        <f>IF(INDEX(TransTypes[],Transactions[[#This Row],[TTR]],TT_COL_LONGORSHORT)="S",
      IF( OR(INDEX(TransTypes[],Transactions[[#This Row],[TTR]],TT_COL_GLFlag)=1, INDEX(TransTypes[], Transactions[[#This Row],[TTR]], TT_COL_ShareTransferFlag)=1),
            Transactions[[#This Row],[CostImpact]]*-1,
            Transactions[[#This Row],[CalCashImpact]]
      ),
     0
)</f>
        <v>0</v>
      </c>
      <c r="Y1369" s="168" t="str">
        <f>VLOOKUP(Transactions[[#This Row],[Symbol]],Symbols[], COLUMN(Symbols[Currency])-COLUMN(Symbols[])+1,FALSE)</f>
        <v>CNY</v>
      </c>
    </row>
    <row r="1370" spans="1:25">
      <c r="A1370" s="155" t="s">
        <v>82</v>
      </c>
      <c r="B1370" s="156">
        <v>42703</v>
      </c>
      <c r="C1370" s="155" t="s">
        <v>115</v>
      </c>
      <c r="D1370" s="155"/>
      <c r="E1370" s="155" t="s">
        <v>677</v>
      </c>
      <c r="F1370" s="157">
        <v>2000</v>
      </c>
      <c r="G1370" s="158">
        <v>9.2420000000000009</v>
      </c>
      <c r="H1370" s="157">
        <v>26.25</v>
      </c>
      <c r="I1370" s="157"/>
      <c r="J1370" s="159">
        <v>18457.75</v>
      </c>
      <c r="K1370" s="6" t="s">
        <v>641</v>
      </c>
      <c r="L1370" s="20">
        <f>IF(ISNA(MATCH(Transactions[[#This Row],[TransType]],TransTypes[TransType],0)),1,MATCH(Transactions[[#This Row],[TransType]],TransTypes[TransType],0))</f>
        <v>3</v>
      </c>
      <c r="M1370" s="160">
        <f>IF( AND( INDEX(TransTypes[],Transactions[[#This Row],[TTR]],TT_COL_GLFlag)=1, INDEX(TransTypes[],Transactions[[#This Row],[TTR]],TT_COL_LONGORSHORT)="S" ),
      Transactions[[#This Row],[PL]],
      IF(INDEX(TransTypes[],Transactions[[#This Row],[TTR]],TT_COL_LONGORSHORT)="S",0,Transactions[[#This Row],[CalCashImpact]])
)</f>
        <v>18457.75</v>
      </c>
      <c r="N1370" s="161">
        <f>IF(VLOOKUP(Transactions[[#This Row],[Symbol]],Symbols[],COLUMN(Symbols[Currency])-COLUMN(Symbols[])+1,FALSE)=
       VLOOKUP(Transactions[[#This Row],[Account]],Accounts[],COLUMN(Accounts[Currency])-COLUMN(Accounts[])+1,FALSE),
     Transactions[[#This Row],[OrigCashImpact]],
     0
)</f>
        <v>18457.75</v>
      </c>
      <c r="O13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2688141.2599999993</v>
      </c>
      <c r="P13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370" s="41">
        <f>ROW()</f>
        <v>1370</v>
      </c>
      <c r="S13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-17087.173999999999</v>
      </c>
      <c r="T13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68348.695999999996</v>
      </c>
      <c r="U13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370" s="166">
        <f>IF(INDEX(TransTypes[],Transactions[[#This Row],[TTR]],TT_COL_GLFlag)=1,Transactions[[#This Row],[CalCashImpact]]+Transactions[[#This Row],[CostImpact]],0)</f>
        <v>1370.5760000000009</v>
      </c>
      <c r="W1370" s="167">
        <f>Transactions[[#This Row],[Amount]]*INDEX(TransTypes[],Transactions[[#This Row],[TTR]],TT_COL_AmntSign)</f>
        <v>18457.75</v>
      </c>
      <c r="X1370" s="167">
        <f>IF(INDEX(TransTypes[],Transactions[[#This Row],[TTR]],TT_COL_LONGORSHORT)="S",
      IF( OR(INDEX(TransTypes[],Transactions[[#This Row],[TTR]],TT_COL_GLFlag)=1, INDEX(TransTypes[], Transactions[[#This Row],[TTR]], TT_COL_ShareTransferFlag)=1),
            Transactions[[#This Row],[CostImpact]]*-1,
            Transactions[[#This Row],[CalCashImpact]]
      ),
     0
)</f>
        <v>0</v>
      </c>
      <c r="Y1370" s="168" t="str">
        <f>VLOOKUP(Transactions[[#This Row],[Symbol]],Symbols[], COLUMN(Symbols[Currency])-COLUMN(Symbols[])+1,FALSE)</f>
        <v>CNY</v>
      </c>
    </row>
    <row r="1371" spans="1:25">
      <c r="A1371" s="155" t="s">
        <v>82</v>
      </c>
      <c r="B1371" s="156">
        <v>42703</v>
      </c>
      <c r="C1371" s="155" t="s">
        <v>115</v>
      </c>
      <c r="D1371" s="155"/>
      <c r="E1371" s="155" t="s">
        <v>464</v>
      </c>
      <c r="F1371" s="157">
        <v>200</v>
      </c>
      <c r="G1371" s="158">
        <v>325.87</v>
      </c>
      <c r="H1371" s="157">
        <v>92.55</v>
      </c>
      <c r="I1371" s="157"/>
      <c r="J1371" s="159">
        <v>65081.45</v>
      </c>
      <c r="K1371" s="6" t="s">
        <v>641</v>
      </c>
      <c r="L1371" s="20">
        <f>IF(ISNA(MATCH(Transactions[[#This Row],[TransType]],TransTypes[TransType],0)),1,MATCH(Transactions[[#This Row],[TransType]],TransTypes[TransType],0))</f>
        <v>3</v>
      </c>
      <c r="M1371" s="160">
        <f>IF( AND( INDEX(TransTypes[],Transactions[[#This Row],[TTR]],TT_COL_GLFlag)=1, INDEX(TransTypes[],Transactions[[#This Row],[TTR]],TT_COL_LONGORSHORT)="S" ),
      Transactions[[#This Row],[PL]],
      IF(INDEX(TransTypes[],Transactions[[#This Row],[TTR]],TT_COL_LONGORSHORT)="S",0,Transactions[[#This Row],[CalCashImpact]])
)</f>
        <v>65081.45</v>
      </c>
      <c r="N1371" s="161">
        <f>IF(VLOOKUP(Transactions[[#This Row],[Symbol]],Symbols[],COLUMN(Symbols[Currency])-COLUMN(Symbols[])+1,FALSE)=
       VLOOKUP(Transactions[[#This Row],[Account]],Accounts[],COLUMN(Accounts[Currency])-COLUMN(Accounts[])+1,FALSE),
     Transactions[[#This Row],[OrigCashImpact]],
     0
)</f>
        <v>65081.45</v>
      </c>
      <c r="O13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2753222.709999999</v>
      </c>
      <c r="P13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3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1371" s="41">
        <f>ROW()</f>
        <v>1371</v>
      </c>
      <c r="S13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-57977.874208000001</v>
      </c>
      <c r="T13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86966.811312000005</v>
      </c>
      <c r="U13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371" s="166">
        <f>IF(INDEX(TransTypes[],Transactions[[#This Row],[TTR]],TT_COL_GLFlag)=1,Transactions[[#This Row],[CalCashImpact]]+Transactions[[#This Row],[CostImpact]],0)</f>
        <v>7103.575791999996</v>
      </c>
      <c r="W1371" s="167">
        <f>Transactions[[#This Row],[Amount]]*INDEX(TransTypes[],Transactions[[#This Row],[TTR]],TT_COL_AmntSign)</f>
        <v>65081.45</v>
      </c>
      <c r="X1371" s="167">
        <f>IF(INDEX(TransTypes[],Transactions[[#This Row],[TTR]],TT_COL_LONGORSHORT)="S",
      IF( OR(INDEX(TransTypes[],Transactions[[#This Row],[TTR]],TT_COL_GLFlag)=1, INDEX(TransTypes[], Transactions[[#This Row],[TTR]], TT_COL_ShareTransferFlag)=1),
            Transactions[[#This Row],[CostImpact]]*-1,
            Transactions[[#This Row],[CalCashImpact]]
      ),
     0
)</f>
        <v>0</v>
      </c>
      <c r="Y1371" s="168" t="str">
        <f>VLOOKUP(Transactions[[#This Row],[Symbol]],Symbols[], COLUMN(Symbols[Currency])-COLUMN(Symbols[])+1,FALSE)</f>
        <v>CNY</v>
      </c>
    </row>
    <row r="1372" spans="1:25">
      <c r="A1372" s="155" t="s">
        <v>82</v>
      </c>
      <c r="B1372" s="156">
        <v>42703</v>
      </c>
      <c r="C1372" s="155" t="s">
        <v>115</v>
      </c>
      <c r="D1372" s="155"/>
      <c r="E1372" s="155" t="s">
        <v>488</v>
      </c>
      <c r="F1372" s="157">
        <v>2000</v>
      </c>
      <c r="G1372" s="158">
        <v>19.649999999999999</v>
      </c>
      <c r="H1372" s="157">
        <v>55.81</v>
      </c>
      <c r="I1372" s="157"/>
      <c r="J1372" s="159">
        <v>39244.19</v>
      </c>
      <c r="K1372" s="6" t="s">
        <v>641</v>
      </c>
      <c r="L1372" s="20">
        <f>IF(ISNA(MATCH(Transactions[[#This Row],[TransType]],TransTypes[TransType],0)),1,MATCH(Transactions[[#This Row],[TransType]],TransTypes[TransType],0))</f>
        <v>3</v>
      </c>
      <c r="M1372" s="160">
        <f>IF( AND( INDEX(TransTypes[],Transactions[[#This Row],[TTR]],TT_COL_GLFlag)=1, INDEX(TransTypes[],Transactions[[#This Row],[TTR]],TT_COL_LONGORSHORT)="S" ),
      Transactions[[#This Row],[PL]],
      IF(INDEX(TransTypes[],Transactions[[#This Row],[TTR]],TT_COL_LONGORSHORT)="S",0,Transactions[[#This Row],[CalCashImpact]])
)</f>
        <v>39244.19</v>
      </c>
      <c r="N1372" s="161">
        <f>IF(VLOOKUP(Transactions[[#This Row],[Symbol]],Symbols[],COLUMN(Symbols[Currency])-COLUMN(Symbols[])+1,FALSE)=
       VLOOKUP(Transactions[[#This Row],[Account]],Accounts[],COLUMN(Accounts[Currency])-COLUMN(Accounts[])+1,FALSE),
     Transactions[[#This Row],[OrigCashImpact]],
     0
)</f>
        <v>39244.19</v>
      </c>
      <c r="O13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2792466.8999999994</v>
      </c>
      <c r="P13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372" s="41">
        <f>ROW()</f>
        <v>1372</v>
      </c>
      <c r="S13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-30956.495499999997</v>
      </c>
      <c r="T13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77391.23874999999</v>
      </c>
      <c r="U13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372" s="166">
        <f>IF(INDEX(TransTypes[],Transactions[[#This Row],[TTR]],TT_COL_GLFlag)=1,Transactions[[#This Row],[CalCashImpact]]+Transactions[[#This Row],[CostImpact]],0)</f>
        <v>8287.6945000000051</v>
      </c>
      <c r="W1372" s="167">
        <f>Transactions[[#This Row],[Amount]]*INDEX(TransTypes[],Transactions[[#This Row],[TTR]],TT_COL_AmntSign)</f>
        <v>39244.19</v>
      </c>
      <c r="X1372" s="167">
        <f>IF(INDEX(TransTypes[],Transactions[[#This Row],[TTR]],TT_COL_LONGORSHORT)="S",
      IF( OR(INDEX(TransTypes[],Transactions[[#This Row],[TTR]],TT_COL_GLFlag)=1, INDEX(TransTypes[], Transactions[[#This Row],[TTR]], TT_COL_ShareTransferFlag)=1),
            Transactions[[#This Row],[CostImpact]]*-1,
            Transactions[[#This Row],[CalCashImpact]]
      ),
     0
)</f>
        <v>0</v>
      </c>
      <c r="Y1372" s="168" t="str">
        <f>VLOOKUP(Transactions[[#This Row],[Symbol]],Symbols[], COLUMN(Symbols[Currency])-COLUMN(Symbols[])+1,FALSE)</f>
        <v>CNY</v>
      </c>
    </row>
    <row r="1373" spans="1:25">
      <c r="A1373" s="155" t="s">
        <v>82</v>
      </c>
      <c r="B1373" s="156">
        <v>42703</v>
      </c>
      <c r="C1373" s="155" t="s">
        <v>115</v>
      </c>
      <c r="D1373" s="155"/>
      <c r="E1373" s="155" t="s">
        <v>684</v>
      </c>
      <c r="F1373" s="157">
        <v>2000</v>
      </c>
      <c r="G1373" s="158">
        <v>25.66</v>
      </c>
      <c r="H1373" s="157">
        <v>72.88</v>
      </c>
      <c r="I1373" s="157"/>
      <c r="J1373" s="159">
        <v>51247.12</v>
      </c>
      <c r="K1373" s="6" t="s">
        <v>641</v>
      </c>
      <c r="L1373" s="20">
        <f>IF(ISNA(MATCH(Transactions[[#This Row],[TransType]],TransTypes[TransType],0)),1,MATCH(Transactions[[#This Row],[TransType]],TransTypes[TransType],0))</f>
        <v>3</v>
      </c>
      <c r="M1373" s="160">
        <f>IF( AND( INDEX(TransTypes[],Transactions[[#This Row],[TTR]],TT_COL_GLFlag)=1, INDEX(TransTypes[],Transactions[[#This Row],[TTR]],TT_COL_LONGORSHORT)="S" ),
      Transactions[[#This Row],[PL]],
      IF(INDEX(TransTypes[],Transactions[[#This Row],[TTR]],TT_COL_LONGORSHORT)="S",0,Transactions[[#This Row],[CalCashImpact]])
)</f>
        <v>51247.12</v>
      </c>
      <c r="N1373" s="161">
        <f>IF(VLOOKUP(Transactions[[#This Row],[Symbol]],Symbols[],COLUMN(Symbols[Currency])-COLUMN(Symbols[])+1,FALSE)=
       VLOOKUP(Transactions[[#This Row],[Account]],Accounts[],COLUMN(Accounts[Currency])-COLUMN(Accounts[])+1,FALSE),
     Transactions[[#This Row],[OrigCashImpact]],
     0
)</f>
        <v>51247.12</v>
      </c>
      <c r="O13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2843714.0199999991</v>
      </c>
      <c r="P13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373" s="41">
        <f>ROW()</f>
        <v>1373</v>
      </c>
      <c r="S13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-40579.4352</v>
      </c>
      <c r="T13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20289.717600000004</v>
      </c>
      <c r="U13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373" s="166">
        <f>IF(INDEX(TransTypes[],Transactions[[#This Row],[TTR]],TT_COL_GLFlag)=1,Transactions[[#This Row],[CalCashImpact]]+Transactions[[#This Row],[CostImpact]],0)</f>
        <v>10667.684800000003</v>
      </c>
      <c r="W1373" s="167">
        <f>Transactions[[#This Row],[Amount]]*INDEX(TransTypes[],Transactions[[#This Row],[TTR]],TT_COL_AmntSign)</f>
        <v>51247.12</v>
      </c>
      <c r="X1373" s="167">
        <f>IF(INDEX(TransTypes[],Transactions[[#This Row],[TTR]],TT_COL_LONGORSHORT)="S",
      IF( OR(INDEX(TransTypes[],Transactions[[#This Row],[TTR]],TT_COL_GLFlag)=1, INDEX(TransTypes[], Transactions[[#This Row],[TTR]], TT_COL_ShareTransferFlag)=1),
            Transactions[[#This Row],[CostImpact]]*-1,
            Transactions[[#This Row],[CalCashImpact]]
      ),
     0
)</f>
        <v>0</v>
      </c>
      <c r="Y1373" s="168" t="str">
        <f>VLOOKUP(Transactions[[#This Row],[Symbol]],Symbols[], COLUMN(Symbols[Currency])-COLUMN(Symbols[])+1,FALSE)</f>
        <v>CNY</v>
      </c>
    </row>
    <row r="1374" spans="1:25">
      <c r="A1374" s="155" t="s">
        <v>82</v>
      </c>
      <c r="B1374" s="156">
        <v>42703</v>
      </c>
      <c r="C1374" s="155" t="s">
        <v>113</v>
      </c>
      <c r="D1374" s="155"/>
      <c r="E1374" s="155" t="s">
        <v>718</v>
      </c>
      <c r="F1374" s="157">
        <v>4000</v>
      </c>
      <c r="G1374" s="158">
        <v>19.11</v>
      </c>
      <c r="H1374" s="157">
        <v>32.11</v>
      </c>
      <c r="I1374" s="157"/>
      <c r="J1374" s="159">
        <v>76472.11</v>
      </c>
      <c r="K1374" s="6" t="s">
        <v>641</v>
      </c>
      <c r="L1374" s="20">
        <f>IF(ISNA(MATCH(Transactions[[#This Row],[TransType]],TransTypes[TransType],0)),1,MATCH(Transactions[[#This Row],[TransType]],TransTypes[TransType],0))</f>
        <v>2</v>
      </c>
      <c r="M1374" s="160">
        <f>IF( AND( INDEX(TransTypes[],Transactions[[#This Row],[TTR]],TT_COL_GLFlag)=1, INDEX(TransTypes[],Transactions[[#This Row],[TTR]],TT_COL_LONGORSHORT)="S" ),
      Transactions[[#This Row],[PL]],
      IF(INDEX(TransTypes[],Transactions[[#This Row],[TTR]],TT_COL_LONGORSHORT)="S",0,Transactions[[#This Row],[CalCashImpact]])
)</f>
        <v>-76472.11</v>
      </c>
      <c r="N1374" s="161">
        <f>IF(VLOOKUP(Transactions[[#This Row],[Symbol]],Symbols[],COLUMN(Symbols[Currency])-COLUMN(Symbols[])+1,FALSE)=
       VLOOKUP(Transactions[[#This Row],[Account]],Accounts[],COLUMN(Accounts[Currency])-COLUMN(Accounts[])+1,FALSE),
     Transactions[[#This Row],[OrigCashImpact]],
     0
)</f>
        <v>-76472.11</v>
      </c>
      <c r="O13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2767241.9099999992</v>
      </c>
      <c r="P13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3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374" s="41">
        <f>ROW()</f>
        <v>1374</v>
      </c>
      <c r="S13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76472.11</v>
      </c>
      <c r="T13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76472.110000000015</v>
      </c>
      <c r="U13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74" s="166">
        <f>IF(INDEX(TransTypes[],Transactions[[#This Row],[TTR]],TT_COL_GLFlag)=1,Transactions[[#This Row],[CalCashImpact]]+Transactions[[#This Row],[CostImpact]],0)</f>
        <v>0</v>
      </c>
      <c r="W1374" s="167">
        <f>Transactions[[#This Row],[Amount]]*INDEX(TransTypes[],Transactions[[#This Row],[TTR]],TT_COL_AmntSign)</f>
        <v>-76472.11</v>
      </c>
      <c r="X1374" s="167">
        <f>IF(INDEX(TransTypes[],Transactions[[#This Row],[TTR]],TT_COL_LONGORSHORT)="S",
      IF( OR(INDEX(TransTypes[],Transactions[[#This Row],[TTR]],TT_COL_GLFlag)=1, INDEX(TransTypes[], Transactions[[#This Row],[TTR]], TT_COL_ShareTransferFlag)=1),
            Transactions[[#This Row],[CostImpact]]*-1,
            Transactions[[#This Row],[CalCashImpact]]
      ),
     0
)</f>
        <v>0</v>
      </c>
      <c r="Y1374" s="168" t="str">
        <f>VLOOKUP(Transactions[[#This Row],[Symbol]],Symbols[], COLUMN(Symbols[Currency])-COLUMN(Symbols[])+1,FALSE)</f>
        <v>CNY</v>
      </c>
    </row>
    <row r="1375" spans="1:25">
      <c r="A1375" s="155" t="s">
        <v>82</v>
      </c>
      <c r="B1375" s="156">
        <v>42703</v>
      </c>
      <c r="C1375" s="155" t="s">
        <v>113</v>
      </c>
      <c r="D1375" s="155"/>
      <c r="E1375" s="155" t="s">
        <v>468</v>
      </c>
      <c r="F1375" s="157">
        <v>4000</v>
      </c>
      <c r="G1375" s="158">
        <v>37.130000000000003</v>
      </c>
      <c r="H1375" s="157">
        <v>62.38</v>
      </c>
      <c r="I1375" s="157"/>
      <c r="J1375" s="159">
        <v>148582.38</v>
      </c>
      <c r="K1375" s="6" t="s">
        <v>641</v>
      </c>
      <c r="L1375" s="20">
        <f>IF(ISNA(MATCH(Transactions[[#This Row],[TransType]],TransTypes[TransType],0)),1,MATCH(Transactions[[#This Row],[TransType]],TransTypes[TransType],0))</f>
        <v>2</v>
      </c>
      <c r="M1375" s="160">
        <f>IF( AND( INDEX(TransTypes[],Transactions[[#This Row],[TTR]],TT_COL_GLFlag)=1, INDEX(TransTypes[],Transactions[[#This Row],[TTR]],TT_COL_LONGORSHORT)="S" ),
      Transactions[[#This Row],[PL]],
      IF(INDEX(TransTypes[],Transactions[[#This Row],[TTR]],TT_COL_LONGORSHORT)="S",0,Transactions[[#This Row],[CalCashImpact]])
)</f>
        <v>-148582.38</v>
      </c>
      <c r="N1375" s="161">
        <f>IF(VLOOKUP(Transactions[[#This Row],[Symbol]],Symbols[],COLUMN(Symbols[Currency])-COLUMN(Symbols[])+1,FALSE)=
       VLOOKUP(Transactions[[#This Row],[Account]],Accounts[],COLUMN(Accounts[Currency])-COLUMN(Accounts[])+1,FALSE),
     Transactions[[#This Row],[OrigCashImpact]],
     0
)</f>
        <v>-148582.38</v>
      </c>
      <c r="O13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2618659.5299999993</v>
      </c>
      <c r="P13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3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375" s="41">
        <f>ROW()</f>
        <v>1375</v>
      </c>
      <c r="S13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148582.38</v>
      </c>
      <c r="T13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148582.38</v>
      </c>
      <c r="U13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75" s="166">
        <f>IF(INDEX(TransTypes[],Transactions[[#This Row],[TTR]],TT_COL_GLFlag)=1,Transactions[[#This Row],[CalCashImpact]]+Transactions[[#This Row],[CostImpact]],0)</f>
        <v>0</v>
      </c>
      <c r="W1375" s="167">
        <f>Transactions[[#This Row],[Amount]]*INDEX(TransTypes[],Transactions[[#This Row],[TTR]],TT_COL_AmntSign)</f>
        <v>-148582.38</v>
      </c>
      <c r="X1375" s="167">
        <f>IF(INDEX(TransTypes[],Transactions[[#This Row],[TTR]],TT_COL_LONGORSHORT)="S",
      IF( OR(INDEX(TransTypes[],Transactions[[#This Row],[TTR]],TT_COL_GLFlag)=1, INDEX(TransTypes[], Transactions[[#This Row],[TTR]], TT_COL_ShareTransferFlag)=1),
            Transactions[[#This Row],[CostImpact]]*-1,
            Transactions[[#This Row],[CalCashImpact]]
      ),
     0
)</f>
        <v>0</v>
      </c>
      <c r="Y1375" s="168" t="str">
        <f>VLOOKUP(Transactions[[#This Row],[Symbol]],Symbols[], COLUMN(Symbols[Currency])-COLUMN(Symbols[])+1,FALSE)</f>
        <v>CNY</v>
      </c>
    </row>
    <row r="1376" spans="1:25">
      <c r="A1376" s="155" t="s">
        <v>82</v>
      </c>
      <c r="B1376" s="156">
        <v>42705</v>
      </c>
      <c r="C1376" s="155" t="s">
        <v>113</v>
      </c>
      <c r="D1376" s="155"/>
      <c r="E1376" s="155" t="s">
        <v>715</v>
      </c>
      <c r="F1376" s="157">
        <v>500000</v>
      </c>
      <c r="G1376" s="158">
        <v>0.42399999999999999</v>
      </c>
      <c r="H1376" s="157">
        <v>84.8</v>
      </c>
      <c r="I1376" s="157"/>
      <c r="J1376" s="159">
        <v>212084.8</v>
      </c>
      <c r="K1376" s="6" t="s">
        <v>641</v>
      </c>
      <c r="L1376" s="20">
        <f>IF(ISNA(MATCH(Transactions[[#This Row],[TransType]],TransTypes[TransType],0)),1,MATCH(Transactions[[#This Row],[TransType]],TransTypes[TransType],0))</f>
        <v>2</v>
      </c>
      <c r="M1376" s="160">
        <f>IF( AND( INDEX(TransTypes[],Transactions[[#This Row],[TTR]],TT_COL_GLFlag)=1, INDEX(TransTypes[],Transactions[[#This Row],[TTR]],TT_COL_LONGORSHORT)="S" ),
      Transactions[[#This Row],[PL]],
      IF(INDEX(TransTypes[],Transactions[[#This Row],[TTR]],TT_COL_LONGORSHORT)="S",0,Transactions[[#This Row],[CalCashImpact]])
)</f>
        <v>-212084.8</v>
      </c>
      <c r="N1376" s="161">
        <f>IF(VLOOKUP(Transactions[[#This Row],[Symbol]],Symbols[],COLUMN(Symbols[Currency])-COLUMN(Symbols[])+1,FALSE)=
       VLOOKUP(Transactions[[#This Row],[Account]],Accounts[],COLUMN(Accounts[Currency])-COLUMN(Accounts[])+1,FALSE),
     Transactions[[#This Row],[OrigCashImpact]],
     0
)</f>
        <v>-212084.8</v>
      </c>
      <c r="O13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2406574.7300000004</v>
      </c>
      <c r="P13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500000</v>
      </c>
      <c r="Q13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2710000</v>
      </c>
      <c r="R1376" s="41">
        <f>ROW()</f>
        <v>1376</v>
      </c>
      <c r="S13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212084.8</v>
      </c>
      <c r="T13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1095401.3543878992</v>
      </c>
      <c r="U13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2710000</v>
      </c>
      <c r="V1376" s="166">
        <f>IF(INDEX(TransTypes[],Transactions[[#This Row],[TTR]],TT_COL_GLFlag)=1,Transactions[[#This Row],[CalCashImpact]]+Transactions[[#This Row],[CostImpact]],0)</f>
        <v>0</v>
      </c>
      <c r="W1376" s="167">
        <f>Transactions[[#This Row],[Amount]]*INDEX(TransTypes[],Transactions[[#This Row],[TTR]],TT_COL_AmntSign)</f>
        <v>-212084.8</v>
      </c>
      <c r="X1376" s="167">
        <f>IF(INDEX(TransTypes[],Transactions[[#This Row],[TTR]],TT_COL_LONGORSHORT)="S",
      IF( OR(INDEX(TransTypes[],Transactions[[#This Row],[TTR]],TT_COL_GLFlag)=1, INDEX(TransTypes[], Transactions[[#This Row],[TTR]], TT_COL_ShareTransferFlag)=1),
            Transactions[[#This Row],[CostImpact]]*-1,
            Transactions[[#This Row],[CalCashImpact]]
      ),
     0
)</f>
        <v>0</v>
      </c>
      <c r="Y1376" s="168" t="str">
        <f>VLOOKUP(Transactions[[#This Row],[Symbol]],Symbols[], COLUMN(Symbols[Currency])-COLUMN(Symbols[])+1,FALSE)</f>
        <v>CNY</v>
      </c>
    </row>
    <row r="1377" spans="1:25">
      <c r="A1377" s="155" t="s">
        <v>82</v>
      </c>
      <c r="B1377" s="156">
        <v>42705</v>
      </c>
      <c r="C1377" s="155" t="s">
        <v>113</v>
      </c>
      <c r="D1377" s="155"/>
      <c r="E1377" s="155" t="s">
        <v>715</v>
      </c>
      <c r="F1377" s="157">
        <v>800000</v>
      </c>
      <c r="G1377" s="158">
        <v>0.42399999999999999</v>
      </c>
      <c r="H1377" s="157">
        <v>135.68</v>
      </c>
      <c r="I1377" s="157"/>
      <c r="J1377" s="159">
        <v>339335.67999999999</v>
      </c>
      <c r="K1377" s="6" t="s">
        <v>641</v>
      </c>
      <c r="L1377" s="20">
        <f>IF(ISNA(MATCH(Transactions[[#This Row],[TransType]],TransTypes[TransType],0)),1,MATCH(Transactions[[#This Row],[TransType]],TransTypes[TransType],0))</f>
        <v>2</v>
      </c>
      <c r="M1377" s="160">
        <f>IF( AND( INDEX(TransTypes[],Transactions[[#This Row],[TTR]],TT_COL_GLFlag)=1, INDEX(TransTypes[],Transactions[[#This Row],[TTR]],TT_COL_LONGORSHORT)="S" ),
      Transactions[[#This Row],[PL]],
      IF(INDEX(TransTypes[],Transactions[[#This Row],[TTR]],TT_COL_LONGORSHORT)="S",0,Transactions[[#This Row],[CalCashImpact]])
)</f>
        <v>-339335.67999999999</v>
      </c>
      <c r="N1377" s="161">
        <f>IF(VLOOKUP(Transactions[[#This Row],[Symbol]],Symbols[],COLUMN(Symbols[Currency])-COLUMN(Symbols[])+1,FALSE)=
       VLOOKUP(Transactions[[#This Row],[Account]],Accounts[],COLUMN(Accounts[Currency])-COLUMN(Accounts[])+1,FALSE),
     Transactions[[#This Row],[OrigCashImpact]],
     0
)</f>
        <v>-339335.67999999999</v>
      </c>
      <c r="O13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2067239.0500000003</v>
      </c>
      <c r="P13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800000</v>
      </c>
      <c r="Q13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3510000</v>
      </c>
      <c r="R1377" s="41">
        <f>ROW()</f>
        <v>1377</v>
      </c>
      <c r="S13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339335.67999999999</v>
      </c>
      <c r="T13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1434737.0343878991</v>
      </c>
      <c r="U13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3510000</v>
      </c>
      <c r="V1377" s="166">
        <f>IF(INDEX(TransTypes[],Transactions[[#This Row],[TTR]],TT_COL_GLFlag)=1,Transactions[[#This Row],[CalCashImpact]]+Transactions[[#This Row],[CostImpact]],0)</f>
        <v>0</v>
      </c>
      <c r="W1377" s="167">
        <f>Transactions[[#This Row],[Amount]]*INDEX(TransTypes[],Transactions[[#This Row],[TTR]],TT_COL_AmntSign)</f>
        <v>-339335.67999999999</v>
      </c>
      <c r="X1377" s="167">
        <f>IF(INDEX(TransTypes[],Transactions[[#This Row],[TTR]],TT_COL_LONGORSHORT)="S",
      IF( OR(INDEX(TransTypes[],Transactions[[#This Row],[TTR]],TT_COL_GLFlag)=1, INDEX(TransTypes[], Transactions[[#This Row],[TTR]], TT_COL_ShareTransferFlag)=1),
            Transactions[[#This Row],[CostImpact]]*-1,
            Transactions[[#This Row],[CalCashImpact]]
      ),
     0
)</f>
        <v>0</v>
      </c>
      <c r="Y1377" s="168" t="str">
        <f>VLOOKUP(Transactions[[#This Row],[Symbol]],Symbols[], COLUMN(Symbols[Currency])-COLUMN(Symbols[])+1,FALSE)</f>
        <v>CNY</v>
      </c>
    </row>
    <row r="1378" spans="1:25">
      <c r="A1378" s="155" t="s">
        <v>82</v>
      </c>
      <c r="B1378" s="156">
        <v>42706</v>
      </c>
      <c r="C1378" s="155" t="s">
        <v>115</v>
      </c>
      <c r="D1378" s="155"/>
      <c r="E1378" s="155" t="s">
        <v>715</v>
      </c>
      <c r="F1378" s="157">
        <v>1000000</v>
      </c>
      <c r="G1378" s="158">
        <v>0.42499999999999999</v>
      </c>
      <c r="H1378" s="157">
        <v>170</v>
      </c>
      <c r="I1378" s="157"/>
      <c r="J1378" s="159">
        <v>424830</v>
      </c>
      <c r="K1378" s="6" t="s">
        <v>641</v>
      </c>
      <c r="L1378" s="20">
        <f>IF(ISNA(MATCH(Transactions[[#This Row],[TransType]],TransTypes[TransType],0)),1,MATCH(Transactions[[#This Row],[TransType]],TransTypes[TransType],0))</f>
        <v>3</v>
      </c>
      <c r="M1378" s="160">
        <f>IF( AND( INDEX(TransTypes[],Transactions[[#This Row],[TTR]],TT_COL_GLFlag)=1, INDEX(TransTypes[],Transactions[[#This Row],[TTR]],TT_COL_LONGORSHORT)="S" ),
      Transactions[[#This Row],[PL]],
      IF(INDEX(TransTypes[],Transactions[[#This Row],[TTR]],TT_COL_LONGORSHORT)="S",0,Transactions[[#This Row],[CalCashImpact]])
)</f>
        <v>424830</v>
      </c>
      <c r="N1378" s="161">
        <f>IF(VLOOKUP(Transactions[[#This Row],[Symbol]],Symbols[],COLUMN(Symbols[Currency])-COLUMN(Symbols[])+1,FALSE)=
       VLOOKUP(Transactions[[#This Row],[Account]],Accounts[],COLUMN(Accounts[Currency])-COLUMN(Accounts[])+1,FALSE),
     Transactions[[#This Row],[OrigCashImpact]],
     0
)</f>
        <v>424830</v>
      </c>
      <c r="O13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2492069.0500000007</v>
      </c>
      <c r="P13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-1000000</v>
      </c>
      <c r="Q13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2510000</v>
      </c>
      <c r="R1378" s="41">
        <f>ROW()</f>
        <v>1378</v>
      </c>
      <c r="S13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-408756.98985410231</v>
      </c>
      <c r="T13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1025980.0445337968</v>
      </c>
      <c r="U13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3510000</v>
      </c>
      <c r="V1378" s="166">
        <f>IF(INDEX(TransTypes[],Transactions[[#This Row],[TTR]],TT_COL_GLFlag)=1,Transactions[[#This Row],[CalCashImpact]]+Transactions[[#This Row],[CostImpact]],0)</f>
        <v>16073.010145897686</v>
      </c>
      <c r="W1378" s="167">
        <f>Transactions[[#This Row],[Amount]]*INDEX(TransTypes[],Transactions[[#This Row],[TTR]],TT_COL_AmntSign)</f>
        <v>424830</v>
      </c>
      <c r="X1378" s="167">
        <f>IF(INDEX(TransTypes[],Transactions[[#This Row],[TTR]],TT_COL_LONGORSHORT)="S",
      IF( OR(INDEX(TransTypes[],Transactions[[#This Row],[TTR]],TT_COL_GLFlag)=1, INDEX(TransTypes[], Transactions[[#This Row],[TTR]], TT_COL_ShareTransferFlag)=1),
            Transactions[[#This Row],[CostImpact]]*-1,
            Transactions[[#This Row],[CalCashImpact]]
      ),
     0
)</f>
        <v>0</v>
      </c>
      <c r="Y1378" s="168" t="str">
        <f>VLOOKUP(Transactions[[#This Row],[Symbol]],Symbols[], COLUMN(Symbols[Currency])-COLUMN(Symbols[])+1,FALSE)</f>
        <v>CNY</v>
      </c>
    </row>
    <row r="1379" spans="1:25">
      <c r="A1379" s="155" t="s">
        <v>82</v>
      </c>
      <c r="B1379" s="156">
        <v>42706</v>
      </c>
      <c r="C1379" s="155" t="s">
        <v>115</v>
      </c>
      <c r="D1379" s="155"/>
      <c r="E1379" s="155" t="s">
        <v>468</v>
      </c>
      <c r="F1379" s="157">
        <v>2000</v>
      </c>
      <c r="G1379" s="158">
        <v>36.049999999999997</v>
      </c>
      <c r="H1379" s="157">
        <v>102.38</v>
      </c>
      <c r="I1379" s="157"/>
      <c r="J1379" s="159">
        <v>71997.62</v>
      </c>
      <c r="K1379" s="6" t="s">
        <v>641</v>
      </c>
      <c r="L1379" s="20">
        <f>IF(ISNA(MATCH(Transactions[[#This Row],[TransType]],TransTypes[TransType],0)),1,MATCH(Transactions[[#This Row],[TransType]],TransTypes[TransType],0))</f>
        <v>3</v>
      </c>
      <c r="M1379" s="160">
        <f>IF( AND( INDEX(TransTypes[],Transactions[[#This Row],[TTR]],TT_COL_GLFlag)=1, INDEX(TransTypes[],Transactions[[#This Row],[TTR]],TT_COL_LONGORSHORT)="S" ),
      Transactions[[#This Row],[PL]],
      IF(INDEX(TransTypes[],Transactions[[#This Row],[TTR]],TT_COL_LONGORSHORT)="S",0,Transactions[[#This Row],[CalCashImpact]])
)</f>
        <v>71997.62</v>
      </c>
      <c r="N1379" s="161">
        <f>IF(VLOOKUP(Transactions[[#This Row],[Symbol]],Symbols[],COLUMN(Symbols[Currency])-COLUMN(Symbols[])+1,FALSE)=
       VLOOKUP(Transactions[[#This Row],[Account]],Accounts[],COLUMN(Accounts[Currency])-COLUMN(Accounts[])+1,FALSE),
     Transactions[[#This Row],[OrigCashImpact]],
     0
)</f>
        <v>71997.62</v>
      </c>
      <c r="O13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2564066.6700000004</v>
      </c>
      <c r="P13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379" s="41">
        <f>ROW()</f>
        <v>1379</v>
      </c>
      <c r="S13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-74291.19</v>
      </c>
      <c r="T13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74291.19</v>
      </c>
      <c r="U13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79" s="166">
        <f>IF(INDEX(TransTypes[],Transactions[[#This Row],[TTR]],TT_COL_GLFlag)=1,Transactions[[#This Row],[CalCashImpact]]+Transactions[[#This Row],[CostImpact]],0)</f>
        <v>-2293.570000000007</v>
      </c>
      <c r="W1379" s="167">
        <f>Transactions[[#This Row],[Amount]]*INDEX(TransTypes[],Transactions[[#This Row],[TTR]],TT_COL_AmntSign)</f>
        <v>71997.62</v>
      </c>
      <c r="X1379" s="167">
        <f>IF(INDEX(TransTypes[],Transactions[[#This Row],[TTR]],TT_COL_LONGORSHORT)="S",
      IF( OR(INDEX(TransTypes[],Transactions[[#This Row],[TTR]],TT_COL_GLFlag)=1, INDEX(TransTypes[], Transactions[[#This Row],[TTR]], TT_COL_ShareTransferFlag)=1),
            Transactions[[#This Row],[CostImpact]]*-1,
            Transactions[[#This Row],[CalCashImpact]]
      ),
     0
)</f>
        <v>0</v>
      </c>
      <c r="Y1379" s="168" t="str">
        <f>VLOOKUP(Transactions[[#This Row],[Symbol]],Symbols[], COLUMN(Symbols[Currency])-COLUMN(Symbols[])+1,FALSE)</f>
        <v>CNY</v>
      </c>
    </row>
    <row r="1380" spans="1:25">
      <c r="A1380" s="155" t="s">
        <v>82</v>
      </c>
      <c r="B1380" s="156">
        <v>42706</v>
      </c>
      <c r="C1380" s="155" t="s">
        <v>115</v>
      </c>
      <c r="D1380" s="155"/>
      <c r="E1380" s="155" t="s">
        <v>718</v>
      </c>
      <c r="F1380" s="157">
        <v>3000</v>
      </c>
      <c r="G1380" s="158">
        <v>19.850000000000001</v>
      </c>
      <c r="H1380" s="157">
        <v>84.56</v>
      </c>
      <c r="I1380" s="157"/>
      <c r="J1380" s="159">
        <v>59465.440000000002</v>
      </c>
      <c r="K1380" s="6" t="s">
        <v>641</v>
      </c>
      <c r="L1380" s="20">
        <f>IF(ISNA(MATCH(Transactions[[#This Row],[TransType]],TransTypes[TransType],0)),1,MATCH(Transactions[[#This Row],[TransType]],TransTypes[TransType],0))</f>
        <v>3</v>
      </c>
      <c r="M1380" s="160">
        <f>IF( AND( INDEX(TransTypes[],Transactions[[#This Row],[TTR]],TT_COL_GLFlag)=1, INDEX(TransTypes[],Transactions[[#This Row],[TTR]],TT_COL_LONGORSHORT)="S" ),
      Transactions[[#This Row],[PL]],
      IF(INDEX(TransTypes[],Transactions[[#This Row],[TTR]],TT_COL_LONGORSHORT)="S",0,Transactions[[#This Row],[CalCashImpact]])
)</f>
        <v>59465.440000000002</v>
      </c>
      <c r="N1380" s="161">
        <f>IF(VLOOKUP(Transactions[[#This Row],[Symbol]],Symbols[],COLUMN(Symbols[Currency])-COLUMN(Symbols[])+1,FALSE)=
       VLOOKUP(Transactions[[#This Row],[Account]],Accounts[],COLUMN(Accounts[Currency])-COLUMN(Accounts[])+1,FALSE),
     Transactions[[#This Row],[OrigCashImpact]],
     0
)</f>
        <v>59465.440000000002</v>
      </c>
      <c r="O13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2623532.1100000003</v>
      </c>
      <c r="P13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3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380" s="41">
        <f>ROW()</f>
        <v>1380</v>
      </c>
      <c r="S13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-57354.082500000011</v>
      </c>
      <c r="T13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19118.027500000004</v>
      </c>
      <c r="U13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80" s="166">
        <f>IF(INDEX(TransTypes[],Transactions[[#This Row],[TTR]],TT_COL_GLFlag)=1,Transactions[[#This Row],[CalCashImpact]]+Transactions[[#This Row],[CostImpact]],0)</f>
        <v>2111.357499999991</v>
      </c>
      <c r="W1380" s="167">
        <f>Transactions[[#This Row],[Amount]]*INDEX(TransTypes[],Transactions[[#This Row],[TTR]],TT_COL_AmntSign)</f>
        <v>59465.440000000002</v>
      </c>
      <c r="X1380" s="167">
        <f>IF(INDEX(TransTypes[],Transactions[[#This Row],[TTR]],TT_COL_LONGORSHORT)="S",
      IF( OR(INDEX(TransTypes[],Transactions[[#This Row],[TTR]],TT_COL_GLFlag)=1, INDEX(TransTypes[], Transactions[[#This Row],[TTR]], TT_COL_ShareTransferFlag)=1),
            Transactions[[#This Row],[CostImpact]]*-1,
            Transactions[[#This Row],[CalCashImpact]]
      ),
     0
)</f>
        <v>0</v>
      </c>
      <c r="Y1380" s="168" t="str">
        <f>VLOOKUP(Transactions[[#This Row],[Symbol]],Symbols[], COLUMN(Symbols[Currency])-COLUMN(Symbols[])+1,FALSE)</f>
        <v>CNY</v>
      </c>
    </row>
    <row r="1381" spans="1:25">
      <c r="A1381" s="155" t="s">
        <v>82</v>
      </c>
      <c r="B1381" s="156">
        <v>42709</v>
      </c>
      <c r="C1381" s="155" t="s">
        <v>113</v>
      </c>
      <c r="D1381" s="155"/>
      <c r="E1381" s="155" t="s">
        <v>482</v>
      </c>
      <c r="F1381" s="157">
        <v>4000</v>
      </c>
      <c r="G1381" s="158">
        <v>25.9</v>
      </c>
      <c r="H1381" s="157">
        <v>41.44</v>
      </c>
      <c r="I1381" s="157"/>
      <c r="J1381" s="159">
        <v>103641.44</v>
      </c>
      <c r="K1381" s="6" t="s">
        <v>641</v>
      </c>
      <c r="L1381" s="20">
        <f>IF(ISNA(MATCH(Transactions[[#This Row],[TransType]],TransTypes[TransType],0)),1,MATCH(Transactions[[#This Row],[TransType]],TransTypes[TransType],0))</f>
        <v>2</v>
      </c>
      <c r="M1381" s="160">
        <f>IF( AND( INDEX(TransTypes[],Transactions[[#This Row],[TTR]],TT_COL_GLFlag)=1, INDEX(TransTypes[],Transactions[[#This Row],[TTR]],TT_COL_LONGORSHORT)="S" ),
      Transactions[[#This Row],[PL]],
      IF(INDEX(TransTypes[],Transactions[[#This Row],[TTR]],TT_COL_LONGORSHORT)="S",0,Transactions[[#This Row],[CalCashImpact]])
)</f>
        <v>-103641.44</v>
      </c>
      <c r="N1381" s="161">
        <f>IF(VLOOKUP(Transactions[[#This Row],[Symbol]],Symbols[],COLUMN(Symbols[Currency])-COLUMN(Symbols[])+1,FALSE)=
       VLOOKUP(Transactions[[#This Row],[Account]],Accounts[],COLUMN(Accounts[Currency])-COLUMN(Accounts[])+1,FALSE),
     Transactions[[#This Row],[OrigCashImpact]],
     0
)</f>
        <v>-103641.44</v>
      </c>
      <c r="O13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2519890.6700000009</v>
      </c>
      <c r="P13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3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381" s="41">
        <f>ROW()</f>
        <v>1381</v>
      </c>
      <c r="S13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103641.44</v>
      </c>
      <c r="T13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188875.52000000002</v>
      </c>
      <c r="U13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381" s="166">
        <f>IF(INDEX(TransTypes[],Transactions[[#This Row],[TTR]],TT_COL_GLFlag)=1,Transactions[[#This Row],[CalCashImpact]]+Transactions[[#This Row],[CostImpact]],0)</f>
        <v>0</v>
      </c>
      <c r="W1381" s="167">
        <f>Transactions[[#This Row],[Amount]]*INDEX(TransTypes[],Transactions[[#This Row],[TTR]],TT_COL_AmntSign)</f>
        <v>-103641.44</v>
      </c>
      <c r="X1381" s="167">
        <f>IF(INDEX(TransTypes[],Transactions[[#This Row],[TTR]],TT_COL_LONGORSHORT)="S",
      IF( OR(INDEX(TransTypes[],Transactions[[#This Row],[TTR]],TT_COL_GLFlag)=1, INDEX(TransTypes[], Transactions[[#This Row],[TTR]], TT_COL_ShareTransferFlag)=1),
            Transactions[[#This Row],[CostImpact]]*-1,
            Transactions[[#This Row],[CalCashImpact]]
      ),
     0
)</f>
        <v>0</v>
      </c>
      <c r="Y1381" s="168" t="str">
        <f>VLOOKUP(Transactions[[#This Row],[Symbol]],Symbols[], COLUMN(Symbols[Currency])-COLUMN(Symbols[])+1,FALSE)</f>
        <v>CNY</v>
      </c>
    </row>
    <row r="1382" spans="1:25">
      <c r="A1382" s="155" t="s">
        <v>82</v>
      </c>
      <c r="B1382" s="156">
        <v>42710</v>
      </c>
      <c r="C1382" s="155" t="s">
        <v>119</v>
      </c>
      <c r="D1382" s="155"/>
      <c r="E1382" s="155" t="s">
        <v>211</v>
      </c>
      <c r="F1382" s="157"/>
      <c r="G1382" s="158"/>
      <c r="H1382" s="157"/>
      <c r="I1382" s="157"/>
      <c r="J1382" s="159">
        <v>350000</v>
      </c>
      <c r="K1382" s="6" t="s">
        <v>641</v>
      </c>
      <c r="L1382" s="20">
        <f>IF(ISNA(MATCH(Transactions[[#This Row],[TransType]],TransTypes[TransType],0)),1,MATCH(Transactions[[#This Row],[TransType]],TransTypes[TransType],0))</f>
        <v>5</v>
      </c>
      <c r="M1382" s="160">
        <f>IF( AND( INDEX(TransTypes[],Transactions[[#This Row],[TTR]],TT_COL_GLFlag)=1, INDEX(TransTypes[],Transactions[[#This Row],[TTR]],TT_COL_LONGORSHORT)="S" ),
      Transactions[[#This Row],[PL]],
      IF(INDEX(TransTypes[],Transactions[[#This Row],[TTR]],TT_COL_LONGORSHORT)="S",0,Transactions[[#This Row],[CalCashImpact]])
)</f>
        <v>-350000</v>
      </c>
      <c r="N1382" s="161">
        <f>IF(VLOOKUP(Transactions[[#This Row],[Symbol]],Symbols[],COLUMN(Symbols[Currency])-COLUMN(Symbols[])+1,FALSE)=
       VLOOKUP(Transactions[[#This Row],[Account]],Accounts[],COLUMN(Accounts[Currency])-COLUMN(Accounts[])+1,FALSE),
     Transactions[[#This Row],[OrigCashImpact]],
     0
)</f>
        <v>-350000</v>
      </c>
      <c r="O13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2169890.6700000009</v>
      </c>
      <c r="P13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82" s="41">
        <f>ROW()</f>
        <v>1382</v>
      </c>
      <c r="S13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82" s="166">
        <f>IF(INDEX(TransTypes[],Transactions[[#This Row],[TTR]],TT_COL_GLFlag)=1,Transactions[[#This Row],[CalCashImpact]]+Transactions[[#This Row],[CostImpact]],0)</f>
        <v>0</v>
      </c>
      <c r="W1382" s="167">
        <f>Transactions[[#This Row],[Amount]]*INDEX(TransTypes[],Transactions[[#This Row],[TTR]],TT_COL_AmntSign)</f>
        <v>-350000</v>
      </c>
      <c r="X1382" s="167">
        <f>IF(INDEX(TransTypes[],Transactions[[#This Row],[TTR]],TT_COL_LONGORSHORT)="S",
      IF( OR(INDEX(TransTypes[],Transactions[[#This Row],[TTR]],TT_COL_GLFlag)=1, INDEX(TransTypes[], Transactions[[#This Row],[TTR]], TT_COL_ShareTransferFlag)=1),
            Transactions[[#This Row],[CostImpact]]*-1,
            Transactions[[#This Row],[CalCashImpact]]
      ),
     0
)</f>
        <v>0</v>
      </c>
      <c r="Y1382" s="168" t="str">
        <f>VLOOKUP(Transactions[[#This Row],[Symbol]],Symbols[], COLUMN(Symbols[Currency])-COLUMN(Symbols[])+1,FALSE)</f>
        <v>CNY</v>
      </c>
    </row>
    <row r="1383" spans="1:25">
      <c r="A1383" s="155" t="s">
        <v>82</v>
      </c>
      <c r="B1383" s="156">
        <v>42711</v>
      </c>
      <c r="C1383" s="155" t="s">
        <v>113</v>
      </c>
      <c r="D1383" s="155"/>
      <c r="E1383" s="155" t="s">
        <v>644</v>
      </c>
      <c r="F1383" s="157">
        <v>1000</v>
      </c>
      <c r="G1383" s="158">
        <v>58.05</v>
      </c>
      <c r="H1383" s="157">
        <v>23.22</v>
      </c>
      <c r="I1383" s="157"/>
      <c r="J1383" s="159">
        <v>58073.22</v>
      </c>
      <c r="K1383" s="6" t="s">
        <v>641</v>
      </c>
      <c r="L1383" s="20">
        <f>IF(ISNA(MATCH(Transactions[[#This Row],[TransType]],TransTypes[TransType],0)),1,MATCH(Transactions[[#This Row],[TransType]],TransTypes[TransType],0))</f>
        <v>2</v>
      </c>
      <c r="M1383" s="160">
        <f>IF( AND( INDEX(TransTypes[],Transactions[[#This Row],[TTR]],TT_COL_GLFlag)=1, INDEX(TransTypes[],Transactions[[#This Row],[TTR]],TT_COL_LONGORSHORT)="S" ),
      Transactions[[#This Row],[PL]],
      IF(INDEX(TransTypes[],Transactions[[#This Row],[TTR]],TT_COL_LONGORSHORT)="S",0,Transactions[[#This Row],[CalCashImpact]])
)</f>
        <v>-58073.22</v>
      </c>
      <c r="N1383" s="161">
        <f>IF(VLOOKUP(Transactions[[#This Row],[Symbol]],Symbols[],COLUMN(Symbols[Currency])-COLUMN(Symbols[])+1,FALSE)=
       VLOOKUP(Transactions[[#This Row],[Account]],Accounts[],COLUMN(Accounts[Currency])-COLUMN(Accounts[])+1,FALSE),
     Transactions[[#This Row],[OrigCashImpact]],
     0
)</f>
        <v>-58073.22</v>
      </c>
      <c r="O13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2111817.4500000007</v>
      </c>
      <c r="P13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383" s="41">
        <f>ROW()</f>
        <v>1383</v>
      </c>
      <c r="S13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58073.22</v>
      </c>
      <c r="T13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250938.41058779761</v>
      </c>
      <c r="U13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383" s="166">
        <f>IF(INDEX(TransTypes[],Transactions[[#This Row],[TTR]],TT_COL_GLFlag)=1,Transactions[[#This Row],[CalCashImpact]]+Transactions[[#This Row],[CostImpact]],0)</f>
        <v>0</v>
      </c>
      <c r="W1383" s="167">
        <f>Transactions[[#This Row],[Amount]]*INDEX(TransTypes[],Transactions[[#This Row],[TTR]],TT_COL_AmntSign)</f>
        <v>-58073.22</v>
      </c>
      <c r="X1383" s="167">
        <f>IF(INDEX(TransTypes[],Transactions[[#This Row],[TTR]],TT_COL_LONGORSHORT)="S",
      IF( OR(INDEX(TransTypes[],Transactions[[#This Row],[TTR]],TT_COL_GLFlag)=1, INDEX(TransTypes[], Transactions[[#This Row],[TTR]], TT_COL_ShareTransferFlag)=1),
            Transactions[[#This Row],[CostImpact]]*-1,
            Transactions[[#This Row],[CalCashImpact]]
      ),
     0
)</f>
        <v>0</v>
      </c>
      <c r="Y1383" s="168" t="str">
        <f>VLOOKUP(Transactions[[#This Row],[Symbol]],Symbols[], COLUMN(Symbols[Currency])-COLUMN(Symbols[])+1,FALSE)</f>
        <v>CNY</v>
      </c>
    </row>
    <row r="1384" spans="1:25">
      <c r="A1384" s="155" t="s">
        <v>82</v>
      </c>
      <c r="B1384" s="156">
        <v>42712</v>
      </c>
      <c r="C1384" s="155" t="s">
        <v>113</v>
      </c>
      <c r="D1384" s="155"/>
      <c r="E1384" s="155" t="s">
        <v>488</v>
      </c>
      <c r="F1384" s="157">
        <v>2000</v>
      </c>
      <c r="G1384" s="158">
        <v>18.62</v>
      </c>
      <c r="H1384" s="157">
        <v>15.64</v>
      </c>
      <c r="I1384" s="157"/>
      <c r="J1384" s="159">
        <v>37255.64</v>
      </c>
      <c r="K1384" s="6" t="s">
        <v>641</v>
      </c>
      <c r="L1384" s="20">
        <f>IF(ISNA(MATCH(Transactions[[#This Row],[TransType]],TransTypes[TransType],0)),1,MATCH(Transactions[[#This Row],[TransType]],TransTypes[TransType],0))</f>
        <v>2</v>
      </c>
      <c r="M1384" s="160">
        <f>IF( AND( INDEX(TransTypes[],Transactions[[#This Row],[TTR]],TT_COL_GLFlag)=1, INDEX(TransTypes[],Transactions[[#This Row],[TTR]],TT_COL_LONGORSHORT)="S" ),
      Transactions[[#This Row],[PL]],
      IF(INDEX(TransTypes[],Transactions[[#This Row],[TTR]],TT_COL_LONGORSHORT)="S",0,Transactions[[#This Row],[CalCashImpact]])
)</f>
        <v>-37255.64</v>
      </c>
      <c r="N1384" s="161">
        <f>IF(VLOOKUP(Transactions[[#This Row],[Symbol]],Symbols[],COLUMN(Symbols[Currency])-COLUMN(Symbols[])+1,FALSE)=
       VLOOKUP(Transactions[[#This Row],[Account]],Accounts[],COLUMN(Accounts[Currency])-COLUMN(Accounts[])+1,FALSE),
     Transactions[[#This Row],[OrigCashImpact]],
     0
)</f>
        <v>-37255.64</v>
      </c>
      <c r="O13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2074561.8100000008</v>
      </c>
      <c r="P13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384" s="41">
        <f>ROW()</f>
        <v>1384</v>
      </c>
      <c r="S13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37255.64</v>
      </c>
      <c r="T13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114646.87874999999</v>
      </c>
      <c r="U13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384" s="166">
        <f>IF(INDEX(TransTypes[],Transactions[[#This Row],[TTR]],TT_COL_GLFlag)=1,Transactions[[#This Row],[CalCashImpact]]+Transactions[[#This Row],[CostImpact]],0)</f>
        <v>0</v>
      </c>
      <c r="W1384" s="167">
        <f>Transactions[[#This Row],[Amount]]*INDEX(TransTypes[],Transactions[[#This Row],[TTR]],TT_COL_AmntSign)</f>
        <v>-37255.64</v>
      </c>
      <c r="X1384" s="167">
        <f>IF(INDEX(TransTypes[],Transactions[[#This Row],[TTR]],TT_COL_LONGORSHORT)="S",
      IF( OR(INDEX(TransTypes[],Transactions[[#This Row],[TTR]],TT_COL_GLFlag)=1, INDEX(TransTypes[], Transactions[[#This Row],[TTR]], TT_COL_ShareTransferFlag)=1),
            Transactions[[#This Row],[CostImpact]]*-1,
            Transactions[[#This Row],[CalCashImpact]]
      ),
     0
)</f>
        <v>0</v>
      </c>
      <c r="Y1384" s="168" t="str">
        <f>VLOOKUP(Transactions[[#This Row],[Symbol]],Symbols[], COLUMN(Symbols[Currency])-COLUMN(Symbols[])+1,FALSE)</f>
        <v>CNY</v>
      </c>
    </row>
    <row r="1385" spans="1:25">
      <c r="A1385" s="155" t="s">
        <v>82</v>
      </c>
      <c r="B1385" s="156">
        <v>42712</v>
      </c>
      <c r="C1385" s="155" t="s">
        <v>113</v>
      </c>
      <c r="D1385" s="155"/>
      <c r="E1385" s="155" t="s">
        <v>684</v>
      </c>
      <c r="F1385" s="157">
        <v>2000</v>
      </c>
      <c r="G1385" s="158">
        <v>24.837</v>
      </c>
      <c r="H1385" s="157">
        <v>20.86</v>
      </c>
      <c r="I1385" s="157"/>
      <c r="J1385" s="159">
        <v>49694.86</v>
      </c>
      <c r="K1385" s="6" t="s">
        <v>641</v>
      </c>
      <c r="L1385" s="20">
        <f>IF(ISNA(MATCH(Transactions[[#This Row],[TransType]],TransTypes[TransType],0)),1,MATCH(Transactions[[#This Row],[TransType]],TransTypes[TransType],0))</f>
        <v>2</v>
      </c>
      <c r="M1385" s="160">
        <f>IF( AND( INDEX(TransTypes[],Transactions[[#This Row],[TTR]],TT_COL_GLFlag)=1, INDEX(TransTypes[],Transactions[[#This Row],[TTR]],TT_COL_LONGORSHORT)="S" ),
      Transactions[[#This Row],[PL]],
      IF(INDEX(TransTypes[],Transactions[[#This Row],[TTR]],TT_COL_LONGORSHORT)="S",0,Transactions[[#This Row],[CalCashImpact]])
)</f>
        <v>-49694.86</v>
      </c>
      <c r="N1385" s="161">
        <f>IF(VLOOKUP(Transactions[[#This Row],[Symbol]],Symbols[],COLUMN(Symbols[Currency])-COLUMN(Symbols[])+1,FALSE)=
       VLOOKUP(Transactions[[#This Row],[Account]],Accounts[],COLUMN(Accounts[Currency])-COLUMN(Accounts[])+1,FALSE),
     Transactions[[#This Row],[OrigCashImpact]],
     0
)</f>
        <v>-49694.86</v>
      </c>
      <c r="O13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2024866.9500000007</v>
      </c>
      <c r="P13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385" s="41">
        <f>ROW()</f>
        <v>1385</v>
      </c>
      <c r="S13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49694.86</v>
      </c>
      <c r="T13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69984.577600000004</v>
      </c>
      <c r="U13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385" s="166">
        <f>IF(INDEX(TransTypes[],Transactions[[#This Row],[TTR]],TT_COL_GLFlag)=1,Transactions[[#This Row],[CalCashImpact]]+Transactions[[#This Row],[CostImpact]],0)</f>
        <v>0</v>
      </c>
      <c r="W1385" s="167">
        <f>Transactions[[#This Row],[Amount]]*INDEX(TransTypes[],Transactions[[#This Row],[TTR]],TT_COL_AmntSign)</f>
        <v>-49694.86</v>
      </c>
      <c r="X1385" s="167">
        <f>IF(INDEX(TransTypes[],Transactions[[#This Row],[TTR]],TT_COL_LONGORSHORT)="S",
      IF( OR(INDEX(TransTypes[],Transactions[[#This Row],[TTR]],TT_COL_GLFlag)=1, INDEX(TransTypes[], Transactions[[#This Row],[TTR]], TT_COL_ShareTransferFlag)=1),
            Transactions[[#This Row],[CostImpact]]*-1,
            Transactions[[#This Row],[CalCashImpact]]
      ),
     0
)</f>
        <v>0</v>
      </c>
      <c r="Y1385" s="168" t="str">
        <f>VLOOKUP(Transactions[[#This Row],[Symbol]],Symbols[], COLUMN(Symbols[Currency])-COLUMN(Symbols[])+1,FALSE)</f>
        <v>CNY</v>
      </c>
    </row>
    <row r="1386" spans="1:25">
      <c r="A1386" s="155" t="s">
        <v>82</v>
      </c>
      <c r="B1386" s="156">
        <v>42712</v>
      </c>
      <c r="C1386" s="155" t="s">
        <v>115</v>
      </c>
      <c r="D1386" s="155"/>
      <c r="E1386" s="155" t="s">
        <v>685</v>
      </c>
      <c r="F1386" s="157">
        <v>7500</v>
      </c>
      <c r="G1386" s="158">
        <v>13.73</v>
      </c>
      <c r="H1386" s="157">
        <v>146.22999999999999</v>
      </c>
      <c r="I1386" s="157"/>
      <c r="J1386" s="159">
        <v>102828.77</v>
      </c>
      <c r="K1386" s="6" t="s">
        <v>641</v>
      </c>
      <c r="L1386" s="20">
        <f>IF(ISNA(MATCH(Transactions[[#This Row],[TransType]],TransTypes[TransType],0)),1,MATCH(Transactions[[#This Row],[TransType]],TransTypes[TransType],0))</f>
        <v>3</v>
      </c>
      <c r="M1386" s="160">
        <f>IF( AND( INDEX(TransTypes[],Transactions[[#This Row],[TTR]],TT_COL_GLFlag)=1, INDEX(TransTypes[],Transactions[[#This Row],[TTR]],TT_COL_LONGORSHORT)="S" ),
      Transactions[[#This Row],[PL]],
      IF(INDEX(TransTypes[],Transactions[[#This Row],[TTR]],TT_COL_LONGORSHORT)="S",0,Transactions[[#This Row],[CalCashImpact]])
)</f>
        <v>102828.77</v>
      </c>
      <c r="N1386" s="161">
        <f>IF(VLOOKUP(Transactions[[#This Row],[Symbol]],Symbols[],COLUMN(Symbols[Currency])-COLUMN(Symbols[])+1,FALSE)=
       VLOOKUP(Transactions[[#This Row],[Account]],Accounts[],COLUMN(Accounts[Currency])-COLUMN(Accounts[])+1,FALSE),
     Transactions[[#This Row],[OrigCashImpact]],
     0
)</f>
        <v>102828.77</v>
      </c>
      <c r="O13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2127695.7200000007</v>
      </c>
      <c r="P13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-7500</v>
      </c>
      <c r="Q13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86" s="41">
        <f>ROW()</f>
        <v>1386</v>
      </c>
      <c r="S13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-98606.994899999991</v>
      </c>
      <c r="T13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7500</v>
      </c>
      <c r="V1386" s="166">
        <f>IF(INDEX(TransTypes[],Transactions[[#This Row],[TTR]],TT_COL_GLFlag)=1,Transactions[[#This Row],[CalCashImpact]]+Transactions[[#This Row],[CostImpact]],0)</f>
        <v>4221.7751000000135</v>
      </c>
      <c r="W1386" s="167">
        <f>Transactions[[#This Row],[Amount]]*INDEX(TransTypes[],Transactions[[#This Row],[TTR]],TT_COL_AmntSign)</f>
        <v>102828.77</v>
      </c>
      <c r="X1386" s="167">
        <f>IF(INDEX(TransTypes[],Transactions[[#This Row],[TTR]],TT_COL_LONGORSHORT)="S",
      IF( OR(INDEX(TransTypes[],Transactions[[#This Row],[TTR]],TT_COL_GLFlag)=1, INDEX(TransTypes[], Transactions[[#This Row],[TTR]], TT_COL_ShareTransferFlag)=1),
            Transactions[[#This Row],[CostImpact]]*-1,
            Transactions[[#This Row],[CalCashImpact]]
      ),
     0
)</f>
        <v>0</v>
      </c>
      <c r="Y1386" s="168" t="str">
        <f>VLOOKUP(Transactions[[#This Row],[Symbol]],Symbols[], COLUMN(Symbols[Currency])-COLUMN(Symbols[])+1,FALSE)</f>
        <v>CNY</v>
      </c>
    </row>
    <row r="1387" spans="1:25">
      <c r="A1387" s="155" t="s">
        <v>82</v>
      </c>
      <c r="B1387" s="156">
        <v>42713</v>
      </c>
      <c r="C1387" s="155" t="s">
        <v>115</v>
      </c>
      <c r="D1387" s="155"/>
      <c r="E1387" s="155" t="s">
        <v>715</v>
      </c>
      <c r="F1387" s="157">
        <v>500000</v>
      </c>
      <c r="G1387" s="158">
        <v>0.43099999999999999</v>
      </c>
      <c r="H1387" s="157">
        <v>86.2</v>
      </c>
      <c r="I1387" s="157"/>
      <c r="J1387" s="159">
        <v>215413.8</v>
      </c>
      <c r="K1387" s="6" t="s">
        <v>641</v>
      </c>
      <c r="L1387" s="20">
        <f>IF(ISNA(MATCH(Transactions[[#This Row],[TransType]],TransTypes[TransType],0)),1,MATCH(Transactions[[#This Row],[TransType]],TransTypes[TransType],0))</f>
        <v>3</v>
      </c>
      <c r="M1387" s="160">
        <f>IF( AND( INDEX(TransTypes[],Transactions[[#This Row],[TTR]],TT_COL_GLFlag)=1, INDEX(TransTypes[],Transactions[[#This Row],[TTR]],TT_COL_LONGORSHORT)="S" ),
      Transactions[[#This Row],[PL]],
      IF(INDEX(TransTypes[],Transactions[[#This Row],[TTR]],TT_COL_LONGORSHORT)="S",0,Transactions[[#This Row],[CalCashImpact]])
)</f>
        <v>215413.8</v>
      </c>
      <c r="N1387" s="161">
        <f>IF(VLOOKUP(Transactions[[#This Row],[Symbol]],Symbols[],COLUMN(Symbols[Currency])-COLUMN(Symbols[])+1,FALSE)=
       VLOOKUP(Transactions[[#This Row],[Account]],Accounts[],COLUMN(Accounts[Currency])-COLUMN(Accounts[])+1,FALSE),
     Transactions[[#This Row],[OrigCashImpact]],
     0
)</f>
        <v>215413.8</v>
      </c>
      <c r="O13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2343109.5200000005</v>
      </c>
      <c r="P13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-500000</v>
      </c>
      <c r="Q13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2010000</v>
      </c>
      <c r="R1387" s="41">
        <f>ROW()</f>
        <v>1387</v>
      </c>
      <c r="S13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-204378.49492705116</v>
      </c>
      <c r="T13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821601.54960674571</v>
      </c>
      <c r="U13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2510000</v>
      </c>
      <c r="V1387" s="166">
        <f>IF(INDEX(TransTypes[],Transactions[[#This Row],[TTR]],TT_COL_GLFlag)=1,Transactions[[#This Row],[CalCashImpact]]+Transactions[[#This Row],[CostImpact]],0)</f>
        <v>11035.305072948831</v>
      </c>
      <c r="W1387" s="167">
        <f>Transactions[[#This Row],[Amount]]*INDEX(TransTypes[],Transactions[[#This Row],[TTR]],TT_COL_AmntSign)</f>
        <v>215413.8</v>
      </c>
      <c r="X1387" s="167">
        <f>IF(INDEX(TransTypes[],Transactions[[#This Row],[TTR]],TT_COL_LONGORSHORT)="S",
      IF( OR(INDEX(TransTypes[],Transactions[[#This Row],[TTR]],TT_COL_GLFlag)=1, INDEX(TransTypes[], Transactions[[#This Row],[TTR]], TT_COL_ShareTransferFlag)=1),
            Transactions[[#This Row],[CostImpact]]*-1,
            Transactions[[#This Row],[CalCashImpact]]
      ),
     0
)</f>
        <v>0</v>
      </c>
      <c r="Y1387" s="168" t="str">
        <f>VLOOKUP(Transactions[[#This Row],[Symbol]],Symbols[], COLUMN(Symbols[Currency])-COLUMN(Symbols[])+1,FALSE)</f>
        <v>CNY</v>
      </c>
    </row>
    <row r="1388" spans="1:25">
      <c r="A1388" s="155" t="s">
        <v>82</v>
      </c>
      <c r="B1388" s="156">
        <v>42713</v>
      </c>
      <c r="C1388" s="155" t="s">
        <v>113</v>
      </c>
      <c r="D1388" s="155"/>
      <c r="E1388" s="155" t="s">
        <v>644</v>
      </c>
      <c r="F1388" s="157">
        <v>1000</v>
      </c>
      <c r="G1388" s="158">
        <v>55.42</v>
      </c>
      <c r="H1388" s="157">
        <v>22.17</v>
      </c>
      <c r="I1388" s="157"/>
      <c r="J1388" s="159">
        <v>55442.17</v>
      </c>
      <c r="K1388" s="6" t="s">
        <v>641</v>
      </c>
      <c r="L1388" s="20">
        <f>IF(ISNA(MATCH(Transactions[[#This Row],[TransType]],TransTypes[TransType],0)),1,MATCH(Transactions[[#This Row],[TransType]],TransTypes[TransType],0))</f>
        <v>2</v>
      </c>
      <c r="M1388" s="160">
        <f>IF( AND( INDEX(TransTypes[],Transactions[[#This Row],[TTR]],TT_COL_GLFlag)=1, INDEX(TransTypes[],Transactions[[#This Row],[TTR]],TT_COL_LONGORSHORT)="S" ),
      Transactions[[#This Row],[PL]],
      IF(INDEX(TransTypes[],Transactions[[#This Row],[TTR]],TT_COL_LONGORSHORT)="S",0,Transactions[[#This Row],[CalCashImpact]])
)</f>
        <v>-55442.17</v>
      </c>
      <c r="N1388" s="161">
        <f>IF(VLOOKUP(Transactions[[#This Row],[Symbol]],Symbols[],COLUMN(Symbols[Currency])-COLUMN(Symbols[])+1,FALSE)=
       VLOOKUP(Transactions[[#This Row],[Account]],Accounts[],COLUMN(Accounts[Currency])-COLUMN(Accounts[])+1,FALSE),
     Transactions[[#This Row],[OrigCashImpact]],
     0
)</f>
        <v>-55442.17</v>
      </c>
      <c r="O13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2287667.3500000006</v>
      </c>
      <c r="P13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388" s="41">
        <f>ROW()</f>
        <v>1388</v>
      </c>
      <c r="S13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55442.17</v>
      </c>
      <c r="T13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306380.58058779762</v>
      </c>
      <c r="U13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388" s="166">
        <f>IF(INDEX(TransTypes[],Transactions[[#This Row],[TTR]],TT_COL_GLFlag)=1,Transactions[[#This Row],[CalCashImpact]]+Transactions[[#This Row],[CostImpact]],0)</f>
        <v>0</v>
      </c>
      <c r="W1388" s="167">
        <f>Transactions[[#This Row],[Amount]]*INDEX(TransTypes[],Transactions[[#This Row],[TTR]],TT_COL_AmntSign)</f>
        <v>-55442.17</v>
      </c>
      <c r="X1388" s="167">
        <f>IF(INDEX(TransTypes[],Transactions[[#This Row],[TTR]],TT_COL_LONGORSHORT)="S",
      IF( OR(INDEX(TransTypes[],Transactions[[#This Row],[TTR]],TT_COL_GLFlag)=1, INDEX(TransTypes[], Transactions[[#This Row],[TTR]], TT_COL_ShareTransferFlag)=1),
            Transactions[[#This Row],[CostImpact]]*-1,
            Transactions[[#This Row],[CalCashImpact]]
      ),
     0
)</f>
        <v>0</v>
      </c>
      <c r="Y1388" s="168" t="str">
        <f>VLOOKUP(Transactions[[#This Row],[Symbol]],Symbols[], COLUMN(Symbols[Currency])-COLUMN(Symbols[])+1,FALSE)</f>
        <v>CNY</v>
      </c>
    </row>
    <row r="1389" spans="1:25">
      <c r="A1389" s="155" t="s">
        <v>82</v>
      </c>
      <c r="B1389" s="156">
        <v>42713</v>
      </c>
      <c r="C1389" s="155" t="s">
        <v>115</v>
      </c>
      <c r="D1389" s="155"/>
      <c r="E1389" s="155" t="s">
        <v>675</v>
      </c>
      <c r="F1389" s="157">
        <v>70000</v>
      </c>
      <c r="G1389" s="158">
        <v>1.2490000000000001</v>
      </c>
      <c r="H1389" s="157">
        <v>34.97</v>
      </c>
      <c r="I1389" s="157"/>
      <c r="J1389" s="159">
        <v>87395.03</v>
      </c>
      <c r="K1389" s="6" t="s">
        <v>641</v>
      </c>
      <c r="L1389" s="20">
        <f>IF(ISNA(MATCH(Transactions[[#This Row],[TransType]],TransTypes[TransType],0)),1,MATCH(Transactions[[#This Row],[TransType]],TransTypes[TransType],0))</f>
        <v>3</v>
      </c>
      <c r="M1389" s="160">
        <f>IF( AND( INDEX(TransTypes[],Transactions[[#This Row],[TTR]],TT_COL_GLFlag)=1, INDEX(TransTypes[],Transactions[[#This Row],[TTR]],TT_COL_LONGORSHORT)="S" ),
      Transactions[[#This Row],[PL]],
      IF(INDEX(TransTypes[],Transactions[[#This Row],[TTR]],TT_COL_LONGORSHORT)="S",0,Transactions[[#This Row],[CalCashImpact]])
)</f>
        <v>87395.03</v>
      </c>
      <c r="N1389" s="161">
        <f>IF(VLOOKUP(Transactions[[#This Row],[Symbol]],Symbols[],COLUMN(Symbols[Currency])-COLUMN(Symbols[])+1,FALSE)=
       VLOOKUP(Transactions[[#This Row],[Account]],Accounts[],COLUMN(Accounts[Currency])-COLUMN(Accounts[])+1,FALSE),
     Transactions[[#This Row],[OrigCashImpact]],
     0
)</f>
        <v>87395.03</v>
      </c>
      <c r="O13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2375062.3800000008</v>
      </c>
      <c r="P13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-70000</v>
      </c>
      <c r="Q13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389" s="41">
        <f>ROW()</f>
        <v>1389</v>
      </c>
      <c r="S13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-68529.021576576575</v>
      </c>
      <c r="T13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1957.9720450450404</v>
      </c>
      <c r="U13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72000</v>
      </c>
      <c r="V1389" s="166">
        <f>IF(INDEX(TransTypes[],Transactions[[#This Row],[TTR]],TT_COL_GLFlag)=1,Transactions[[#This Row],[CalCashImpact]]+Transactions[[#This Row],[CostImpact]],0)</f>
        <v>18866.008423423424</v>
      </c>
      <c r="W1389" s="167">
        <f>Transactions[[#This Row],[Amount]]*INDEX(TransTypes[],Transactions[[#This Row],[TTR]],TT_COL_AmntSign)</f>
        <v>87395.03</v>
      </c>
      <c r="X1389" s="167">
        <f>IF(INDEX(TransTypes[],Transactions[[#This Row],[TTR]],TT_COL_LONGORSHORT)="S",
      IF( OR(INDEX(TransTypes[],Transactions[[#This Row],[TTR]],TT_COL_GLFlag)=1, INDEX(TransTypes[], Transactions[[#This Row],[TTR]], TT_COL_ShareTransferFlag)=1),
            Transactions[[#This Row],[CostImpact]]*-1,
            Transactions[[#This Row],[CalCashImpact]]
      ),
     0
)</f>
        <v>0</v>
      </c>
      <c r="Y1389" s="168" t="str">
        <f>VLOOKUP(Transactions[[#This Row],[Symbol]],Symbols[], COLUMN(Symbols[Currency])-COLUMN(Symbols[])+1,FALSE)</f>
        <v>CNY</v>
      </c>
    </row>
    <row r="1390" spans="1:25">
      <c r="A1390" s="155" t="s">
        <v>82</v>
      </c>
      <c r="B1390" s="156">
        <v>42713</v>
      </c>
      <c r="C1390" s="155" t="s">
        <v>113</v>
      </c>
      <c r="D1390" s="155"/>
      <c r="E1390" s="155" t="s">
        <v>704</v>
      </c>
      <c r="F1390" s="157">
        <v>2000</v>
      </c>
      <c r="G1390" s="158">
        <v>21.94</v>
      </c>
      <c r="H1390" s="157">
        <v>17.55</v>
      </c>
      <c r="I1390" s="157"/>
      <c r="J1390" s="159">
        <v>43897.55</v>
      </c>
      <c r="K1390" s="6" t="s">
        <v>641</v>
      </c>
      <c r="L1390" s="20">
        <f>IF(ISNA(MATCH(Transactions[[#This Row],[TransType]],TransTypes[TransType],0)),1,MATCH(Transactions[[#This Row],[TransType]],TransTypes[TransType],0))</f>
        <v>2</v>
      </c>
      <c r="M1390" s="160">
        <f>IF( AND( INDEX(TransTypes[],Transactions[[#This Row],[TTR]],TT_COL_GLFlag)=1, INDEX(TransTypes[],Transactions[[#This Row],[TTR]],TT_COL_LONGORSHORT)="S" ),
      Transactions[[#This Row],[PL]],
      IF(INDEX(TransTypes[],Transactions[[#This Row],[TTR]],TT_COL_LONGORSHORT)="S",0,Transactions[[#This Row],[CalCashImpact]])
)</f>
        <v>-43897.55</v>
      </c>
      <c r="N1390" s="161">
        <f>IF(VLOOKUP(Transactions[[#This Row],[Symbol]],Symbols[],COLUMN(Symbols[Currency])-COLUMN(Symbols[])+1,FALSE)=
       VLOOKUP(Transactions[[#This Row],[Account]],Accounts[],COLUMN(Accounts[Currency])-COLUMN(Accounts[])+1,FALSE),
     Transactions[[#This Row],[OrigCashImpact]],
     0
)</f>
        <v>-43897.55</v>
      </c>
      <c r="O13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2331164.8300000005</v>
      </c>
      <c r="P13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3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390" s="41">
        <f>ROW()</f>
        <v>1390</v>
      </c>
      <c r="S13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43897.55</v>
      </c>
      <c r="T13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218950.53999999998</v>
      </c>
      <c r="U13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390" s="166">
        <f>IF(INDEX(TransTypes[],Transactions[[#This Row],[TTR]],TT_COL_GLFlag)=1,Transactions[[#This Row],[CalCashImpact]]+Transactions[[#This Row],[CostImpact]],0)</f>
        <v>0</v>
      </c>
      <c r="W1390" s="167">
        <f>Transactions[[#This Row],[Amount]]*INDEX(TransTypes[],Transactions[[#This Row],[TTR]],TT_COL_AmntSign)</f>
        <v>-43897.55</v>
      </c>
      <c r="X1390" s="167">
        <f>IF(INDEX(TransTypes[],Transactions[[#This Row],[TTR]],TT_COL_LONGORSHORT)="S",
      IF( OR(INDEX(TransTypes[],Transactions[[#This Row],[TTR]],TT_COL_GLFlag)=1, INDEX(TransTypes[], Transactions[[#This Row],[TTR]], TT_COL_ShareTransferFlag)=1),
            Transactions[[#This Row],[CostImpact]]*-1,
            Transactions[[#This Row],[CalCashImpact]]
      ),
     0
)</f>
        <v>0</v>
      </c>
      <c r="Y1390" s="168" t="str">
        <f>VLOOKUP(Transactions[[#This Row],[Symbol]],Symbols[], COLUMN(Symbols[Currency])-COLUMN(Symbols[])+1,FALSE)</f>
        <v>CNY</v>
      </c>
    </row>
    <row r="1391" spans="1:25">
      <c r="A1391" s="155" t="s">
        <v>82</v>
      </c>
      <c r="B1391" s="156">
        <v>42713</v>
      </c>
      <c r="C1391" s="155" t="s">
        <v>113</v>
      </c>
      <c r="D1391" s="155"/>
      <c r="E1391" s="155" t="s">
        <v>468</v>
      </c>
      <c r="F1391" s="157">
        <v>300</v>
      </c>
      <c r="G1391" s="158">
        <v>36.700000000000003</v>
      </c>
      <c r="H1391" s="157">
        <v>5.22</v>
      </c>
      <c r="I1391" s="157"/>
      <c r="J1391" s="159">
        <v>11015.22</v>
      </c>
      <c r="K1391" s="6" t="s">
        <v>641</v>
      </c>
      <c r="L1391" s="20">
        <f>IF(ISNA(MATCH(Transactions[[#This Row],[TransType]],TransTypes[TransType],0)),1,MATCH(Transactions[[#This Row],[TransType]],TransTypes[TransType],0))</f>
        <v>2</v>
      </c>
      <c r="M1391" s="160">
        <f>IF( AND( INDEX(TransTypes[],Transactions[[#This Row],[TTR]],TT_COL_GLFlag)=1, INDEX(TransTypes[],Transactions[[#This Row],[TTR]],TT_COL_LONGORSHORT)="S" ),
      Transactions[[#This Row],[PL]],
      IF(INDEX(TransTypes[],Transactions[[#This Row],[TTR]],TT_COL_LONGORSHORT)="S",0,Transactions[[#This Row],[CalCashImpact]])
)</f>
        <v>-11015.22</v>
      </c>
      <c r="N1391" s="161">
        <f>IF(VLOOKUP(Transactions[[#This Row],[Symbol]],Symbols[],COLUMN(Symbols[Currency])-COLUMN(Symbols[])+1,FALSE)=
       VLOOKUP(Transactions[[#This Row],[Account]],Accounts[],COLUMN(Accounts[Currency])-COLUMN(Accounts[])+1,FALSE),
     Transactions[[#This Row],[OrigCashImpact]],
     0
)</f>
        <v>-11015.22</v>
      </c>
      <c r="O13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2320149.6100000008</v>
      </c>
      <c r="P13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13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2300</v>
      </c>
      <c r="R1391" s="41">
        <f>ROW()</f>
        <v>1391</v>
      </c>
      <c r="S13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11015.22</v>
      </c>
      <c r="T13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85306.41</v>
      </c>
      <c r="U13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2300</v>
      </c>
      <c r="V1391" s="166">
        <f>IF(INDEX(TransTypes[],Transactions[[#This Row],[TTR]],TT_COL_GLFlag)=1,Transactions[[#This Row],[CalCashImpact]]+Transactions[[#This Row],[CostImpact]],0)</f>
        <v>0</v>
      </c>
      <c r="W1391" s="167">
        <f>Transactions[[#This Row],[Amount]]*INDEX(TransTypes[],Transactions[[#This Row],[TTR]],TT_COL_AmntSign)</f>
        <v>-11015.22</v>
      </c>
      <c r="X1391" s="167">
        <f>IF(INDEX(TransTypes[],Transactions[[#This Row],[TTR]],TT_COL_LONGORSHORT)="S",
      IF( OR(INDEX(TransTypes[],Transactions[[#This Row],[TTR]],TT_COL_GLFlag)=1, INDEX(TransTypes[], Transactions[[#This Row],[TTR]], TT_COL_ShareTransferFlag)=1),
            Transactions[[#This Row],[CostImpact]]*-1,
            Transactions[[#This Row],[CalCashImpact]]
      ),
     0
)</f>
        <v>0</v>
      </c>
      <c r="Y1391" s="168" t="str">
        <f>VLOOKUP(Transactions[[#This Row],[Symbol]],Symbols[], COLUMN(Symbols[Currency])-COLUMN(Symbols[])+1,FALSE)</f>
        <v>CNY</v>
      </c>
    </row>
    <row r="1392" spans="1:25">
      <c r="A1392" s="155" t="s">
        <v>82</v>
      </c>
      <c r="B1392" s="156">
        <v>42713</v>
      </c>
      <c r="C1392" s="155" t="s">
        <v>113</v>
      </c>
      <c r="D1392" s="155"/>
      <c r="E1392" s="155" t="s">
        <v>468</v>
      </c>
      <c r="F1392" s="157">
        <v>700</v>
      </c>
      <c r="G1392" s="158">
        <v>36.68</v>
      </c>
      <c r="H1392" s="157">
        <v>10.78</v>
      </c>
      <c r="I1392" s="157"/>
      <c r="J1392" s="159">
        <v>25686.78</v>
      </c>
      <c r="K1392" s="6" t="s">
        <v>641</v>
      </c>
      <c r="L1392" s="20">
        <f>IF(ISNA(MATCH(Transactions[[#This Row],[TransType]],TransTypes[TransType],0)),1,MATCH(Transactions[[#This Row],[TransType]],TransTypes[TransType],0))</f>
        <v>2</v>
      </c>
      <c r="M1392" s="160">
        <f>IF( AND( INDEX(TransTypes[],Transactions[[#This Row],[TTR]],TT_COL_GLFlag)=1, INDEX(TransTypes[],Transactions[[#This Row],[TTR]],TT_COL_LONGORSHORT)="S" ),
      Transactions[[#This Row],[PL]],
      IF(INDEX(TransTypes[],Transactions[[#This Row],[TTR]],TT_COL_LONGORSHORT)="S",0,Transactions[[#This Row],[CalCashImpact]])
)</f>
        <v>-25686.78</v>
      </c>
      <c r="N1392" s="161">
        <f>IF(VLOOKUP(Transactions[[#This Row],[Symbol]],Symbols[],COLUMN(Symbols[Currency])-COLUMN(Symbols[])+1,FALSE)=
       VLOOKUP(Transactions[[#This Row],[Account]],Accounts[],COLUMN(Accounts[Currency])-COLUMN(Accounts[])+1,FALSE),
     Transactions[[#This Row],[OrigCashImpact]],
     0
)</f>
        <v>-25686.78</v>
      </c>
      <c r="O13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2294462.8300000005</v>
      </c>
      <c r="P13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v>
      </c>
      <c r="Q13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392" s="41">
        <f>ROW()</f>
        <v>1392</v>
      </c>
      <c r="S13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25686.78</v>
      </c>
      <c r="T13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110993.19</v>
      </c>
      <c r="U13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392" s="166">
        <f>IF(INDEX(TransTypes[],Transactions[[#This Row],[TTR]],TT_COL_GLFlag)=1,Transactions[[#This Row],[CalCashImpact]]+Transactions[[#This Row],[CostImpact]],0)</f>
        <v>0</v>
      </c>
      <c r="W1392" s="167">
        <f>Transactions[[#This Row],[Amount]]*INDEX(TransTypes[],Transactions[[#This Row],[TTR]],TT_COL_AmntSign)</f>
        <v>-25686.78</v>
      </c>
      <c r="X1392" s="167">
        <f>IF(INDEX(TransTypes[],Transactions[[#This Row],[TTR]],TT_COL_LONGORSHORT)="S",
      IF( OR(INDEX(TransTypes[],Transactions[[#This Row],[TTR]],TT_COL_GLFlag)=1, INDEX(TransTypes[], Transactions[[#This Row],[TTR]], TT_COL_ShareTransferFlag)=1),
            Transactions[[#This Row],[CostImpact]]*-1,
            Transactions[[#This Row],[CalCashImpact]]
      ),
     0
)</f>
        <v>0</v>
      </c>
      <c r="Y1392" s="168" t="str">
        <f>VLOOKUP(Transactions[[#This Row],[Symbol]],Symbols[], COLUMN(Symbols[Currency])-COLUMN(Symbols[])+1,FALSE)</f>
        <v>CNY</v>
      </c>
    </row>
    <row r="1393" spans="1:25">
      <c r="A1393" s="155" t="s">
        <v>82</v>
      </c>
      <c r="B1393" s="156">
        <v>42713</v>
      </c>
      <c r="C1393" s="155" t="s">
        <v>115</v>
      </c>
      <c r="D1393" s="155"/>
      <c r="E1393" s="155" t="s">
        <v>718</v>
      </c>
      <c r="F1393" s="157">
        <v>1000</v>
      </c>
      <c r="G1393" s="158">
        <v>19.170000000000002</v>
      </c>
      <c r="H1393" s="157">
        <v>27.22</v>
      </c>
      <c r="I1393" s="157"/>
      <c r="J1393" s="159">
        <v>19142.78</v>
      </c>
      <c r="K1393" s="6" t="s">
        <v>641</v>
      </c>
      <c r="L1393" s="20">
        <f>IF(ISNA(MATCH(Transactions[[#This Row],[TransType]],TransTypes[TransType],0)),1,MATCH(Transactions[[#This Row],[TransType]],TransTypes[TransType],0))</f>
        <v>3</v>
      </c>
      <c r="M1393" s="160">
        <f>IF( AND( INDEX(TransTypes[],Transactions[[#This Row],[TTR]],TT_COL_GLFlag)=1, INDEX(TransTypes[],Transactions[[#This Row],[TTR]],TT_COL_LONGORSHORT)="S" ),
      Transactions[[#This Row],[PL]],
      IF(INDEX(TransTypes[],Transactions[[#This Row],[TTR]],TT_COL_LONGORSHORT)="S",0,Transactions[[#This Row],[CalCashImpact]])
)</f>
        <v>19142.78</v>
      </c>
      <c r="N1393" s="161">
        <f>IF(VLOOKUP(Transactions[[#This Row],[Symbol]],Symbols[],COLUMN(Symbols[Currency])-COLUMN(Symbols[])+1,FALSE)=
       VLOOKUP(Transactions[[#This Row],[Account]],Accounts[],COLUMN(Accounts[Currency])-COLUMN(Accounts[])+1,FALSE),
     Transactions[[#This Row],[OrigCashImpact]],
     0
)</f>
        <v>19142.78</v>
      </c>
      <c r="O13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2313605.6100000008</v>
      </c>
      <c r="P13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3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93" s="41">
        <f>ROW()</f>
        <v>1393</v>
      </c>
      <c r="S13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-19118.027500000004</v>
      </c>
      <c r="T13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393" s="166">
        <f>IF(INDEX(TransTypes[],Transactions[[#This Row],[TTR]],TT_COL_GLFlag)=1,Transactions[[#This Row],[CalCashImpact]]+Transactions[[#This Row],[CostImpact]],0)</f>
        <v>24.752499999995052</v>
      </c>
      <c r="W1393" s="167">
        <f>Transactions[[#This Row],[Amount]]*INDEX(TransTypes[],Transactions[[#This Row],[TTR]],TT_COL_AmntSign)</f>
        <v>19142.78</v>
      </c>
      <c r="X1393" s="167">
        <f>IF(INDEX(TransTypes[],Transactions[[#This Row],[TTR]],TT_COL_LONGORSHORT)="S",
      IF( OR(INDEX(TransTypes[],Transactions[[#This Row],[TTR]],TT_COL_GLFlag)=1, INDEX(TransTypes[], Transactions[[#This Row],[TTR]], TT_COL_ShareTransferFlag)=1),
            Transactions[[#This Row],[CostImpact]]*-1,
            Transactions[[#This Row],[CalCashImpact]]
      ),
     0
)</f>
        <v>0</v>
      </c>
      <c r="Y1393" s="168" t="str">
        <f>VLOOKUP(Transactions[[#This Row],[Symbol]],Symbols[], COLUMN(Symbols[Currency])-COLUMN(Symbols[])+1,FALSE)</f>
        <v>CNY</v>
      </c>
    </row>
    <row r="1394" spans="1:25">
      <c r="A1394" s="155" t="s">
        <v>82</v>
      </c>
      <c r="B1394" s="156">
        <v>42713</v>
      </c>
      <c r="C1394" s="155" t="s">
        <v>152</v>
      </c>
      <c r="D1394" s="155"/>
      <c r="E1394" s="155" t="s">
        <v>210</v>
      </c>
      <c r="F1394" s="157">
        <v>175749.06</v>
      </c>
      <c r="G1394" s="158">
        <f>Transactions[[#This Row],[Amount]]/Transactions[[#This Row],[Qty]]</f>
        <v>1.1260881281527195</v>
      </c>
      <c r="H1394" s="157"/>
      <c r="I1394" s="157"/>
      <c r="J1394" s="159">
        <v>197908.93</v>
      </c>
      <c r="K1394" s="6" t="s">
        <v>641</v>
      </c>
      <c r="L1394" s="20">
        <f>IF(ISNA(MATCH(Transactions[[#This Row],[TransType]],TransTypes[TransType],0)),1,MATCH(Transactions[[#This Row],[TransType]],TransTypes[TransType],0))</f>
        <v>15</v>
      </c>
      <c r="M1394" s="160">
        <f>IF( AND( INDEX(TransTypes[],Transactions[[#This Row],[TTR]],TT_COL_GLFlag)=1, INDEX(TransTypes[],Transactions[[#This Row],[TTR]],TT_COL_LONGORSHORT)="S" ),
      Transactions[[#This Row],[PL]],
      IF(INDEX(TransTypes[],Transactions[[#This Row],[TTR]],TT_COL_LONGORSHORT)="S",0,Transactions[[#This Row],[CalCashImpact]])
)</f>
        <v>197908.93</v>
      </c>
      <c r="N1394" s="161">
        <f>IF(VLOOKUP(Transactions[[#This Row],[Symbol]],Symbols[],COLUMN(Symbols[Currency])-COLUMN(Symbols[])+1,FALSE)=
       VLOOKUP(Transactions[[#This Row],[Account]],Accounts[],COLUMN(Accounts[Currency])-COLUMN(Accounts[])+1,FALSE),
     Transactions[[#This Row],[OrigCashImpact]],
     0
)</f>
        <v>0</v>
      </c>
      <c r="O13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2313605.6100000008</v>
      </c>
      <c r="P13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94" s="41">
        <f>ROW()</f>
        <v>1394</v>
      </c>
      <c r="S13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94" s="166">
        <f>IF(INDEX(TransTypes[],Transactions[[#This Row],[TTR]],TT_COL_GLFlag)=1,Transactions[[#This Row],[CalCashImpact]]+Transactions[[#This Row],[CostImpact]],0)</f>
        <v>0</v>
      </c>
      <c r="W1394" s="167">
        <f>Transactions[[#This Row],[Amount]]*INDEX(TransTypes[],Transactions[[#This Row],[TTR]],TT_COL_AmntSign)</f>
        <v>197908.93</v>
      </c>
      <c r="X1394" s="167">
        <f>IF(INDEX(TransTypes[],Transactions[[#This Row],[TTR]],TT_COL_LONGORSHORT)="S",
      IF( OR(INDEX(TransTypes[],Transactions[[#This Row],[TTR]],TT_COL_GLFlag)=1, INDEX(TransTypes[], Transactions[[#This Row],[TTR]], TT_COL_ShareTransferFlag)=1),
            Transactions[[#This Row],[CostImpact]]*-1,
            Transactions[[#This Row],[CalCashImpact]]
      ),
     0
)</f>
        <v>0</v>
      </c>
      <c r="Y1394" s="168" t="str">
        <f>VLOOKUP(Transactions[[#This Row],[Symbol]],Symbols[], COLUMN(Symbols[Currency])-COLUMN(Symbols[])+1,FALSE)</f>
        <v>HKD</v>
      </c>
    </row>
    <row r="1395" spans="1:25">
      <c r="A1395" s="155" t="s">
        <v>82</v>
      </c>
      <c r="B1395" s="156">
        <v>42713</v>
      </c>
      <c r="C1395" s="155" t="s">
        <v>238</v>
      </c>
      <c r="D1395" s="155"/>
      <c r="E1395" s="155" t="s">
        <v>211</v>
      </c>
      <c r="F1395" s="157">
        <v>175749.06</v>
      </c>
      <c r="G1395" s="158">
        <v>1</v>
      </c>
      <c r="H1395" s="157"/>
      <c r="I1395" s="157"/>
      <c r="J1395" s="159">
        <v>175749.06</v>
      </c>
      <c r="K1395" s="6" t="s">
        <v>719</v>
      </c>
      <c r="L1395" s="20">
        <f>IF(ISNA(MATCH(Transactions[[#This Row],[TransType]],TransTypes[TransType],0)),1,MATCH(Transactions[[#This Row],[TransType]],TransTypes[TransType],0))</f>
        <v>16</v>
      </c>
      <c r="M1395" s="160">
        <f>IF( AND( INDEX(TransTypes[],Transactions[[#This Row],[TTR]],TT_COL_GLFlag)=1, INDEX(TransTypes[],Transactions[[#This Row],[TTR]],TT_COL_LONGORSHORT)="S" ),
      Transactions[[#This Row],[PL]],
      IF(INDEX(TransTypes[],Transactions[[#This Row],[TTR]],TT_COL_LONGORSHORT)="S",0,Transactions[[#This Row],[CalCashImpact]])
)</f>
        <v>-175749.06</v>
      </c>
      <c r="N1395" s="161">
        <f>IF(VLOOKUP(Transactions[[#This Row],[Symbol]],Symbols[],COLUMN(Symbols[Currency])-COLUMN(Symbols[])+1,FALSE)=
       VLOOKUP(Transactions[[#This Row],[Account]],Accounts[],COLUMN(Accounts[Currency])-COLUMN(Accounts[])+1,FALSE),
     Transactions[[#This Row],[OrigCashImpact]],
     0
)</f>
        <v>-175749.06</v>
      </c>
      <c r="O13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2137856.5500000007</v>
      </c>
      <c r="P13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3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395" s="41">
        <f>ROW()</f>
        <v>1395</v>
      </c>
      <c r="S13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3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3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395" s="166">
        <f>IF(INDEX(TransTypes[],Transactions[[#This Row],[TTR]],TT_COL_GLFlag)=1,Transactions[[#This Row],[CalCashImpact]]+Transactions[[#This Row],[CostImpact]],0)</f>
        <v>0</v>
      </c>
      <c r="W1395" s="167">
        <f>Transactions[[#This Row],[Amount]]*INDEX(TransTypes[],Transactions[[#This Row],[TTR]],TT_COL_AmntSign)</f>
        <v>-175749.06</v>
      </c>
      <c r="X1395" s="167">
        <f>IF(INDEX(TransTypes[],Transactions[[#This Row],[TTR]],TT_COL_LONGORSHORT)="S",
      IF( OR(INDEX(TransTypes[],Transactions[[#This Row],[TTR]],TT_COL_GLFlag)=1, INDEX(TransTypes[], Transactions[[#This Row],[TTR]], TT_COL_ShareTransferFlag)=1),
            Transactions[[#This Row],[CostImpact]]*-1,
            Transactions[[#This Row],[CalCashImpact]]
      ),
     0
)</f>
        <v>0</v>
      </c>
      <c r="Y1395" s="168" t="str">
        <f>VLOOKUP(Transactions[[#This Row],[Symbol]],Symbols[], COLUMN(Symbols[Currency])-COLUMN(Symbols[])+1,FALSE)</f>
        <v>CNY</v>
      </c>
    </row>
    <row r="1396" spans="1:25">
      <c r="A1396" s="155" t="s">
        <v>82</v>
      </c>
      <c r="B1396" s="156">
        <v>42713</v>
      </c>
      <c r="C1396" s="155" t="s">
        <v>113</v>
      </c>
      <c r="D1396" s="155"/>
      <c r="E1396" s="155" t="s">
        <v>258</v>
      </c>
      <c r="F1396" s="157">
        <v>30000</v>
      </c>
      <c r="G1396" s="158">
        <v>6.57</v>
      </c>
      <c r="H1396" s="157">
        <v>808.93</v>
      </c>
      <c r="I1396" s="157"/>
      <c r="J1396" s="159">
        <v>197908.93</v>
      </c>
      <c r="K1396" s="6" t="s">
        <v>641</v>
      </c>
      <c r="L1396" s="20">
        <f>IF(ISNA(MATCH(Transactions[[#This Row],[TransType]],TransTypes[TransType],0)),1,MATCH(Transactions[[#This Row],[TransType]],TransTypes[TransType],0))</f>
        <v>2</v>
      </c>
      <c r="M1396" s="160">
        <f>IF( AND( INDEX(TransTypes[],Transactions[[#This Row],[TTR]],TT_COL_GLFlag)=1, INDEX(TransTypes[],Transactions[[#This Row],[TTR]],TT_COL_LONGORSHORT)="S" ),
      Transactions[[#This Row],[PL]],
      IF(INDEX(TransTypes[],Transactions[[#This Row],[TTR]],TT_COL_LONGORSHORT)="S",0,Transactions[[#This Row],[CalCashImpact]])
)</f>
        <v>-197908.93</v>
      </c>
      <c r="N1396" s="161">
        <f>IF(VLOOKUP(Transactions[[#This Row],[Symbol]],Symbols[],COLUMN(Symbols[Currency])-COLUMN(Symbols[])+1,FALSE)=
       VLOOKUP(Transactions[[#This Row],[Account]],Accounts[],COLUMN(Accounts[Currency])-COLUMN(Accounts[])+1,FALSE),
     Transactions[[#This Row],[OrigCashImpact]],
     0
)</f>
        <v>0</v>
      </c>
      <c r="O13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2137856.5500000007</v>
      </c>
      <c r="P13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v>
      </c>
      <c r="Q13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v>
      </c>
      <c r="R1396" s="41">
        <f>ROW()</f>
        <v>1396</v>
      </c>
      <c r="S13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197908.93</v>
      </c>
      <c r="T13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197908.93</v>
      </c>
      <c r="U13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v>
      </c>
      <c r="V1396" s="166">
        <f>IF(INDEX(TransTypes[],Transactions[[#This Row],[TTR]],TT_COL_GLFlag)=1,Transactions[[#This Row],[CalCashImpact]]+Transactions[[#This Row],[CostImpact]],0)</f>
        <v>0</v>
      </c>
      <c r="W1396" s="167">
        <f>Transactions[[#This Row],[Amount]]*INDEX(TransTypes[],Transactions[[#This Row],[TTR]],TT_COL_AmntSign)</f>
        <v>-197908.93</v>
      </c>
      <c r="X1396" s="167">
        <f>IF(INDEX(TransTypes[],Transactions[[#This Row],[TTR]],TT_COL_LONGORSHORT)="S",
      IF( OR(INDEX(TransTypes[],Transactions[[#This Row],[TTR]],TT_COL_GLFlag)=1, INDEX(TransTypes[], Transactions[[#This Row],[TTR]], TT_COL_ShareTransferFlag)=1),
            Transactions[[#This Row],[CostImpact]]*-1,
            Transactions[[#This Row],[CalCashImpact]]
      ),
     0
)</f>
        <v>0</v>
      </c>
      <c r="Y1396" s="168" t="str">
        <f>VLOOKUP(Transactions[[#This Row],[Symbol]],Symbols[], COLUMN(Symbols[Currency])-COLUMN(Symbols[])+1,FALSE)</f>
        <v>HKD</v>
      </c>
    </row>
    <row r="1397" spans="1:25">
      <c r="A1397" s="155" t="s">
        <v>82</v>
      </c>
      <c r="B1397" s="156">
        <v>42716</v>
      </c>
      <c r="C1397" s="155" t="s">
        <v>115</v>
      </c>
      <c r="D1397" s="155"/>
      <c r="E1397" s="155" t="s">
        <v>712</v>
      </c>
      <c r="F1397" s="157">
        <v>50000</v>
      </c>
      <c r="G1397" s="158">
        <v>0.874</v>
      </c>
      <c r="H1397" s="157">
        <v>17.48</v>
      </c>
      <c r="I1397" s="157"/>
      <c r="J1397" s="159">
        <v>43682.52</v>
      </c>
      <c r="K1397" s="6" t="s">
        <v>641</v>
      </c>
      <c r="L1397" s="20">
        <f>IF(ISNA(MATCH(Transactions[[#This Row],[TransType]],TransTypes[TransType],0)),1,MATCH(Transactions[[#This Row],[TransType]],TransTypes[TransType],0))</f>
        <v>3</v>
      </c>
      <c r="M1397" s="160">
        <f>IF( AND( INDEX(TransTypes[],Transactions[[#This Row],[TTR]],TT_COL_GLFlag)=1, INDEX(TransTypes[],Transactions[[#This Row],[TTR]],TT_COL_LONGORSHORT)="S" ),
      Transactions[[#This Row],[PL]],
      IF(INDEX(TransTypes[],Transactions[[#This Row],[TTR]],TT_COL_LONGORSHORT)="S",0,Transactions[[#This Row],[CalCashImpact]])
)</f>
        <v>43682.52</v>
      </c>
      <c r="N1397" s="161">
        <f>IF(VLOOKUP(Transactions[[#This Row],[Symbol]],Symbols[],COLUMN(Symbols[Currency])-COLUMN(Symbols[])+1,FALSE)=
       VLOOKUP(Transactions[[#This Row],[Account]],Accounts[],COLUMN(Accounts[Currency])-COLUMN(Accounts[])+1,FALSE),
     Transactions[[#This Row],[OrigCashImpact]],
     0
)</f>
        <v>43682.52</v>
      </c>
      <c r="O13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2181539.0700000003</v>
      </c>
      <c r="P13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3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250000</v>
      </c>
      <c r="R1397" s="41">
        <f>ROW()</f>
        <v>1397</v>
      </c>
      <c r="S13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-41290.832053251412</v>
      </c>
      <c r="T13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206454.16026625704</v>
      </c>
      <c r="U13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1397" s="166">
        <f>IF(INDEX(TransTypes[],Transactions[[#This Row],[TTR]],TT_COL_GLFlag)=1,Transactions[[#This Row],[CalCashImpact]]+Transactions[[#This Row],[CostImpact]],0)</f>
        <v>2391.6879467485851</v>
      </c>
      <c r="W1397" s="167">
        <f>Transactions[[#This Row],[Amount]]*INDEX(TransTypes[],Transactions[[#This Row],[TTR]],TT_COL_AmntSign)</f>
        <v>43682.52</v>
      </c>
      <c r="X1397" s="167">
        <f>IF(INDEX(TransTypes[],Transactions[[#This Row],[TTR]],TT_COL_LONGORSHORT)="S",
      IF( OR(INDEX(TransTypes[],Transactions[[#This Row],[TTR]],TT_COL_GLFlag)=1, INDEX(TransTypes[], Transactions[[#This Row],[TTR]], TT_COL_ShareTransferFlag)=1),
            Transactions[[#This Row],[CostImpact]]*-1,
            Transactions[[#This Row],[CalCashImpact]]
      ),
     0
)</f>
        <v>0</v>
      </c>
      <c r="Y1397" s="168" t="str">
        <f>VLOOKUP(Transactions[[#This Row],[Symbol]],Symbols[], COLUMN(Symbols[Currency])-COLUMN(Symbols[])+1,FALSE)</f>
        <v>CNY</v>
      </c>
    </row>
    <row r="1398" spans="1:25">
      <c r="A1398" s="155" t="s">
        <v>82</v>
      </c>
      <c r="B1398" s="156">
        <v>42716</v>
      </c>
      <c r="C1398" s="155" t="s">
        <v>113</v>
      </c>
      <c r="D1398" s="155"/>
      <c r="E1398" s="155" t="s">
        <v>715</v>
      </c>
      <c r="F1398" s="157">
        <v>600000</v>
      </c>
      <c r="G1398" s="158">
        <v>0.41799999999999998</v>
      </c>
      <c r="H1398" s="157">
        <v>100.32</v>
      </c>
      <c r="I1398" s="157"/>
      <c r="J1398" s="159">
        <v>250900.32</v>
      </c>
      <c r="K1398" s="6" t="s">
        <v>641</v>
      </c>
      <c r="L1398" s="20">
        <f>IF(ISNA(MATCH(Transactions[[#This Row],[TransType]],TransTypes[TransType],0)),1,MATCH(Transactions[[#This Row],[TransType]],TransTypes[TransType],0))</f>
        <v>2</v>
      </c>
      <c r="M1398" s="160">
        <f>IF( AND( INDEX(TransTypes[],Transactions[[#This Row],[TTR]],TT_COL_GLFlag)=1, INDEX(TransTypes[],Transactions[[#This Row],[TTR]],TT_COL_LONGORSHORT)="S" ),
      Transactions[[#This Row],[PL]],
      IF(INDEX(TransTypes[],Transactions[[#This Row],[TTR]],TT_COL_LONGORSHORT)="S",0,Transactions[[#This Row],[CalCashImpact]])
)</f>
        <v>-250900.32</v>
      </c>
      <c r="N1398" s="161">
        <f>IF(VLOOKUP(Transactions[[#This Row],[Symbol]],Symbols[],COLUMN(Symbols[Currency])-COLUMN(Symbols[])+1,FALSE)=
       VLOOKUP(Transactions[[#This Row],[Account]],Accounts[],COLUMN(Accounts[Currency])-COLUMN(Accounts[])+1,FALSE),
     Transactions[[#This Row],[OrigCashImpact]],
     0
)</f>
        <v>-250900.32</v>
      </c>
      <c r="O13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1930638.7500000002</v>
      </c>
      <c r="P13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600000</v>
      </c>
      <c r="Q13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2610000</v>
      </c>
      <c r="R1398" s="41">
        <f>ROW()</f>
        <v>1398</v>
      </c>
      <c r="S13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250900.32</v>
      </c>
      <c r="T13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1072501.8696067457</v>
      </c>
      <c r="U13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2610000</v>
      </c>
      <c r="V1398" s="166">
        <f>IF(INDEX(TransTypes[],Transactions[[#This Row],[TTR]],TT_COL_GLFlag)=1,Transactions[[#This Row],[CalCashImpact]]+Transactions[[#This Row],[CostImpact]],0)</f>
        <v>0</v>
      </c>
      <c r="W1398" s="167">
        <f>Transactions[[#This Row],[Amount]]*INDEX(TransTypes[],Transactions[[#This Row],[TTR]],TT_COL_AmntSign)</f>
        <v>-250900.32</v>
      </c>
      <c r="X1398" s="167">
        <f>IF(INDEX(TransTypes[],Transactions[[#This Row],[TTR]],TT_COL_LONGORSHORT)="S",
      IF( OR(INDEX(TransTypes[],Transactions[[#This Row],[TTR]],TT_COL_GLFlag)=1, INDEX(TransTypes[], Transactions[[#This Row],[TTR]], TT_COL_ShareTransferFlag)=1),
            Transactions[[#This Row],[CostImpact]]*-1,
            Transactions[[#This Row],[CalCashImpact]]
      ),
     0
)</f>
        <v>0</v>
      </c>
      <c r="Y1398" s="168" t="str">
        <f>VLOOKUP(Transactions[[#This Row],[Symbol]],Symbols[], COLUMN(Symbols[Currency])-COLUMN(Symbols[])+1,FALSE)</f>
        <v>CNY</v>
      </c>
    </row>
    <row r="1399" spans="1:25">
      <c r="A1399" s="155" t="s">
        <v>82</v>
      </c>
      <c r="B1399" s="156">
        <v>42716</v>
      </c>
      <c r="C1399" s="155" t="s">
        <v>115</v>
      </c>
      <c r="D1399" s="155"/>
      <c r="E1399" s="155" t="s">
        <v>715</v>
      </c>
      <c r="F1399" s="157">
        <v>600000</v>
      </c>
      <c r="G1399" s="158">
        <v>0.42199999999999999</v>
      </c>
      <c r="H1399" s="157">
        <v>101.28</v>
      </c>
      <c r="I1399" s="157"/>
      <c r="J1399" s="159">
        <v>253098.72</v>
      </c>
      <c r="K1399" s="6" t="s">
        <v>641</v>
      </c>
      <c r="L1399" s="20">
        <f>IF(ISNA(MATCH(Transactions[[#This Row],[TransType]],TransTypes[TransType],0)),1,MATCH(Transactions[[#This Row],[TransType]],TransTypes[TransType],0))</f>
        <v>3</v>
      </c>
      <c r="M1399" s="160">
        <f>IF( AND( INDEX(TransTypes[],Transactions[[#This Row],[TTR]],TT_COL_GLFlag)=1, INDEX(TransTypes[],Transactions[[#This Row],[TTR]],TT_COL_LONGORSHORT)="S" ),
      Transactions[[#This Row],[PL]],
      IF(INDEX(TransTypes[],Transactions[[#This Row],[TTR]],TT_COL_LONGORSHORT)="S",0,Transactions[[#This Row],[CalCashImpact]])
)</f>
        <v>253098.72</v>
      </c>
      <c r="N1399" s="161">
        <f>IF(VLOOKUP(Transactions[[#This Row],[Symbol]],Symbols[],COLUMN(Symbols[Currency])-COLUMN(Symbols[])+1,FALSE)=
       VLOOKUP(Transactions[[#This Row],[Account]],Accounts[],COLUMN(Accounts[Currency])-COLUMN(Accounts[])+1,FALSE),
     Transactions[[#This Row],[OrigCashImpact]],
     0
)</f>
        <v>253098.72</v>
      </c>
      <c r="O13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2183737.4700000002</v>
      </c>
      <c r="P13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-600000</v>
      </c>
      <c r="Q13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2010000</v>
      </c>
      <c r="R1399" s="41">
        <f>ROW()</f>
        <v>1399</v>
      </c>
      <c r="S13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-246552.15393258521</v>
      </c>
      <c r="T13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825949.71567416051</v>
      </c>
      <c r="U13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2610000</v>
      </c>
      <c r="V1399" s="166">
        <f>IF(INDEX(TransTypes[],Transactions[[#This Row],[TTR]],TT_COL_GLFlag)=1,Transactions[[#This Row],[CalCashImpact]]+Transactions[[#This Row],[CostImpact]],0)</f>
        <v>6546.5660674147948</v>
      </c>
      <c r="W1399" s="167">
        <f>Transactions[[#This Row],[Amount]]*INDEX(TransTypes[],Transactions[[#This Row],[TTR]],TT_COL_AmntSign)</f>
        <v>253098.72</v>
      </c>
      <c r="X1399" s="167">
        <f>IF(INDEX(TransTypes[],Transactions[[#This Row],[TTR]],TT_COL_LONGORSHORT)="S",
      IF( OR(INDEX(TransTypes[],Transactions[[#This Row],[TTR]],TT_COL_GLFlag)=1, INDEX(TransTypes[], Transactions[[#This Row],[TTR]], TT_COL_ShareTransferFlag)=1),
            Transactions[[#This Row],[CostImpact]]*-1,
            Transactions[[#This Row],[CalCashImpact]]
      ),
     0
)</f>
        <v>0</v>
      </c>
      <c r="Y1399" s="168" t="str">
        <f>VLOOKUP(Transactions[[#This Row],[Symbol]],Symbols[], COLUMN(Symbols[Currency])-COLUMN(Symbols[])+1,FALSE)</f>
        <v>CNY</v>
      </c>
    </row>
    <row r="1400" spans="1:25">
      <c r="A1400" s="155" t="s">
        <v>82</v>
      </c>
      <c r="B1400" s="156">
        <v>42717</v>
      </c>
      <c r="C1400" s="155" t="s">
        <v>113</v>
      </c>
      <c r="D1400" s="155"/>
      <c r="E1400" s="155" t="s">
        <v>480</v>
      </c>
      <c r="F1400" s="157">
        <v>1000</v>
      </c>
      <c r="G1400" s="158">
        <v>46.7</v>
      </c>
      <c r="H1400" s="157">
        <v>19.61</v>
      </c>
      <c r="I1400" s="157"/>
      <c r="J1400" s="159">
        <v>46719.61</v>
      </c>
      <c r="K1400" s="6" t="s">
        <v>641</v>
      </c>
      <c r="L1400" s="20">
        <f>IF(ISNA(MATCH(Transactions[[#This Row],[TransType]],TransTypes[TransType],0)),1,MATCH(Transactions[[#This Row],[TransType]],TransTypes[TransType],0))</f>
        <v>2</v>
      </c>
      <c r="M1400" s="160">
        <f>IF( AND( INDEX(TransTypes[],Transactions[[#This Row],[TTR]],TT_COL_GLFlag)=1, INDEX(TransTypes[],Transactions[[#This Row],[TTR]],TT_COL_LONGORSHORT)="S" ),
      Transactions[[#This Row],[PL]],
      IF(INDEX(TransTypes[],Transactions[[#This Row],[TTR]],TT_COL_LONGORSHORT)="S",0,Transactions[[#This Row],[CalCashImpact]])
)</f>
        <v>-46719.61</v>
      </c>
      <c r="N1400" s="161">
        <f>IF(VLOOKUP(Transactions[[#This Row],[Symbol]],Symbols[],COLUMN(Symbols[Currency])-COLUMN(Symbols[])+1,FALSE)=
       VLOOKUP(Transactions[[#This Row],[Account]],Accounts[],COLUMN(Accounts[Currency])-COLUMN(Accounts[])+1,FALSE),
     Transactions[[#This Row],[OrigCashImpact]],
     0
)</f>
        <v>-46719.61</v>
      </c>
      <c r="O14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2137017.8600000003</v>
      </c>
      <c r="P14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400" s="41">
        <f>ROW()</f>
        <v>1400</v>
      </c>
      <c r="S14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46719.61</v>
      </c>
      <c r="T14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46719.61</v>
      </c>
      <c r="U14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400" s="166">
        <f>IF(INDEX(TransTypes[],Transactions[[#This Row],[TTR]],TT_COL_GLFlag)=1,Transactions[[#This Row],[CalCashImpact]]+Transactions[[#This Row],[CostImpact]],0)</f>
        <v>0</v>
      </c>
      <c r="W1400" s="167">
        <f>Transactions[[#This Row],[Amount]]*INDEX(TransTypes[],Transactions[[#This Row],[TTR]],TT_COL_AmntSign)</f>
        <v>-46719.61</v>
      </c>
      <c r="X1400" s="167">
        <f>IF(INDEX(TransTypes[],Transactions[[#This Row],[TTR]],TT_COL_LONGORSHORT)="S",
      IF( OR(INDEX(TransTypes[],Transactions[[#This Row],[TTR]],TT_COL_GLFlag)=1, INDEX(TransTypes[], Transactions[[#This Row],[TTR]], TT_COL_ShareTransferFlag)=1),
            Transactions[[#This Row],[CostImpact]]*-1,
            Transactions[[#This Row],[CalCashImpact]]
      ),
     0
)</f>
        <v>0</v>
      </c>
      <c r="Y1400" s="168" t="str">
        <f>VLOOKUP(Transactions[[#This Row],[Symbol]],Symbols[], COLUMN(Symbols[Currency])-COLUMN(Symbols[])+1,FALSE)</f>
        <v>CNY</v>
      </c>
    </row>
    <row r="1401" spans="1:25">
      <c r="A1401" s="155" t="s">
        <v>82</v>
      </c>
      <c r="B1401" s="156">
        <v>42717</v>
      </c>
      <c r="C1401" s="155" t="s">
        <v>113</v>
      </c>
      <c r="D1401" s="155"/>
      <c r="E1401" s="155" t="s">
        <v>720</v>
      </c>
      <c r="F1401" s="157">
        <v>200</v>
      </c>
      <c r="G1401" s="158">
        <v>10.91</v>
      </c>
      <c r="H1401" s="157">
        <v>5.04</v>
      </c>
      <c r="I1401" s="157"/>
      <c r="J1401" s="159">
        <v>2187.04</v>
      </c>
      <c r="K1401" s="6" t="s">
        <v>641</v>
      </c>
      <c r="L1401" s="20">
        <f>IF(ISNA(MATCH(Transactions[[#This Row],[TransType]],TransTypes[TransType],0)),1,MATCH(Transactions[[#This Row],[TransType]],TransTypes[TransType],0))</f>
        <v>2</v>
      </c>
      <c r="M1401" s="160">
        <f>IF( AND( INDEX(TransTypes[],Transactions[[#This Row],[TTR]],TT_COL_GLFlag)=1, INDEX(TransTypes[],Transactions[[#This Row],[TTR]],TT_COL_LONGORSHORT)="S" ),
      Transactions[[#This Row],[PL]],
      IF(INDEX(TransTypes[],Transactions[[#This Row],[TTR]],TT_COL_LONGORSHORT)="S",0,Transactions[[#This Row],[CalCashImpact]])
)</f>
        <v>-2187.04</v>
      </c>
      <c r="N1401" s="161">
        <f>IF(VLOOKUP(Transactions[[#This Row],[Symbol]],Symbols[],COLUMN(Symbols[Currency])-COLUMN(Symbols[])+1,FALSE)=
       VLOOKUP(Transactions[[#This Row],[Account]],Accounts[],COLUMN(Accounts[Currency])-COLUMN(Accounts[])+1,FALSE),
     Transactions[[#This Row],[OrigCashImpact]],
     0
)</f>
        <v>-2187.04</v>
      </c>
      <c r="O14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2134830.8200000003</v>
      </c>
      <c r="P14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4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401" s="41">
        <f>ROW()</f>
        <v>1401</v>
      </c>
      <c r="S14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2187.04</v>
      </c>
      <c r="T14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2187.04</v>
      </c>
      <c r="U14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1401" s="166">
        <f>IF(INDEX(TransTypes[],Transactions[[#This Row],[TTR]],TT_COL_GLFlag)=1,Transactions[[#This Row],[CalCashImpact]]+Transactions[[#This Row],[CostImpact]],0)</f>
        <v>0</v>
      </c>
      <c r="W1401" s="167">
        <f>Transactions[[#This Row],[Amount]]*INDEX(TransTypes[],Transactions[[#This Row],[TTR]],TT_COL_AmntSign)</f>
        <v>-2187.04</v>
      </c>
      <c r="X1401" s="167">
        <f>IF(INDEX(TransTypes[],Transactions[[#This Row],[TTR]],TT_COL_LONGORSHORT)="S",
      IF( OR(INDEX(TransTypes[],Transactions[[#This Row],[TTR]],TT_COL_GLFlag)=1, INDEX(TransTypes[], Transactions[[#This Row],[TTR]], TT_COL_ShareTransferFlag)=1),
            Transactions[[#This Row],[CostImpact]]*-1,
            Transactions[[#This Row],[CalCashImpact]]
      ),
     0
)</f>
        <v>0</v>
      </c>
      <c r="Y1401" s="168" t="str">
        <f>VLOOKUP(Transactions[[#This Row],[Symbol]],Symbols[], COLUMN(Symbols[Currency])-COLUMN(Symbols[])+1,FALSE)</f>
        <v>CNY</v>
      </c>
    </row>
    <row r="1402" spans="1:25">
      <c r="A1402" s="155" t="s">
        <v>82</v>
      </c>
      <c r="B1402" s="156">
        <v>42717</v>
      </c>
      <c r="C1402" s="155" t="s">
        <v>113</v>
      </c>
      <c r="D1402" s="155"/>
      <c r="E1402" s="155" t="s">
        <v>721</v>
      </c>
      <c r="F1402" s="157">
        <v>1000</v>
      </c>
      <c r="G1402" s="158">
        <v>5.55</v>
      </c>
      <c r="H1402" s="157">
        <v>5.1100000000000003</v>
      </c>
      <c r="I1402" s="157"/>
      <c r="J1402" s="159">
        <v>5555.11</v>
      </c>
      <c r="K1402" s="6" t="s">
        <v>641</v>
      </c>
      <c r="L1402" s="20">
        <f>IF(ISNA(MATCH(Transactions[[#This Row],[TransType]],TransTypes[TransType],0)),1,MATCH(Transactions[[#This Row],[TransType]],TransTypes[TransType],0))</f>
        <v>2</v>
      </c>
      <c r="M1402" s="160">
        <f>IF( AND( INDEX(TransTypes[],Transactions[[#This Row],[TTR]],TT_COL_GLFlag)=1, INDEX(TransTypes[],Transactions[[#This Row],[TTR]],TT_COL_LONGORSHORT)="S" ),
      Transactions[[#This Row],[PL]],
      IF(INDEX(TransTypes[],Transactions[[#This Row],[TTR]],TT_COL_LONGORSHORT)="S",0,Transactions[[#This Row],[CalCashImpact]])
)</f>
        <v>-5555.11</v>
      </c>
      <c r="N1402" s="161">
        <f>IF(VLOOKUP(Transactions[[#This Row],[Symbol]],Symbols[],COLUMN(Symbols[Currency])-COLUMN(Symbols[])+1,FALSE)=
       VLOOKUP(Transactions[[#This Row],[Account]],Accounts[],COLUMN(Accounts[Currency])-COLUMN(Accounts[])+1,FALSE),
     Transactions[[#This Row],[OrigCashImpact]],
     0
)</f>
        <v>-5555.11</v>
      </c>
      <c r="O14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2129275.7100000004</v>
      </c>
      <c r="P14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402" s="41">
        <f>ROW()</f>
        <v>1402</v>
      </c>
      <c r="S14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5555.11</v>
      </c>
      <c r="T14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5555.11</v>
      </c>
      <c r="U14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402" s="166">
        <f>IF(INDEX(TransTypes[],Transactions[[#This Row],[TTR]],TT_COL_GLFlag)=1,Transactions[[#This Row],[CalCashImpact]]+Transactions[[#This Row],[CostImpact]],0)</f>
        <v>0</v>
      </c>
      <c r="W1402" s="167">
        <f>Transactions[[#This Row],[Amount]]*INDEX(TransTypes[],Transactions[[#This Row],[TTR]],TT_COL_AmntSign)</f>
        <v>-5555.11</v>
      </c>
      <c r="X1402" s="167">
        <f>IF(INDEX(TransTypes[],Transactions[[#This Row],[TTR]],TT_COL_LONGORSHORT)="S",
      IF( OR(INDEX(TransTypes[],Transactions[[#This Row],[TTR]],TT_COL_GLFlag)=1, INDEX(TransTypes[], Transactions[[#This Row],[TTR]], TT_COL_ShareTransferFlag)=1),
            Transactions[[#This Row],[CostImpact]]*-1,
            Transactions[[#This Row],[CalCashImpact]]
      ),
     0
)</f>
        <v>0</v>
      </c>
      <c r="Y1402" s="168" t="str">
        <f>VLOOKUP(Transactions[[#This Row],[Symbol]],Symbols[], COLUMN(Symbols[Currency])-COLUMN(Symbols[])+1,FALSE)</f>
        <v>CNY</v>
      </c>
    </row>
    <row r="1403" spans="1:25">
      <c r="A1403" s="155" t="s">
        <v>82</v>
      </c>
      <c r="B1403" s="156">
        <v>42730</v>
      </c>
      <c r="C1403" s="155" t="s">
        <v>113</v>
      </c>
      <c r="D1403" s="155"/>
      <c r="E1403" s="155" t="s">
        <v>712</v>
      </c>
      <c r="F1403" s="157">
        <v>100000</v>
      </c>
      <c r="G1403" s="158">
        <v>0.79400000000000004</v>
      </c>
      <c r="H1403" s="157">
        <v>31.76</v>
      </c>
      <c r="I1403" s="157"/>
      <c r="J1403" s="159">
        <v>79431.759999999995</v>
      </c>
      <c r="K1403" s="6" t="s">
        <v>641</v>
      </c>
      <c r="L1403" s="20">
        <f>IF(ISNA(MATCH(Transactions[[#This Row],[TransType]],TransTypes[TransType],0)),1,MATCH(Transactions[[#This Row],[TransType]],TransTypes[TransType],0))</f>
        <v>2</v>
      </c>
      <c r="M1403" s="160">
        <f>IF( AND( INDEX(TransTypes[],Transactions[[#This Row],[TTR]],TT_COL_GLFlag)=1, INDEX(TransTypes[],Transactions[[#This Row],[TTR]],TT_COL_LONGORSHORT)="S" ),
      Transactions[[#This Row],[PL]],
      IF(INDEX(TransTypes[],Transactions[[#This Row],[TTR]],TT_COL_LONGORSHORT)="S",0,Transactions[[#This Row],[CalCashImpact]])
)</f>
        <v>-79431.759999999995</v>
      </c>
      <c r="N1403" s="161">
        <f>IF(VLOOKUP(Transactions[[#This Row],[Symbol]],Symbols[],COLUMN(Symbols[Currency])-COLUMN(Symbols[])+1,FALSE)=
       VLOOKUP(Transactions[[#This Row],[Account]],Accounts[],COLUMN(Accounts[Currency])-COLUMN(Accounts[])+1,FALSE),
     Transactions[[#This Row],[OrigCashImpact]],
     0
)</f>
        <v>-79431.759999999995</v>
      </c>
      <c r="O14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2049843.9500000004</v>
      </c>
      <c r="P14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v>
      </c>
      <c r="Q14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350000</v>
      </c>
      <c r="R1403" s="41">
        <f>ROW()</f>
        <v>1403</v>
      </c>
      <c r="S14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79431.759999999995</v>
      </c>
      <c r="T14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285885.92026625702</v>
      </c>
      <c r="U14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350000</v>
      </c>
      <c r="V1403" s="166">
        <f>IF(INDEX(TransTypes[],Transactions[[#This Row],[TTR]],TT_COL_GLFlag)=1,Transactions[[#This Row],[CalCashImpact]]+Transactions[[#This Row],[CostImpact]],0)</f>
        <v>0</v>
      </c>
      <c r="W1403" s="167">
        <f>Transactions[[#This Row],[Amount]]*INDEX(TransTypes[],Transactions[[#This Row],[TTR]],TT_COL_AmntSign)</f>
        <v>-79431.759999999995</v>
      </c>
      <c r="X1403" s="167">
        <f>IF(INDEX(TransTypes[],Transactions[[#This Row],[TTR]],TT_COL_LONGORSHORT)="S",
      IF( OR(INDEX(TransTypes[],Transactions[[#This Row],[TTR]],TT_COL_GLFlag)=1, INDEX(TransTypes[], Transactions[[#This Row],[TTR]], TT_COL_ShareTransferFlag)=1),
            Transactions[[#This Row],[CostImpact]]*-1,
            Transactions[[#This Row],[CalCashImpact]]
      ),
     0
)</f>
        <v>0</v>
      </c>
      <c r="Y1403" s="168" t="str">
        <f>VLOOKUP(Transactions[[#This Row],[Symbol]],Symbols[], COLUMN(Symbols[Currency])-COLUMN(Symbols[])+1,FALSE)</f>
        <v>CNY</v>
      </c>
    </row>
    <row r="1404" spans="1:25">
      <c r="A1404" s="155" t="s">
        <v>82</v>
      </c>
      <c r="B1404" s="156">
        <v>42730</v>
      </c>
      <c r="C1404" s="155" t="s">
        <v>115</v>
      </c>
      <c r="D1404" s="155"/>
      <c r="E1404" s="155" t="s">
        <v>647</v>
      </c>
      <c r="F1404" s="157">
        <v>500</v>
      </c>
      <c r="G1404" s="158">
        <v>46.37</v>
      </c>
      <c r="H1404" s="157">
        <v>32.46</v>
      </c>
      <c r="I1404" s="157"/>
      <c r="J1404" s="159">
        <v>23152.54</v>
      </c>
      <c r="K1404" s="6" t="s">
        <v>641</v>
      </c>
      <c r="L1404" s="20">
        <f>IF(ISNA(MATCH(Transactions[[#This Row],[TransType]],TransTypes[TransType],0)),1,MATCH(Transactions[[#This Row],[TransType]],TransTypes[TransType],0))</f>
        <v>3</v>
      </c>
      <c r="M1404" s="160">
        <f>IF( AND( INDEX(TransTypes[],Transactions[[#This Row],[TTR]],TT_COL_GLFlag)=1, INDEX(TransTypes[],Transactions[[#This Row],[TTR]],TT_COL_LONGORSHORT)="S" ),
      Transactions[[#This Row],[PL]],
      IF(INDEX(TransTypes[],Transactions[[#This Row],[TTR]],TT_COL_LONGORSHORT)="S",0,Transactions[[#This Row],[CalCashImpact]])
)</f>
        <v>23152.54</v>
      </c>
      <c r="N1404" s="161">
        <f>IF(VLOOKUP(Transactions[[#This Row],[Symbol]],Symbols[],COLUMN(Symbols[Currency])-COLUMN(Symbols[])+1,FALSE)=
       VLOOKUP(Transactions[[#This Row],[Account]],Accounts[],COLUMN(Accounts[Currency])-COLUMN(Accounts[])+1,FALSE),
     Transactions[[#This Row],[OrigCashImpact]],
     0
)</f>
        <v>23152.54</v>
      </c>
      <c r="O14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2072996.4900000005</v>
      </c>
      <c r="P14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4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04" s="41">
        <f>ROW()</f>
        <v>1404</v>
      </c>
      <c r="S14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-23489.392500000002</v>
      </c>
      <c r="T14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404" s="166">
        <f>IF(INDEX(TransTypes[],Transactions[[#This Row],[TTR]],TT_COL_GLFlag)=1,Transactions[[#This Row],[CalCashImpact]]+Transactions[[#This Row],[CostImpact]],0)</f>
        <v>-336.85250000000087</v>
      </c>
      <c r="W1404" s="167">
        <f>Transactions[[#This Row],[Amount]]*INDEX(TransTypes[],Transactions[[#This Row],[TTR]],TT_COL_AmntSign)</f>
        <v>23152.54</v>
      </c>
      <c r="X1404" s="167">
        <f>IF(INDEX(TransTypes[],Transactions[[#This Row],[TTR]],TT_COL_LONGORSHORT)="S",
      IF( OR(INDEX(TransTypes[],Transactions[[#This Row],[TTR]],TT_COL_GLFlag)=1, INDEX(TransTypes[], Transactions[[#This Row],[TTR]], TT_COL_ShareTransferFlag)=1),
            Transactions[[#This Row],[CostImpact]]*-1,
            Transactions[[#This Row],[CalCashImpact]]
      ),
     0
)</f>
        <v>0</v>
      </c>
      <c r="Y1404" s="168" t="str">
        <f>VLOOKUP(Transactions[[#This Row],[Symbol]],Symbols[], COLUMN(Symbols[Currency])-COLUMN(Symbols[])+1,FALSE)</f>
        <v>CNY</v>
      </c>
    </row>
    <row r="1405" spans="1:25">
      <c r="A1405" s="155" t="s">
        <v>82</v>
      </c>
      <c r="B1405" s="156">
        <v>42730</v>
      </c>
      <c r="C1405" s="155" t="s">
        <v>113</v>
      </c>
      <c r="D1405" s="155"/>
      <c r="E1405" s="155" t="s">
        <v>464</v>
      </c>
      <c r="F1405" s="157">
        <v>200</v>
      </c>
      <c r="G1405" s="158">
        <v>324.75</v>
      </c>
      <c r="H1405" s="157">
        <v>27.28</v>
      </c>
      <c r="I1405" s="157"/>
      <c r="J1405" s="159">
        <v>64977.279999999999</v>
      </c>
      <c r="K1405" s="6" t="s">
        <v>641</v>
      </c>
      <c r="L1405" s="20">
        <f>IF(ISNA(MATCH(Transactions[[#This Row],[TransType]],TransTypes[TransType],0)),1,MATCH(Transactions[[#This Row],[TransType]],TransTypes[TransType],0))</f>
        <v>2</v>
      </c>
      <c r="M1405" s="160">
        <f>IF( AND( INDEX(TransTypes[],Transactions[[#This Row],[TTR]],TT_COL_GLFlag)=1, INDEX(TransTypes[],Transactions[[#This Row],[TTR]],TT_COL_LONGORSHORT)="S" ),
      Transactions[[#This Row],[PL]],
      IF(INDEX(TransTypes[],Transactions[[#This Row],[TTR]],TT_COL_LONGORSHORT)="S",0,Transactions[[#This Row],[CalCashImpact]])
)</f>
        <v>-64977.279999999999</v>
      </c>
      <c r="N1405" s="161">
        <f>IF(VLOOKUP(Transactions[[#This Row],[Symbol]],Symbols[],COLUMN(Symbols[Currency])-COLUMN(Symbols[])+1,FALSE)=
       VLOOKUP(Transactions[[#This Row],[Account]],Accounts[],COLUMN(Accounts[Currency])-COLUMN(Accounts[])+1,FALSE),
     Transactions[[#This Row],[OrigCashImpact]],
     0
)</f>
        <v>-64977.279999999999</v>
      </c>
      <c r="O14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2008019.2100000004</v>
      </c>
      <c r="P14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4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405" s="41">
        <f>ROW()</f>
        <v>1405</v>
      </c>
      <c r="S14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64977.279999999999</v>
      </c>
      <c r="T14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151944.091312</v>
      </c>
      <c r="U14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405" s="166">
        <f>IF(INDEX(TransTypes[],Transactions[[#This Row],[TTR]],TT_COL_GLFlag)=1,Transactions[[#This Row],[CalCashImpact]]+Transactions[[#This Row],[CostImpact]],0)</f>
        <v>0</v>
      </c>
      <c r="W1405" s="167">
        <f>Transactions[[#This Row],[Amount]]*INDEX(TransTypes[],Transactions[[#This Row],[TTR]],TT_COL_AmntSign)</f>
        <v>-64977.279999999999</v>
      </c>
      <c r="X1405" s="167">
        <f>IF(INDEX(TransTypes[],Transactions[[#This Row],[TTR]],TT_COL_LONGORSHORT)="S",
      IF( OR(INDEX(TransTypes[],Transactions[[#This Row],[TTR]],TT_COL_GLFlag)=1, INDEX(TransTypes[], Transactions[[#This Row],[TTR]], TT_COL_ShareTransferFlag)=1),
            Transactions[[#This Row],[CostImpact]]*-1,
            Transactions[[#This Row],[CalCashImpact]]
      ),
     0
)</f>
        <v>0</v>
      </c>
      <c r="Y1405" s="168" t="str">
        <f>VLOOKUP(Transactions[[#This Row],[Symbol]],Symbols[], COLUMN(Symbols[Currency])-COLUMN(Symbols[])+1,FALSE)</f>
        <v>CNY</v>
      </c>
    </row>
    <row r="1406" spans="1:25">
      <c r="A1406" s="155" t="s">
        <v>82</v>
      </c>
      <c r="B1406" s="156">
        <v>42730</v>
      </c>
      <c r="C1406" s="155" t="s">
        <v>115</v>
      </c>
      <c r="D1406" s="155"/>
      <c r="E1406" s="155" t="s">
        <v>677</v>
      </c>
      <c r="F1406" s="157">
        <v>8000</v>
      </c>
      <c r="G1406" s="158">
        <v>8.59</v>
      </c>
      <c r="H1406" s="157">
        <v>97.59</v>
      </c>
      <c r="I1406" s="157"/>
      <c r="J1406" s="159">
        <v>68622.41</v>
      </c>
      <c r="K1406" s="6" t="s">
        <v>641</v>
      </c>
      <c r="L1406" s="20">
        <f>IF(ISNA(MATCH(Transactions[[#This Row],[TransType]],TransTypes[TransType],0)),1,MATCH(Transactions[[#This Row],[TransType]],TransTypes[TransType],0))</f>
        <v>3</v>
      </c>
      <c r="M1406" s="160">
        <f>IF( AND( INDEX(TransTypes[],Transactions[[#This Row],[TTR]],TT_COL_GLFlag)=1, INDEX(TransTypes[],Transactions[[#This Row],[TTR]],TT_COL_LONGORSHORT)="S" ),
      Transactions[[#This Row],[PL]],
      IF(INDEX(TransTypes[],Transactions[[#This Row],[TTR]],TT_COL_LONGORSHORT)="S",0,Transactions[[#This Row],[CalCashImpact]])
)</f>
        <v>68622.41</v>
      </c>
      <c r="N1406" s="161">
        <f>IF(VLOOKUP(Transactions[[#This Row],[Symbol]],Symbols[],COLUMN(Symbols[Currency])-COLUMN(Symbols[])+1,FALSE)=
       VLOOKUP(Transactions[[#This Row],[Account]],Accounts[],COLUMN(Accounts[Currency])-COLUMN(Accounts[])+1,FALSE),
     Transactions[[#This Row],[OrigCashImpact]],
     0
)</f>
        <v>68622.41</v>
      </c>
      <c r="O14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2076641.6200000003</v>
      </c>
      <c r="P14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4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06" s="41">
        <f>ROW()</f>
        <v>1406</v>
      </c>
      <c r="S14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-68348.695999999996</v>
      </c>
      <c r="T14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406" s="166">
        <f>IF(INDEX(TransTypes[],Transactions[[#This Row],[TTR]],TT_COL_GLFlag)=1,Transactions[[#This Row],[CalCashImpact]]+Transactions[[#This Row],[CostImpact]],0)</f>
        <v>273.71400000000722</v>
      </c>
      <c r="W1406" s="167">
        <f>Transactions[[#This Row],[Amount]]*INDEX(TransTypes[],Transactions[[#This Row],[TTR]],TT_COL_AmntSign)</f>
        <v>68622.41</v>
      </c>
      <c r="X1406" s="167">
        <f>IF(INDEX(TransTypes[],Transactions[[#This Row],[TTR]],TT_COL_LONGORSHORT)="S",
      IF( OR(INDEX(TransTypes[],Transactions[[#This Row],[TTR]],TT_COL_GLFlag)=1, INDEX(TransTypes[], Transactions[[#This Row],[TTR]], TT_COL_ShareTransferFlag)=1),
            Transactions[[#This Row],[CostImpact]]*-1,
            Transactions[[#This Row],[CalCashImpact]]
      ),
     0
)</f>
        <v>0</v>
      </c>
      <c r="Y1406" s="168" t="str">
        <f>VLOOKUP(Transactions[[#This Row],[Symbol]],Symbols[], COLUMN(Symbols[Currency])-COLUMN(Symbols[])+1,FALSE)</f>
        <v>CNY</v>
      </c>
    </row>
    <row r="1407" spans="1:25">
      <c r="A1407" s="155" t="s">
        <v>82</v>
      </c>
      <c r="B1407" s="156">
        <v>42731</v>
      </c>
      <c r="C1407" s="155" t="s">
        <v>113</v>
      </c>
      <c r="D1407" s="155"/>
      <c r="E1407" s="155" t="s">
        <v>704</v>
      </c>
      <c r="F1407" s="157">
        <v>3000</v>
      </c>
      <c r="G1407" s="158">
        <v>20.56</v>
      </c>
      <c r="H1407" s="157">
        <v>24.67</v>
      </c>
      <c r="I1407" s="157"/>
      <c r="J1407" s="159">
        <v>61704.67</v>
      </c>
      <c r="K1407" s="6" t="s">
        <v>641</v>
      </c>
      <c r="L1407" s="20">
        <f>IF(ISNA(MATCH(Transactions[[#This Row],[TransType]],TransTypes[TransType],0)),1,MATCH(Transactions[[#This Row],[TransType]],TransTypes[TransType],0))</f>
        <v>2</v>
      </c>
      <c r="M1407" s="160">
        <f>IF( AND( INDEX(TransTypes[],Transactions[[#This Row],[TTR]],TT_COL_GLFlag)=1, INDEX(TransTypes[],Transactions[[#This Row],[TTR]],TT_COL_LONGORSHORT)="S" ),
      Transactions[[#This Row],[PL]],
      IF(INDEX(TransTypes[],Transactions[[#This Row],[TTR]],TT_COL_LONGORSHORT)="S",0,Transactions[[#This Row],[CalCashImpact]])
)</f>
        <v>-61704.67</v>
      </c>
      <c r="N1407" s="161">
        <f>IF(VLOOKUP(Transactions[[#This Row],[Symbol]],Symbols[],COLUMN(Symbols[Currency])-COLUMN(Symbols[])+1,FALSE)=
       VLOOKUP(Transactions[[#This Row],[Account]],Accounts[],COLUMN(Accounts[Currency])-COLUMN(Accounts[])+1,FALSE),
     Transactions[[#This Row],[OrigCashImpact]],
     0
)</f>
        <v>-61704.67</v>
      </c>
      <c r="O14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2014936.9500000004</v>
      </c>
      <c r="P14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4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407" s="41">
        <f>ROW()</f>
        <v>1407</v>
      </c>
      <c r="S14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61704.67</v>
      </c>
      <c r="T14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280655.20999999996</v>
      </c>
      <c r="U14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407" s="166">
        <f>IF(INDEX(TransTypes[],Transactions[[#This Row],[TTR]],TT_COL_GLFlag)=1,Transactions[[#This Row],[CalCashImpact]]+Transactions[[#This Row],[CostImpact]],0)</f>
        <v>0</v>
      </c>
      <c r="W1407" s="167">
        <f>Transactions[[#This Row],[Amount]]*INDEX(TransTypes[],Transactions[[#This Row],[TTR]],TT_COL_AmntSign)</f>
        <v>-61704.67</v>
      </c>
      <c r="X1407" s="167">
        <f>IF(INDEX(TransTypes[],Transactions[[#This Row],[TTR]],TT_COL_LONGORSHORT)="S",
      IF( OR(INDEX(TransTypes[],Transactions[[#This Row],[TTR]],TT_COL_GLFlag)=1, INDEX(TransTypes[], Transactions[[#This Row],[TTR]], TT_COL_ShareTransferFlag)=1),
            Transactions[[#This Row],[CostImpact]]*-1,
            Transactions[[#This Row],[CalCashImpact]]
      ),
     0
)</f>
        <v>0</v>
      </c>
      <c r="Y1407" s="168" t="str">
        <f>VLOOKUP(Transactions[[#This Row],[Symbol]],Symbols[], COLUMN(Symbols[Currency])-COLUMN(Symbols[])+1,FALSE)</f>
        <v>CNY</v>
      </c>
    </row>
    <row r="1408" spans="1:25">
      <c r="A1408" s="155" t="s">
        <v>82</v>
      </c>
      <c r="B1408" s="156">
        <v>42731</v>
      </c>
      <c r="C1408" s="155" t="s">
        <v>113</v>
      </c>
      <c r="D1408" s="155"/>
      <c r="E1408" s="155" t="s">
        <v>488</v>
      </c>
      <c r="F1408" s="157">
        <v>3000</v>
      </c>
      <c r="G1408" s="158">
        <v>18.32</v>
      </c>
      <c r="H1408" s="157">
        <v>23.08</v>
      </c>
      <c r="I1408" s="157"/>
      <c r="J1408" s="159">
        <v>54983.08</v>
      </c>
      <c r="K1408" s="6" t="s">
        <v>641</v>
      </c>
      <c r="L1408" s="20">
        <f>IF(ISNA(MATCH(Transactions[[#This Row],[TransType]],TransTypes[TransType],0)),1,MATCH(Transactions[[#This Row],[TransType]],TransTypes[TransType],0))</f>
        <v>2</v>
      </c>
      <c r="M1408" s="160">
        <f>IF( AND( INDEX(TransTypes[],Transactions[[#This Row],[TTR]],TT_COL_GLFlag)=1, INDEX(TransTypes[],Transactions[[#This Row],[TTR]],TT_COL_LONGORSHORT)="S" ),
      Transactions[[#This Row],[PL]],
      IF(INDEX(TransTypes[],Transactions[[#This Row],[TTR]],TT_COL_LONGORSHORT)="S",0,Transactions[[#This Row],[CalCashImpact]])
)</f>
        <v>-54983.08</v>
      </c>
      <c r="N1408" s="161">
        <f>IF(VLOOKUP(Transactions[[#This Row],[Symbol]],Symbols[],COLUMN(Symbols[Currency])-COLUMN(Symbols[])+1,FALSE)=
       VLOOKUP(Transactions[[#This Row],[Account]],Accounts[],COLUMN(Accounts[Currency])-COLUMN(Accounts[])+1,FALSE),
     Transactions[[#This Row],[OrigCashImpact]],
     0
)</f>
        <v>-54983.08</v>
      </c>
      <c r="O14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1959953.8700000003</v>
      </c>
      <c r="P14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4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408" s="41">
        <f>ROW()</f>
        <v>1408</v>
      </c>
      <c r="S14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54983.08</v>
      </c>
      <c r="T14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169629.95874999999</v>
      </c>
      <c r="U14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08" s="166">
        <f>IF(INDEX(TransTypes[],Transactions[[#This Row],[TTR]],TT_COL_GLFlag)=1,Transactions[[#This Row],[CalCashImpact]]+Transactions[[#This Row],[CostImpact]],0)</f>
        <v>0</v>
      </c>
      <c r="W1408" s="167">
        <f>Transactions[[#This Row],[Amount]]*INDEX(TransTypes[],Transactions[[#This Row],[TTR]],TT_COL_AmntSign)</f>
        <v>-54983.08</v>
      </c>
      <c r="X1408" s="167">
        <f>IF(INDEX(TransTypes[],Transactions[[#This Row],[TTR]],TT_COL_LONGORSHORT)="S",
      IF( OR(INDEX(TransTypes[],Transactions[[#This Row],[TTR]],TT_COL_GLFlag)=1, INDEX(TransTypes[], Transactions[[#This Row],[TTR]], TT_COL_ShareTransferFlag)=1),
            Transactions[[#This Row],[CostImpact]]*-1,
            Transactions[[#This Row],[CalCashImpact]]
      ),
     0
)</f>
        <v>0</v>
      </c>
      <c r="Y1408" s="168" t="str">
        <f>VLOOKUP(Transactions[[#This Row],[Symbol]],Symbols[], COLUMN(Symbols[Currency])-COLUMN(Symbols[])+1,FALSE)</f>
        <v>CNY</v>
      </c>
    </row>
    <row r="1409" spans="1:25">
      <c r="A1409" s="155" t="s">
        <v>82</v>
      </c>
      <c r="B1409" s="156">
        <v>42731</v>
      </c>
      <c r="C1409" s="155" t="s">
        <v>113</v>
      </c>
      <c r="D1409" s="155"/>
      <c r="E1409" s="155" t="s">
        <v>665</v>
      </c>
      <c r="F1409" s="157">
        <v>50000</v>
      </c>
      <c r="G1409" s="158">
        <v>1.032</v>
      </c>
      <c r="H1409" s="157">
        <v>20.64</v>
      </c>
      <c r="I1409" s="157"/>
      <c r="J1409" s="159">
        <v>51620.639999999999</v>
      </c>
      <c r="K1409" s="6" t="s">
        <v>641</v>
      </c>
      <c r="L1409" s="20">
        <f>IF(ISNA(MATCH(Transactions[[#This Row],[TransType]],TransTypes[TransType],0)),1,MATCH(Transactions[[#This Row],[TransType]],TransTypes[TransType],0))</f>
        <v>2</v>
      </c>
      <c r="M1409" s="160">
        <f>IF( AND( INDEX(TransTypes[],Transactions[[#This Row],[TTR]],TT_COL_GLFlag)=1, INDEX(TransTypes[],Transactions[[#This Row],[TTR]],TT_COL_LONGORSHORT)="S" ),
      Transactions[[#This Row],[PL]],
      IF(INDEX(TransTypes[],Transactions[[#This Row],[TTR]],TT_COL_LONGORSHORT)="S",0,Transactions[[#This Row],[CalCashImpact]])
)</f>
        <v>-51620.639999999999</v>
      </c>
      <c r="N1409" s="161">
        <f>IF(VLOOKUP(Transactions[[#This Row],[Symbol]],Symbols[],COLUMN(Symbols[Currency])-COLUMN(Symbols[])+1,FALSE)=
       VLOOKUP(Transactions[[#This Row],[Account]],Accounts[],COLUMN(Accounts[Currency])-COLUMN(Accounts[])+1,FALSE),
     Transactions[[#This Row],[OrigCashImpact]],
     0
)</f>
        <v>-51620.639999999999</v>
      </c>
      <c r="O14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1908333.2300000004</v>
      </c>
      <c r="P14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4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300000</v>
      </c>
      <c r="R1409" s="41">
        <f>ROW()</f>
        <v>1409</v>
      </c>
      <c r="S14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51620.639999999999</v>
      </c>
      <c r="T14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297647.55955880444</v>
      </c>
      <c r="U14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1409" s="166">
        <f>IF(INDEX(TransTypes[],Transactions[[#This Row],[TTR]],TT_COL_GLFlag)=1,Transactions[[#This Row],[CalCashImpact]]+Transactions[[#This Row],[CostImpact]],0)</f>
        <v>0</v>
      </c>
      <c r="W1409" s="167">
        <f>Transactions[[#This Row],[Amount]]*INDEX(TransTypes[],Transactions[[#This Row],[TTR]],TT_COL_AmntSign)</f>
        <v>-51620.639999999999</v>
      </c>
      <c r="X1409" s="167">
        <f>IF(INDEX(TransTypes[],Transactions[[#This Row],[TTR]],TT_COL_LONGORSHORT)="S",
      IF( OR(INDEX(TransTypes[],Transactions[[#This Row],[TTR]],TT_COL_GLFlag)=1, INDEX(TransTypes[], Transactions[[#This Row],[TTR]], TT_COL_ShareTransferFlag)=1),
            Transactions[[#This Row],[CostImpact]]*-1,
            Transactions[[#This Row],[CalCashImpact]]
      ),
     0
)</f>
        <v>0</v>
      </c>
      <c r="Y1409" s="168" t="str">
        <f>VLOOKUP(Transactions[[#This Row],[Symbol]],Symbols[], COLUMN(Symbols[Currency])-COLUMN(Symbols[])+1,FALSE)</f>
        <v>CNY</v>
      </c>
    </row>
    <row r="1410" spans="1:25">
      <c r="A1410" s="155" t="s">
        <v>82</v>
      </c>
      <c r="B1410" s="156">
        <v>42732</v>
      </c>
      <c r="C1410" s="155" t="s">
        <v>115</v>
      </c>
      <c r="D1410" s="155"/>
      <c r="E1410" s="155" t="s">
        <v>715</v>
      </c>
      <c r="F1410" s="157">
        <v>530000</v>
      </c>
      <c r="G1410" s="158">
        <v>0.41299999999999998</v>
      </c>
      <c r="H1410" s="157">
        <v>87.56</v>
      </c>
      <c r="I1410" s="157"/>
      <c r="J1410" s="159">
        <v>218802.44</v>
      </c>
      <c r="K1410" s="6" t="s">
        <v>641</v>
      </c>
      <c r="L1410" s="20">
        <f>IF(ISNA(MATCH(Transactions[[#This Row],[TransType]],TransTypes[TransType],0)),1,MATCH(Transactions[[#This Row],[TransType]],TransTypes[TransType],0))</f>
        <v>3</v>
      </c>
      <c r="M1410" s="160">
        <f>IF( AND( INDEX(TransTypes[],Transactions[[#This Row],[TTR]],TT_COL_GLFlag)=1, INDEX(TransTypes[],Transactions[[#This Row],[TTR]],TT_COL_LONGORSHORT)="S" ),
      Transactions[[#This Row],[PL]],
      IF(INDEX(TransTypes[],Transactions[[#This Row],[TTR]],TT_COL_LONGORSHORT)="S",0,Transactions[[#This Row],[CalCashImpact]])
)</f>
        <v>218802.44</v>
      </c>
      <c r="N1410" s="161">
        <f>IF(VLOOKUP(Transactions[[#This Row],[Symbol]],Symbols[],COLUMN(Symbols[Currency])-COLUMN(Symbols[])+1,FALSE)=
       VLOOKUP(Transactions[[#This Row],[Account]],Accounts[],COLUMN(Accounts[Currency])-COLUMN(Accounts[])+1,FALSE),
     Transactions[[#This Row],[OrigCashImpact]],
     0
)</f>
        <v>218802.44</v>
      </c>
      <c r="O14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2127135.6700000004</v>
      </c>
      <c r="P14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-530000</v>
      </c>
      <c r="Q14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1480000</v>
      </c>
      <c r="R1410" s="41">
        <f>ROW()</f>
        <v>1410</v>
      </c>
      <c r="S14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-217787.73597378359</v>
      </c>
      <c r="T14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608161.97970037698</v>
      </c>
      <c r="U14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2010000</v>
      </c>
      <c r="V1410" s="166">
        <f>IF(INDEX(TransTypes[],Transactions[[#This Row],[TTR]],TT_COL_GLFlag)=1,Transactions[[#This Row],[CalCashImpact]]+Transactions[[#This Row],[CostImpact]],0)</f>
        <v>1014.7040262164082</v>
      </c>
      <c r="W1410" s="167">
        <f>Transactions[[#This Row],[Amount]]*INDEX(TransTypes[],Transactions[[#This Row],[TTR]],TT_COL_AmntSign)</f>
        <v>218802.44</v>
      </c>
      <c r="X1410" s="167">
        <f>IF(INDEX(TransTypes[],Transactions[[#This Row],[TTR]],TT_COL_LONGORSHORT)="S",
      IF( OR(INDEX(TransTypes[],Transactions[[#This Row],[TTR]],TT_COL_GLFlag)=1, INDEX(TransTypes[], Transactions[[#This Row],[TTR]], TT_COL_ShareTransferFlag)=1),
            Transactions[[#This Row],[CostImpact]]*-1,
            Transactions[[#This Row],[CalCashImpact]]
      ),
     0
)</f>
        <v>0</v>
      </c>
      <c r="Y1410" s="168" t="str">
        <f>VLOOKUP(Transactions[[#This Row],[Symbol]],Symbols[], COLUMN(Symbols[Currency])-COLUMN(Symbols[])+1,FALSE)</f>
        <v>CNY</v>
      </c>
    </row>
    <row r="1411" spans="1:25">
      <c r="A1411" s="155" t="s">
        <v>82</v>
      </c>
      <c r="B1411" s="156">
        <v>42732</v>
      </c>
      <c r="C1411" s="155" t="s">
        <v>115</v>
      </c>
      <c r="D1411" s="155"/>
      <c r="E1411" s="155" t="s">
        <v>715</v>
      </c>
      <c r="F1411" s="157">
        <v>1000000</v>
      </c>
      <c r="G1411" s="158">
        <v>0.41299999999999998</v>
      </c>
      <c r="H1411" s="157">
        <v>165.2</v>
      </c>
      <c r="I1411" s="157"/>
      <c r="J1411" s="159">
        <v>412834.8</v>
      </c>
      <c r="K1411" s="6" t="s">
        <v>641</v>
      </c>
      <c r="L1411" s="20">
        <f>IF(ISNA(MATCH(Transactions[[#This Row],[TransType]],TransTypes[TransType],0)),1,MATCH(Transactions[[#This Row],[TransType]],TransTypes[TransType],0))</f>
        <v>3</v>
      </c>
      <c r="M1411" s="160">
        <f>IF( AND( INDEX(TransTypes[],Transactions[[#This Row],[TTR]],TT_COL_GLFlag)=1, INDEX(TransTypes[],Transactions[[#This Row],[TTR]],TT_COL_LONGORSHORT)="S" ),
      Transactions[[#This Row],[PL]],
      IF(INDEX(TransTypes[],Transactions[[#This Row],[TTR]],TT_COL_LONGORSHORT)="S",0,Transactions[[#This Row],[CalCashImpact]])
)</f>
        <v>412834.8</v>
      </c>
      <c r="N1411" s="161">
        <f>IF(VLOOKUP(Transactions[[#This Row],[Symbol]],Symbols[],COLUMN(Symbols[Currency])-COLUMN(Symbols[])+1,FALSE)=
       VLOOKUP(Transactions[[#This Row],[Account]],Accounts[],COLUMN(Accounts[Currency])-COLUMN(Accounts[])+1,FALSE),
     Transactions[[#This Row],[OrigCashImpact]],
     0
)</f>
        <v>412834.8</v>
      </c>
      <c r="O14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2539970.4700000007</v>
      </c>
      <c r="P14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-1000000</v>
      </c>
      <c r="Q14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480000</v>
      </c>
      <c r="R1411" s="41">
        <f>ROW()</f>
        <v>1411</v>
      </c>
      <c r="S14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-410920.25655430875</v>
      </c>
      <c r="T14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197241.72314606817</v>
      </c>
      <c r="U14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1480000</v>
      </c>
      <c r="V1411" s="166">
        <f>IF(INDEX(TransTypes[],Transactions[[#This Row],[TTR]],TT_COL_GLFlag)=1,Transactions[[#This Row],[CalCashImpact]]+Transactions[[#This Row],[CostImpact]],0)</f>
        <v>1914.5434456912335</v>
      </c>
      <c r="W1411" s="167">
        <f>Transactions[[#This Row],[Amount]]*INDEX(TransTypes[],Transactions[[#This Row],[TTR]],TT_COL_AmntSign)</f>
        <v>412834.8</v>
      </c>
      <c r="X1411" s="167">
        <f>IF(INDEX(TransTypes[],Transactions[[#This Row],[TTR]],TT_COL_LONGORSHORT)="S",
      IF( OR(INDEX(TransTypes[],Transactions[[#This Row],[TTR]],TT_COL_GLFlag)=1, INDEX(TransTypes[], Transactions[[#This Row],[TTR]], TT_COL_ShareTransferFlag)=1),
            Transactions[[#This Row],[CostImpact]]*-1,
            Transactions[[#This Row],[CalCashImpact]]
      ),
     0
)</f>
        <v>0</v>
      </c>
      <c r="Y1411" s="168" t="str">
        <f>VLOOKUP(Transactions[[#This Row],[Symbol]],Symbols[], COLUMN(Symbols[Currency])-COLUMN(Symbols[])+1,FALSE)</f>
        <v>CNY</v>
      </c>
    </row>
    <row r="1412" spans="1:25">
      <c r="A1412" s="155" t="s">
        <v>82</v>
      </c>
      <c r="B1412" s="156">
        <v>42732</v>
      </c>
      <c r="C1412" s="155" t="s">
        <v>115</v>
      </c>
      <c r="D1412" s="155"/>
      <c r="E1412" s="155" t="s">
        <v>715</v>
      </c>
      <c r="F1412" s="157">
        <v>480000</v>
      </c>
      <c r="G1412" s="158">
        <v>0.41199999999999998</v>
      </c>
      <c r="H1412" s="157">
        <v>79.099999999999994</v>
      </c>
      <c r="I1412" s="157"/>
      <c r="J1412" s="159">
        <v>197680.9</v>
      </c>
      <c r="K1412" s="6" t="s">
        <v>641</v>
      </c>
      <c r="L1412" s="20">
        <f>IF(ISNA(MATCH(Transactions[[#This Row],[TransType]],TransTypes[TransType],0)),1,MATCH(Transactions[[#This Row],[TransType]],TransTypes[TransType],0))</f>
        <v>3</v>
      </c>
      <c r="M1412" s="160">
        <f>IF( AND( INDEX(TransTypes[],Transactions[[#This Row],[TTR]],TT_COL_GLFlag)=1, INDEX(TransTypes[],Transactions[[#This Row],[TTR]],TT_COL_LONGORSHORT)="S" ),
      Transactions[[#This Row],[PL]],
      IF(INDEX(TransTypes[],Transactions[[#This Row],[TTR]],TT_COL_LONGORSHORT)="S",0,Transactions[[#This Row],[CalCashImpact]])
)</f>
        <v>197680.9</v>
      </c>
      <c r="N1412" s="161">
        <f>IF(VLOOKUP(Transactions[[#This Row],[Symbol]],Symbols[],COLUMN(Symbols[Currency])-COLUMN(Symbols[])+1,FALSE)=
       VLOOKUP(Transactions[[#This Row],[Account]],Accounts[],COLUMN(Accounts[Currency])-COLUMN(Accounts[])+1,FALSE),
     Transactions[[#This Row],[OrigCashImpact]],
     0
)</f>
        <v>197680.9</v>
      </c>
      <c r="O14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2737651.3700000006</v>
      </c>
      <c r="P14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-480000</v>
      </c>
      <c r="Q14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12" s="41">
        <f>ROW()</f>
        <v>1412</v>
      </c>
      <c r="S14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-197241.72314606817</v>
      </c>
      <c r="T14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480000</v>
      </c>
      <c r="V1412" s="166">
        <f>IF(INDEX(TransTypes[],Transactions[[#This Row],[TTR]],TT_COL_GLFlag)=1,Transactions[[#This Row],[CalCashImpact]]+Transactions[[#This Row],[CostImpact]],0)</f>
        <v>439.1768539318291</v>
      </c>
      <c r="W1412" s="167">
        <f>Transactions[[#This Row],[Amount]]*INDEX(TransTypes[],Transactions[[#This Row],[TTR]],TT_COL_AmntSign)</f>
        <v>197680.9</v>
      </c>
      <c r="X1412" s="167">
        <f>IF(INDEX(TransTypes[],Transactions[[#This Row],[TTR]],TT_COL_LONGORSHORT)="S",
      IF( OR(INDEX(TransTypes[],Transactions[[#This Row],[TTR]],TT_COL_GLFlag)=1, INDEX(TransTypes[], Transactions[[#This Row],[TTR]], TT_COL_ShareTransferFlag)=1),
            Transactions[[#This Row],[CostImpact]]*-1,
            Transactions[[#This Row],[CalCashImpact]]
      ),
     0
)</f>
        <v>0</v>
      </c>
      <c r="Y1412" s="168" t="str">
        <f>VLOOKUP(Transactions[[#This Row],[Symbol]],Symbols[], COLUMN(Symbols[Currency])-COLUMN(Symbols[])+1,FALSE)</f>
        <v>CNY</v>
      </c>
    </row>
    <row r="1413" spans="1:25">
      <c r="A1413" s="155" t="s">
        <v>82</v>
      </c>
      <c r="B1413" s="156">
        <v>42732</v>
      </c>
      <c r="C1413" s="155" t="s">
        <v>152</v>
      </c>
      <c r="D1413" s="155"/>
      <c r="E1413" s="155" t="s">
        <v>210</v>
      </c>
      <c r="F1413" s="157">
        <v>163060.79999999999</v>
      </c>
      <c r="G1413" s="158">
        <f>Transactions[[#This Row],[Amount]]/Transactions[[#This Row],[Qty]]</f>
        <v>1.1145662844779372</v>
      </c>
      <c r="H1413" s="157"/>
      <c r="I1413" s="157"/>
      <c r="J1413" s="159">
        <v>181742.07</v>
      </c>
      <c r="K1413" s="6" t="s">
        <v>641</v>
      </c>
      <c r="L1413" s="20">
        <f>IF(ISNA(MATCH(Transactions[[#This Row],[TransType]],TransTypes[TransType],0)),1,MATCH(Transactions[[#This Row],[TransType]],TransTypes[TransType],0))</f>
        <v>15</v>
      </c>
      <c r="M1413" s="160">
        <f>IF( AND( INDEX(TransTypes[],Transactions[[#This Row],[TTR]],TT_COL_GLFlag)=1, INDEX(TransTypes[],Transactions[[#This Row],[TTR]],TT_COL_LONGORSHORT)="S" ),
      Transactions[[#This Row],[PL]],
      IF(INDEX(TransTypes[],Transactions[[#This Row],[TTR]],TT_COL_LONGORSHORT)="S",0,Transactions[[#This Row],[CalCashImpact]])
)</f>
        <v>181742.07</v>
      </c>
      <c r="N1413" s="161">
        <f>IF(VLOOKUP(Transactions[[#This Row],[Symbol]],Symbols[],COLUMN(Symbols[Currency])-COLUMN(Symbols[])+1,FALSE)=
       VLOOKUP(Transactions[[#This Row],[Account]],Accounts[],COLUMN(Accounts[Currency])-COLUMN(Accounts[])+1,FALSE),
     Transactions[[#This Row],[OrigCashImpact]],
     0
)</f>
        <v>0</v>
      </c>
      <c r="O14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2737651.3700000006</v>
      </c>
      <c r="P14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13" s="41">
        <f>ROW()</f>
        <v>1413</v>
      </c>
      <c r="S14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13" s="166">
        <f>IF(INDEX(TransTypes[],Transactions[[#This Row],[TTR]],TT_COL_GLFlag)=1,Transactions[[#This Row],[CalCashImpact]]+Transactions[[#This Row],[CostImpact]],0)</f>
        <v>0</v>
      </c>
      <c r="W1413" s="167">
        <f>Transactions[[#This Row],[Amount]]*INDEX(TransTypes[],Transactions[[#This Row],[TTR]],TT_COL_AmntSign)</f>
        <v>181742.07</v>
      </c>
      <c r="X1413" s="167">
        <f>IF(INDEX(TransTypes[],Transactions[[#This Row],[TTR]],TT_COL_LONGORSHORT)="S",
      IF( OR(INDEX(TransTypes[],Transactions[[#This Row],[TTR]],TT_COL_GLFlag)=1, INDEX(TransTypes[], Transactions[[#This Row],[TTR]], TT_COL_ShareTransferFlag)=1),
            Transactions[[#This Row],[CostImpact]]*-1,
            Transactions[[#This Row],[CalCashImpact]]
      ),
     0
)</f>
        <v>0</v>
      </c>
      <c r="Y1413" s="168" t="str">
        <f>VLOOKUP(Transactions[[#This Row],[Symbol]],Symbols[], COLUMN(Symbols[Currency])-COLUMN(Symbols[])+1,FALSE)</f>
        <v>HKD</v>
      </c>
    </row>
    <row r="1414" spans="1:25">
      <c r="A1414" s="155" t="s">
        <v>82</v>
      </c>
      <c r="B1414" s="156">
        <v>42732</v>
      </c>
      <c r="C1414" s="155" t="s">
        <v>238</v>
      </c>
      <c r="D1414" s="155"/>
      <c r="E1414" s="155" t="s">
        <v>211</v>
      </c>
      <c r="F1414" s="157">
        <v>163060.79999999999</v>
      </c>
      <c r="G1414" s="158">
        <v>1</v>
      </c>
      <c r="H1414" s="157"/>
      <c r="I1414" s="157"/>
      <c r="J1414" s="159">
        <v>163060.79999999999</v>
      </c>
      <c r="K1414" s="6" t="s">
        <v>722</v>
      </c>
      <c r="L1414" s="20">
        <f>IF(ISNA(MATCH(Transactions[[#This Row],[TransType]],TransTypes[TransType],0)),1,MATCH(Transactions[[#This Row],[TransType]],TransTypes[TransType],0))</f>
        <v>16</v>
      </c>
      <c r="M1414" s="160">
        <f>IF( AND( INDEX(TransTypes[],Transactions[[#This Row],[TTR]],TT_COL_GLFlag)=1, INDEX(TransTypes[],Transactions[[#This Row],[TTR]],TT_COL_LONGORSHORT)="S" ),
      Transactions[[#This Row],[PL]],
      IF(INDEX(TransTypes[],Transactions[[#This Row],[TTR]],TT_COL_LONGORSHORT)="S",0,Transactions[[#This Row],[CalCashImpact]])
)</f>
        <v>-163060.79999999999</v>
      </c>
      <c r="N1414" s="161">
        <f>IF(VLOOKUP(Transactions[[#This Row],[Symbol]],Symbols[],COLUMN(Symbols[Currency])-COLUMN(Symbols[])+1,FALSE)=
       VLOOKUP(Transactions[[#This Row],[Account]],Accounts[],COLUMN(Accounts[Currency])-COLUMN(Accounts[])+1,FALSE),
     Transactions[[#This Row],[OrigCashImpact]],
     0
)</f>
        <v>-163060.79999999999</v>
      </c>
      <c r="O14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2574590.5700000003</v>
      </c>
      <c r="P14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14" s="41">
        <f>ROW()</f>
        <v>1414</v>
      </c>
      <c r="S14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14" s="166">
        <f>IF(INDEX(TransTypes[],Transactions[[#This Row],[TTR]],TT_COL_GLFlag)=1,Transactions[[#This Row],[CalCashImpact]]+Transactions[[#This Row],[CostImpact]],0)</f>
        <v>0</v>
      </c>
      <c r="W1414" s="167">
        <f>Transactions[[#This Row],[Amount]]*INDEX(TransTypes[],Transactions[[#This Row],[TTR]],TT_COL_AmntSign)</f>
        <v>-163060.79999999999</v>
      </c>
      <c r="X1414" s="167">
        <f>IF(INDEX(TransTypes[],Transactions[[#This Row],[TTR]],TT_COL_LONGORSHORT)="S",
      IF( OR(INDEX(TransTypes[],Transactions[[#This Row],[TTR]],TT_COL_GLFlag)=1, INDEX(TransTypes[], Transactions[[#This Row],[TTR]], TT_COL_ShareTransferFlag)=1),
            Transactions[[#This Row],[CostImpact]]*-1,
            Transactions[[#This Row],[CalCashImpact]]
      ),
     0
)</f>
        <v>0</v>
      </c>
      <c r="Y1414" s="168" t="str">
        <f>VLOOKUP(Transactions[[#This Row],[Symbol]],Symbols[], COLUMN(Symbols[Currency])-COLUMN(Symbols[])+1,FALSE)</f>
        <v>CNY</v>
      </c>
    </row>
    <row r="1415" spans="1:25">
      <c r="A1415" s="155" t="s">
        <v>82</v>
      </c>
      <c r="B1415" s="156">
        <v>42732</v>
      </c>
      <c r="C1415" s="155" t="s">
        <v>113</v>
      </c>
      <c r="D1415" s="155"/>
      <c r="E1415" s="155" t="s">
        <v>646</v>
      </c>
      <c r="F1415" s="157">
        <v>1000</v>
      </c>
      <c r="G1415" s="158">
        <v>181</v>
      </c>
      <c r="H1415" s="157">
        <v>742.07</v>
      </c>
      <c r="I1415" s="157"/>
      <c r="J1415" s="159">
        <v>181742.07</v>
      </c>
      <c r="K1415" s="6" t="s">
        <v>641</v>
      </c>
      <c r="L1415" s="20">
        <f>IF(ISNA(MATCH(Transactions[[#This Row],[TransType]],TransTypes[TransType],0)),1,MATCH(Transactions[[#This Row],[TransType]],TransTypes[TransType],0))</f>
        <v>2</v>
      </c>
      <c r="M1415" s="160">
        <f>IF( AND( INDEX(TransTypes[],Transactions[[#This Row],[TTR]],TT_COL_GLFlag)=1, INDEX(TransTypes[],Transactions[[#This Row],[TTR]],TT_COL_LONGORSHORT)="S" ),
      Transactions[[#This Row],[PL]],
      IF(INDEX(TransTypes[],Transactions[[#This Row],[TTR]],TT_COL_LONGORSHORT)="S",0,Transactions[[#This Row],[CalCashImpact]])
)</f>
        <v>-181742.07</v>
      </c>
      <c r="N1415" s="161">
        <f>IF(VLOOKUP(Transactions[[#This Row],[Symbol]],Symbols[],COLUMN(Symbols[Currency])-COLUMN(Symbols[])+1,FALSE)=
       VLOOKUP(Transactions[[#This Row],[Account]],Accounts[],COLUMN(Accounts[Currency])-COLUMN(Accounts[])+1,FALSE),
     Transactions[[#This Row],[OrigCashImpact]],
     0
)</f>
        <v>0</v>
      </c>
      <c r="O14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2574590.5700000003</v>
      </c>
      <c r="P14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415" s="41">
        <f>ROW()</f>
        <v>1415</v>
      </c>
      <c r="S14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181742.07</v>
      </c>
      <c r="T14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963035.16999999993</v>
      </c>
      <c r="U14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415" s="166">
        <f>IF(INDEX(TransTypes[],Transactions[[#This Row],[TTR]],TT_COL_GLFlag)=1,Transactions[[#This Row],[CalCashImpact]]+Transactions[[#This Row],[CostImpact]],0)</f>
        <v>0</v>
      </c>
      <c r="W1415" s="167">
        <f>Transactions[[#This Row],[Amount]]*INDEX(TransTypes[],Transactions[[#This Row],[TTR]],TT_COL_AmntSign)</f>
        <v>-181742.07</v>
      </c>
      <c r="X1415" s="167">
        <f>IF(INDEX(TransTypes[],Transactions[[#This Row],[TTR]],TT_COL_LONGORSHORT)="S",
      IF( OR(INDEX(TransTypes[],Transactions[[#This Row],[TTR]],TT_COL_GLFlag)=1, INDEX(TransTypes[], Transactions[[#This Row],[TTR]], TT_COL_ShareTransferFlag)=1),
            Transactions[[#This Row],[CostImpact]]*-1,
            Transactions[[#This Row],[CalCashImpact]]
      ),
     0
)</f>
        <v>0</v>
      </c>
      <c r="Y1415" s="168" t="str">
        <f>VLOOKUP(Transactions[[#This Row],[Symbol]],Symbols[], COLUMN(Symbols[Currency])-COLUMN(Symbols[])+1,FALSE)</f>
        <v>HKD</v>
      </c>
    </row>
    <row r="1416" spans="1:25">
      <c r="A1416" s="155" t="s">
        <v>82</v>
      </c>
      <c r="B1416" s="156">
        <v>42734</v>
      </c>
      <c r="C1416" s="155" t="s">
        <v>113</v>
      </c>
      <c r="D1416" s="155"/>
      <c r="E1416" s="155" t="s">
        <v>684</v>
      </c>
      <c r="F1416" s="157">
        <v>3000</v>
      </c>
      <c r="G1416" s="158">
        <v>23.13</v>
      </c>
      <c r="H1416" s="157">
        <v>29.15</v>
      </c>
      <c r="I1416" s="157"/>
      <c r="J1416" s="159">
        <v>69419.149999999994</v>
      </c>
      <c r="K1416" s="6" t="s">
        <v>641</v>
      </c>
      <c r="L1416" s="20">
        <f>IF(ISNA(MATCH(Transactions[[#This Row],[TransType]],TransTypes[TransType],0)),1,MATCH(Transactions[[#This Row],[TransType]],TransTypes[TransType],0))</f>
        <v>2</v>
      </c>
      <c r="M1416" s="160">
        <f>IF( AND( INDEX(TransTypes[],Transactions[[#This Row],[TTR]],TT_COL_GLFlag)=1, INDEX(TransTypes[],Transactions[[#This Row],[TTR]],TT_COL_LONGORSHORT)="S" ),
      Transactions[[#This Row],[PL]],
      IF(INDEX(TransTypes[],Transactions[[#This Row],[TTR]],TT_COL_LONGORSHORT)="S",0,Transactions[[#This Row],[CalCashImpact]])
)</f>
        <v>-69419.149999999994</v>
      </c>
      <c r="N1416" s="161">
        <f>IF(VLOOKUP(Transactions[[#This Row],[Symbol]],Symbols[],COLUMN(Symbols[Currency])-COLUMN(Symbols[])+1,FALSE)=
       VLOOKUP(Transactions[[#This Row],[Account]],Accounts[],COLUMN(Accounts[Currency])-COLUMN(Accounts[])+1,FALSE),
     Transactions[[#This Row],[OrigCashImpact]],
     0
)</f>
        <v>-69419.149999999994</v>
      </c>
      <c r="O14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2505171.4200000004</v>
      </c>
      <c r="P14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4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416" s="41">
        <f>ROW()</f>
        <v>1416</v>
      </c>
      <c r="S14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69419.149999999994</v>
      </c>
      <c r="T14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139403.72759999998</v>
      </c>
      <c r="U14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416" s="166">
        <f>IF(INDEX(TransTypes[],Transactions[[#This Row],[TTR]],TT_COL_GLFlag)=1,Transactions[[#This Row],[CalCashImpact]]+Transactions[[#This Row],[CostImpact]],0)</f>
        <v>0</v>
      </c>
      <c r="W1416" s="167">
        <f>Transactions[[#This Row],[Amount]]*INDEX(TransTypes[],Transactions[[#This Row],[TTR]],TT_COL_AmntSign)</f>
        <v>-69419.149999999994</v>
      </c>
      <c r="X1416" s="167">
        <f>IF(INDEX(TransTypes[],Transactions[[#This Row],[TTR]],TT_COL_LONGORSHORT)="S",
      IF( OR(INDEX(TransTypes[],Transactions[[#This Row],[TTR]],TT_COL_GLFlag)=1, INDEX(TransTypes[], Transactions[[#This Row],[TTR]], TT_COL_ShareTransferFlag)=1),
            Transactions[[#This Row],[CostImpact]]*-1,
            Transactions[[#This Row],[CalCashImpact]]
      ),
     0
)</f>
        <v>0</v>
      </c>
      <c r="Y1416" s="168" t="str">
        <f>VLOOKUP(Transactions[[#This Row],[Symbol]],Symbols[], COLUMN(Symbols[Currency])-COLUMN(Symbols[])+1,FALSE)</f>
        <v>CNY</v>
      </c>
    </row>
    <row r="1417" spans="1:25">
      <c r="A1417" s="155" t="s">
        <v>82</v>
      </c>
      <c r="B1417" s="156">
        <v>42734</v>
      </c>
      <c r="C1417" s="155" t="s">
        <v>113</v>
      </c>
      <c r="D1417" s="155"/>
      <c r="E1417" s="155" t="s">
        <v>491</v>
      </c>
      <c r="F1417" s="157">
        <v>56000</v>
      </c>
      <c r="G1417" s="158">
        <v>2.6589999999999998</v>
      </c>
      <c r="H1417" s="157">
        <v>59.56</v>
      </c>
      <c r="I1417" s="157"/>
      <c r="J1417" s="159">
        <v>148963.56</v>
      </c>
      <c r="K1417" s="6" t="s">
        <v>641</v>
      </c>
      <c r="L1417" s="20">
        <f>IF(ISNA(MATCH(Transactions[[#This Row],[TransType]],TransTypes[TransType],0)),1,MATCH(Transactions[[#This Row],[TransType]],TransTypes[TransType],0))</f>
        <v>2</v>
      </c>
      <c r="M1417" s="160">
        <f>IF( AND( INDEX(TransTypes[],Transactions[[#This Row],[TTR]],TT_COL_GLFlag)=1, INDEX(TransTypes[],Transactions[[#This Row],[TTR]],TT_COL_LONGORSHORT)="S" ),
      Transactions[[#This Row],[PL]],
      IF(INDEX(TransTypes[],Transactions[[#This Row],[TTR]],TT_COL_LONGORSHORT)="S",0,Transactions[[#This Row],[CalCashImpact]])
)</f>
        <v>-148963.56</v>
      </c>
      <c r="N1417" s="161">
        <f>IF(VLOOKUP(Transactions[[#This Row],[Symbol]],Symbols[],COLUMN(Symbols[Currency])-COLUMN(Symbols[])+1,FALSE)=
       VLOOKUP(Transactions[[#This Row],[Account]],Accounts[],COLUMN(Accounts[Currency])-COLUMN(Accounts[])+1,FALSE),
     Transactions[[#This Row],[OrigCashImpact]],
     0
)</f>
        <v>-148963.56</v>
      </c>
      <c r="O14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2356207.8600000003</v>
      </c>
      <c r="P14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56000</v>
      </c>
      <c r="Q14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56000</v>
      </c>
      <c r="R1417" s="41">
        <f>ROW()</f>
        <v>1417</v>
      </c>
      <c r="S14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148963.56</v>
      </c>
      <c r="T14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148963.56</v>
      </c>
      <c r="U14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56000</v>
      </c>
      <c r="V1417" s="166">
        <f>IF(INDEX(TransTypes[],Transactions[[#This Row],[TTR]],TT_COL_GLFlag)=1,Transactions[[#This Row],[CalCashImpact]]+Transactions[[#This Row],[CostImpact]],0)</f>
        <v>0</v>
      </c>
      <c r="W1417" s="167">
        <f>Transactions[[#This Row],[Amount]]*INDEX(TransTypes[],Transactions[[#This Row],[TTR]],TT_COL_AmntSign)</f>
        <v>-148963.56</v>
      </c>
      <c r="X1417" s="167">
        <f>IF(INDEX(TransTypes[],Transactions[[#This Row],[TTR]],TT_COL_LONGORSHORT)="S",
      IF( OR(INDEX(TransTypes[],Transactions[[#This Row],[TTR]],TT_COL_GLFlag)=1, INDEX(TransTypes[], Transactions[[#This Row],[TTR]], TT_COL_ShareTransferFlag)=1),
            Transactions[[#This Row],[CostImpact]]*-1,
            Transactions[[#This Row],[CalCashImpact]]
      ),
     0
)</f>
        <v>0</v>
      </c>
      <c r="Y1417" s="168" t="str">
        <f>VLOOKUP(Transactions[[#This Row],[Symbol]],Symbols[], COLUMN(Symbols[Currency])-COLUMN(Symbols[])+1,FALSE)</f>
        <v>CNY</v>
      </c>
    </row>
    <row r="1418" spans="1:25">
      <c r="A1418" s="155" t="s">
        <v>82</v>
      </c>
      <c r="B1418" s="156">
        <v>42738</v>
      </c>
      <c r="C1418" s="155" t="s">
        <v>113</v>
      </c>
      <c r="D1418" s="155"/>
      <c r="E1418" s="155" t="s">
        <v>710</v>
      </c>
      <c r="F1418" s="157">
        <v>5000</v>
      </c>
      <c r="G1418" s="158">
        <v>21.76</v>
      </c>
      <c r="H1418" s="157">
        <v>43.52</v>
      </c>
      <c r="I1418" s="157"/>
      <c r="J1418" s="159">
        <v>108843.52</v>
      </c>
      <c r="K1418" s="6" t="s">
        <v>641</v>
      </c>
      <c r="L1418" s="20">
        <f>IF(ISNA(MATCH(Transactions[[#This Row],[TransType]],TransTypes[TransType],0)),1,MATCH(Transactions[[#This Row],[TransType]],TransTypes[TransType],0))</f>
        <v>2</v>
      </c>
      <c r="M1418" s="160">
        <f>IF( AND( INDEX(TransTypes[],Transactions[[#This Row],[TTR]],TT_COL_GLFlag)=1, INDEX(TransTypes[],Transactions[[#This Row],[TTR]],TT_COL_LONGORSHORT)="S" ),
      Transactions[[#This Row],[PL]],
      IF(INDEX(TransTypes[],Transactions[[#This Row],[TTR]],TT_COL_LONGORSHORT)="S",0,Transactions[[#This Row],[CalCashImpact]])
)</f>
        <v>-108843.52</v>
      </c>
      <c r="N1418" s="161">
        <f>IF(VLOOKUP(Transactions[[#This Row],[Symbol]],Symbols[],COLUMN(Symbols[Currency])-COLUMN(Symbols[])+1,FALSE)=
       VLOOKUP(Transactions[[#This Row],[Account]],Accounts[],COLUMN(Accounts[Currency])-COLUMN(Accounts[])+1,FALSE),
     Transactions[[#This Row],[OrigCashImpact]],
     0
)</f>
        <v>-108843.52</v>
      </c>
      <c r="O14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2247364.3400000003</v>
      </c>
      <c r="P14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4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418" s="41">
        <f>ROW()</f>
        <v>1418</v>
      </c>
      <c r="S14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108843.52</v>
      </c>
      <c r="T14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221055.64599206351</v>
      </c>
      <c r="U14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18" s="166">
        <f>IF(INDEX(TransTypes[],Transactions[[#This Row],[TTR]],TT_COL_GLFlag)=1,Transactions[[#This Row],[CalCashImpact]]+Transactions[[#This Row],[CostImpact]],0)</f>
        <v>0</v>
      </c>
      <c r="W1418" s="167">
        <f>Transactions[[#This Row],[Amount]]*INDEX(TransTypes[],Transactions[[#This Row],[TTR]],TT_COL_AmntSign)</f>
        <v>-108843.52</v>
      </c>
      <c r="X1418" s="167">
        <f>IF(INDEX(TransTypes[],Transactions[[#This Row],[TTR]],TT_COL_LONGORSHORT)="S",
      IF( OR(INDEX(TransTypes[],Transactions[[#This Row],[TTR]],TT_COL_GLFlag)=1, INDEX(TransTypes[], Transactions[[#This Row],[TTR]], TT_COL_ShareTransferFlag)=1),
            Transactions[[#This Row],[CostImpact]]*-1,
            Transactions[[#This Row],[CalCashImpact]]
      ),
     0
)</f>
        <v>0</v>
      </c>
      <c r="Y1418" s="168" t="str">
        <f>VLOOKUP(Transactions[[#This Row],[Symbol]],Symbols[], COLUMN(Symbols[Currency])-COLUMN(Symbols[])+1,FALSE)</f>
        <v>CNY</v>
      </c>
    </row>
    <row r="1419" spans="1:25">
      <c r="A1419" s="155" t="s">
        <v>82</v>
      </c>
      <c r="B1419" s="156">
        <v>42738</v>
      </c>
      <c r="C1419" s="155" t="s">
        <v>113</v>
      </c>
      <c r="D1419" s="155"/>
      <c r="E1419" s="155" t="s">
        <v>468</v>
      </c>
      <c r="F1419" s="157">
        <v>2000</v>
      </c>
      <c r="G1419" s="158">
        <v>35.847000000000001</v>
      </c>
      <c r="H1419" s="157">
        <v>30.11</v>
      </c>
      <c r="I1419" s="157"/>
      <c r="J1419" s="159">
        <v>71724.11</v>
      </c>
      <c r="K1419" s="6" t="s">
        <v>641</v>
      </c>
      <c r="L1419" s="20">
        <f>IF(ISNA(MATCH(Transactions[[#This Row],[TransType]],TransTypes[TransType],0)),1,MATCH(Transactions[[#This Row],[TransType]],TransTypes[TransType],0))</f>
        <v>2</v>
      </c>
      <c r="M1419" s="160">
        <f>IF( AND( INDEX(TransTypes[],Transactions[[#This Row],[TTR]],TT_COL_GLFlag)=1, INDEX(TransTypes[],Transactions[[#This Row],[TTR]],TT_COL_LONGORSHORT)="S" ),
      Transactions[[#This Row],[PL]],
      IF(INDEX(TransTypes[],Transactions[[#This Row],[TTR]],TT_COL_LONGORSHORT)="S",0,Transactions[[#This Row],[CalCashImpact]])
)</f>
        <v>-71724.11</v>
      </c>
      <c r="N1419" s="161">
        <f>IF(VLOOKUP(Transactions[[#This Row],[Symbol]],Symbols[],COLUMN(Symbols[Currency])-COLUMN(Symbols[])+1,FALSE)=
       VLOOKUP(Transactions[[#This Row],[Account]],Accounts[],COLUMN(Accounts[Currency])-COLUMN(Accounts[])+1,FALSE),
     Transactions[[#This Row],[OrigCashImpact]],
     0
)</f>
        <v>-71724.11</v>
      </c>
      <c r="O14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2175640.2300000004</v>
      </c>
      <c r="P14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419" s="41">
        <f>ROW()</f>
        <v>1419</v>
      </c>
      <c r="S14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71724.11</v>
      </c>
      <c r="T14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182717.3</v>
      </c>
      <c r="U14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419" s="166">
        <f>IF(INDEX(TransTypes[],Transactions[[#This Row],[TTR]],TT_COL_GLFlag)=1,Transactions[[#This Row],[CalCashImpact]]+Transactions[[#This Row],[CostImpact]],0)</f>
        <v>0</v>
      </c>
      <c r="W1419" s="167">
        <f>Transactions[[#This Row],[Amount]]*INDEX(TransTypes[],Transactions[[#This Row],[TTR]],TT_COL_AmntSign)</f>
        <v>-71724.11</v>
      </c>
      <c r="X1419" s="167">
        <f>IF(INDEX(TransTypes[],Transactions[[#This Row],[TTR]],TT_COL_LONGORSHORT)="S",
      IF( OR(INDEX(TransTypes[],Transactions[[#This Row],[TTR]],TT_COL_GLFlag)=1, INDEX(TransTypes[], Transactions[[#This Row],[TTR]], TT_COL_ShareTransferFlag)=1),
            Transactions[[#This Row],[CostImpact]]*-1,
            Transactions[[#This Row],[CalCashImpact]]
      ),
     0
)</f>
        <v>0</v>
      </c>
      <c r="Y1419" s="168" t="str">
        <f>VLOOKUP(Transactions[[#This Row],[Symbol]],Symbols[], COLUMN(Symbols[Currency])-COLUMN(Symbols[])+1,FALSE)</f>
        <v>CNY</v>
      </c>
    </row>
    <row r="1420" spans="1:25">
      <c r="A1420" s="155" t="s">
        <v>82</v>
      </c>
      <c r="B1420" s="156">
        <v>42738</v>
      </c>
      <c r="C1420" s="155" t="s">
        <v>113</v>
      </c>
      <c r="D1420" s="155"/>
      <c r="E1420" s="155" t="s">
        <v>684</v>
      </c>
      <c r="F1420" s="157">
        <v>4000</v>
      </c>
      <c r="G1420" s="158">
        <v>23.94</v>
      </c>
      <c r="H1420" s="157">
        <v>40.22</v>
      </c>
      <c r="I1420" s="157"/>
      <c r="J1420" s="159">
        <v>95800.22</v>
      </c>
      <c r="K1420" s="6" t="s">
        <v>641</v>
      </c>
      <c r="L1420" s="20">
        <f>IF(ISNA(MATCH(Transactions[[#This Row],[TransType]],TransTypes[TransType],0)),1,MATCH(Transactions[[#This Row],[TransType]],TransTypes[TransType],0))</f>
        <v>2</v>
      </c>
      <c r="M1420" s="160">
        <f>IF( AND( INDEX(TransTypes[],Transactions[[#This Row],[TTR]],TT_COL_GLFlag)=1, INDEX(TransTypes[],Transactions[[#This Row],[TTR]],TT_COL_LONGORSHORT)="S" ),
      Transactions[[#This Row],[PL]],
      IF(INDEX(TransTypes[],Transactions[[#This Row],[TTR]],TT_COL_LONGORSHORT)="S",0,Transactions[[#This Row],[CalCashImpact]])
)</f>
        <v>-95800.22</v>
      </c>
      <c r="N1420" s="161">
        <f>IF(VLOOKUP(Transactions[[#This Row],[Symbol]],Symbols[],COLUMN(Symbols[Currency])-COLUMN(Symbols[])+1,FALSE)=
       VLOOKUP(Transactions[[#This Row],[Account]],Accounts[],COLUMN(Accounts[Currency])-COLUMN(Accounts[])+1,FALSE),
     Transactions[[#This Row],[OrigCashImpact]],
     0
)</f>
        <v>-95800.22</v>
      </c>
      <c r="O14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2079840.0100000002</v>
      </c>
      <c r="P14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4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420" s="41">
        <f>ROW()</f>
        <v>1420</v>
      </c>
      <c r="S14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95800.22</v>
      </c>
      <c r="T14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235203.94759999998</v>
      </c>
      <c r="U14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20" s="166">
        <f>IF(INDEX(TransTypes[],Transactions[[#This Row],[TTR]],TT_COL_GLFlag)=1,Transactions[[#This Row],[CalCashImpact]]+Transactions[[#This Row],[CostImpact]],0)</f>
        <v>0</v>
      </c>
      <c r="W1420" s="167">
        <f>Transactions[[#This Row],[Amount]]*INDEX(TransTypes[],Transactions[[#This Row],[TTR]],TT_COL_AmntSign)</f>
        <v>-95800.22</v>
      </c>
      <c r="X1420" s="167">
        <f>IF(INDEX(TransTypes[],Transactions[[#This Row],[TTR]],TT_COL_LONGORSHORT)="S",
      IF( OR(INDEX(TransTypes[],Transactions[[#This Row],[TTR]],TT_COL_GLFlag)=1, INDEX(TransTypes[], Transactions[[#This Row],[TTR]], TT_COL_ShareTransferFlag)=1),
            Transactions[[#This Row],[CostImpact]]*-1,
            Transactions[[#This Row],[CalCashImpact]]
      ),
     0
)</f>
        <v>0</v>
      </c>
      <c r="Y1420" s="168" t="str">
        <f>VLOOKUP(Transactions[[#This Row],[Symbol]],Symbols[], COLUMN(Symbols[Currency])-COLUMN(Symbols[])+1,FALSE)</f>
        <v>CNY</v>
      </c>
    </row>
    <row r="1421" spans="1:25">
      <c r="A1421" s="155" t="s">
        <v>82</v>
      </c>
      <c r="B1421" s="156">
        <v>42740</v>
      </c>
      <c r="C1421" s="155" t="s">
        <v>113</v>
      </c>
      <c r="D1421" s="155"/>
      <c r="E1421" s="155" t="s">
        <v>491</v>
      </c>
      <c r="F1421" s="157">
        <v>55000</v>
      </c>
      <c r="G1421" s="158">
        <v>2.706</v>
      </c>
      <c r="H1421" s="157">
        <v>59.53</v>
      </c>
      <c r="I1421" s="157"/>
      <c r="J1421" s="159">
        <v>148889.53</v>
      </c>
      <c r="K1421" s="6" t="s">
        <v>641</v>
      </c>
      <c r="L1421" s="20">
        <f>IF(ISNA(MATCH(Transactions[[#This Row],[TransType]],TransTypes[TransType],0)),1,MATCH(Transactions[[#This Row],[TransType]],TransTypes[TransType],0))</f>
        <v>2</v>
      </c>
      <c r="M1421" s="160">
        <f>IF( AND( INDEX(TransTypes[],Transactions[[#This Row],[TTR]],TT_COL_GLFlag)=1, INDEX(TransTypes[],Transactions[[#This Row],[TTR]],TT_COL_LONGORSHORT)="S" ),
      Transactions[[#This Row],[PL]],
      IF(INDEX(TransTypes[],Transactions[[#This Row],[TTR]],TT_COL_LONGORSHORT)="S",0,Transactions[[#This Row],[CalCashImpact]])
)</f>
        <v>-148889.53</v>
      </c>
      <c r="N1421" s="161">
        <f>IF(VLOOKUP(Transactions[[#This Row],[Symbol]],Symbols[],COLUMN(Symbols[Currency])-COLUMN(Symbols[])+1,FALSE)=
       VLOOKUP(Transactions[[#This Row],[Account]],Accounts[],COLUMN(Accounts[Currency])-COLUMN(Accounts[])+1,FALSE),
     Transactions[[#This Row],[OrigCashImpact]],
     0
)</f>
        <v>-148889.53</v>
      </c>
      <c r="O14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1930950.4800000004</v>
      </c>
      <c r="P14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55000</v>
      </c>
      <c r="Q14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111000</v>
      </c>
      <c r="R1421" s="41">
        <f>ROW()</f>
        <v>1421</v>
      </c>
      <c r="S14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148889.53</v>
      </c>
      <c r="T14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297853.08999999997</v>
      </c>
      <c r="U14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111000</v>
      </c>
      <c r="V1421" s="166">
        <f>IF(INDEX(TransTypes[],Transactions[[#This Row],[TTR]],TT_COL_GLFlag)=1,Transactions[[#This Row],[CalCashImpact]]+Transactions[[#This Row],[CostImpact]],0)</f>
        <v>0</v>
      </c>
      <c r="W1421" s="167">
        <f>Transactions[[#This Row],[Amount]]*INDEX(TransTypes[],Transactions[[#This Row],[TTR]],TT_COL_AmntSign)</f>
        <v>-148889.53</v>
      </c>
      <c r="X1421" s="167">
        <f>IF(INDEX(TransTypes[],Transactions[[#This Row],[TTR]],TT_COL_LONGORSHORT)="S",
      IF( OR(INDEX(TransTypes[],Transactions[[#This Row],[TTR]],TT_COL_GLFlag)=1, INDEX(TransTypes[], Transactions[[#This Row],[TTR]], TT_COL_ShareTransferFlag)=1),
            Transactions[[#This Row],[CostImpact]]*-1,
            Transactions[[#This Row],[CalCashImpact]]
      ),
     0
)</f>
        <v>0</v>
      </c>
      <c r="Y1421" s="168" t="str">
        <f>VLOOKUP(Transactions[[#This Row],[Symbol]],Symbols[], COLUMN(Symbols[Currency])-COLUMN(Symbols[])+1,FALSE)</f>
        <v>CNY</v>
      </c>
    </row>
    <row r="1422" spans="1:25">
      <c r="A1422" s="155" t="s">
        <v>82</v>
      </c>
      <c r="B1422" s="156">
        <v>42741</v>
      </c>
      <c r="C1422" s="155" t="s">
        <v>113</v>
      </c>
      <c r="D1422" s="155"/>
      <c r="E1422" s="155" t="s">
        <v>721</v>
      </c>
      <c r="F1422" s="157">
        <v>20000</v>
      </c>
      <c r="G1422" s="158">
        <v>5.92</v>
      </c>
      <c r="H1422" s="157">
        <v>49.73</v>
      </c>
      <c r="I1422" s="157"/>
      <c r="J1422" s="159">
        <v>118449.73</v>
      </c>
      <c r="K1422" s="6" t="s">
        <v>641</v>
      </c>
      <c r="L1422" s="20">
        <f>IF(ISNA(MATCH(Transactions[[#This Row],[TransType]],TransTypes[TransType],0)),1,MATCH(Transactions[[#This Row],[TransType]],TransTypes[TransType],0))</f>
        <v>2</v>
      </c>
      <c r="M1422" s="160">
        <f>IF( AND( INDEX(TransTypes[],Transactions[[#This Row],[TTR]],TT_COL_GLFlag)=1, INDEX(TransTypes[],Transactions[[#This Row],[TTR]],TT_COL_LONGORSHORT)="S" ),
      Transactions[[#This Row],[PL]],
      IF(INDEX(TransTypes[],Transactions[[#This Row],[TTR]],TT_COL_LONGORSHORT)="S",0,Transactions[[#This Row],[CalCashImpact]])
)</f>
        <v>-118449.73</v>
      </c>
      <c r="N1422" s="161">
        <f>IF(VLOOKUP(Transactions[[#This Row],[Symbol]],Symbols[],COLUMN(Symbols[Currency])-COLUMN(Symbols[])+1,FALSE)=
       VLOOKUP(Transactions[[#This Row],[Account]],Accounts[],COLUMN(Accounts[Currency])-COLUMN(Accounts[])+1,FALSE),
     Transactions[[#This Row],[OrigCashImpact]],
     0
)</f>
        <v>-118449.73</v>
      </c>
      <c r="O14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1812500.7500000005</v>
      </c>
      <c r="P14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4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21000</v>
      </c>
      <c r="R1422" s="41">
        <f>ROW()</f>
        <v>1422</v>
      </c>
      <c r="S14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118449.73</v>
      </c>
      <c r="T14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124004.84</v>
      </c>
      <c r="U14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21000</v>
      </c>
      <c r="V1422" s="166">
        <f>IF(INDEX(TransTypes[],Transactions[[#This Row],[TTR]],TT_COL_GLFlag)=1,Transactions[[#This Row],[CalCashImpact]]+Transactions[[#This Row],[CostImpact]],0)</f>
        <v>0</v>
      </c>
      <c r="W1422" s="167">
        <f>Transactions[[#This Row],[Amount]]*INDEX(TransTypes[],Transactions[[#This Row],[TTR]],TT_COL_AmntSign)</f>
        <v>-118449.73</v>
      </c>
      <c r="X1422" s="167">
        <f>IF(INDEX(TransTypes[],Transactions[[#This Row],[TTR]],TT_COL_LONGORSHORT)="S",
      IF( OR(INDEX(TransTypes[],Transactions[[#This Row],[TTR]],TT_COL_GLFlag)=1, INDEX(TransTypes[], Transactions[[#This Row],[TTR]], TT_COL_ShareTransferFlag)=1),
            Transactions[[#This Row],[CostImpact]]*-1,
            Transactions[[#This Row],[CalCashImpact]]
      ),
     0
)</f>
        <v>0</v>
      </c>
      <c r="Y1422" s="168" t="str">
        <f>VLOOKUP(Transactions[[#This Row],[Symbol]],Symbols[], COLUMN(Symbols[Currency])-COLUMN(Symbols[])+1,FALSE)</f>
        <v>CNY</v>
      </c>
    </row>
    <row r="1423" spans="1:25">
      <c r="A1423" s="155" t="s">
        <v>82</v>
      </c>
      <c r="B1423" s="156">
        <v>42741</v>
      </c>
      <c r="C1423" s="155" t="s">
        <v>152</v>
      </c>
      <c r="D1423" s="155"/>
      <c r="E1423" s="155" t="s">
        <v>210</v>
      </c>
      <c r="F1423" s="157">
        <v>173909.51</v>
      </c>
      <c r="G1423" s="158">
        <f>Transactions[[#This Row],[Amount]]/Transactions[[#This Row],[Qty]]</f>
        <v>1.1351254454112369</v>
      </c>
      <c r="H1423" s="157"/>
      <c r="I1423" s="157"/>
      <c r="J1423" s="159">
        <v>197409.11</v>
      </c>
      <c r="K1423" s="6" t="s">
        <v>641</v>
      </c>
      <c r="L1423" s="20">
        <f>IF(ISNA(MATCH(Transactions[[#This Row],[TransType]],TransTypes[TransType],0)),1,MATCH(Transactions[[#This Row],[TransType]],TransTypes[TransType],0))</f>
        <v>15</v>
      </c>
      <c r="M1423" s="160">
        <f>IF( AND( INDEX(TransTypes[],Transactions[[#This Row],[TTR]],TT_COL_GLFlag)=1, INDEX(TransTypes[],Transactions[[#This Row],[TTR]],TT_COL_LONGORSHORT)="S" ),
      Transactions[[#This Row],[PL]],
      IF(INDEX(TransTypes[],Transactions[[#This Row],[TTR]],TT_COL_LONGORSHORT)="S",0,Transactions[[#This Row],[CalCashImpact]])
)</f>
        <v>197409.11</v>
      </c>
      <c r="N1423" s="161">
        <f>IF(VLOOKUP(Transactions[[#This Row],[Symbol]],Symbols[],COLUMN(Symbols[Currency])-COLUMN(Symbols[])+1,FALSE)=
       VLOOKUP(Transactions[[#This Row],[Account]],Accounts[],COLUMN(Accounts[Currency])-COLUMN(Accounts[])+1,FALSE),
     Transactions[[#This Row],[OrigCashImpact]],
     0
)</f>
        <v>0</v>
      </c>
      <c r="O14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1812500.7500000005</v>
      </c>
      <c r="P14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23" s="41">
        <f>ROW()</f>
        <v>1423</v>
      </c>
      <c r="S14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23" s="166">
        <f>IF(INDEX(TransTypes[],Transactions[[#This Row],[TTR]],TT_COL_GLFlag)=1,Transactions[[#This Row],[CalCashImpact]]+Transactions[[#This Row],[CostImpact]],0)</f>
        <v>0</v>
      </c>
      <c r="W1423" s="167">
        <f>Transactions[[#This Row],[Amount]]*INDEX(TransTypes[],Transactions[[#This Row],[TTR]],TT_COL_AmntSign)</f>
        <v>197409.11</v>
      </c>
      <c r="X1423" s="167">
        <f>IF(INDEX(TransTypes[],Transactions[[#This Row],[TTR]],TT_COL_LONGORSHORT)="S",
      IF( OR(INDEX(TransTypes[],Transactions[[#This Row],[TTR]],TT_COL_GLFlag)=1, INDEX(TransTypes[], Transactions[[#This Row],[TTR]], TT_COL_ShareTransferFlag)=1),
            Transactions[[#This Row],[CostImpact]]*-1,
            Transactions[[#This Row],[CalCashImpact]]
      ),
     0
)</f>
        <v>0</v>
      </c>
      <c r="Y1423" s="168" t="str">
        <f>VLOOKUP(Transactions[[#This Row],[Symbol]],Symbols[], COLUMN(Symbols[Currency])-COLUMN(Symbols[])+1,FALSE)</f>
        <v>HKD</v>
      </c>
    </row>
    <row r="1424" spans="1:25">
      <c r="A1424" s="155" t="s">
        <v>82</v>
      </c>
      <c r="B1424" s="156">
        <v>42741</v>
      </c>
      <c r="C1424" s="155" t="s">
        <v>238</v>
      </c>
      <c r="D1424" s="155"/>
      <c r="E1424" s="155" t="s">
        <v>211</v>
      </c>
      <c r="F1424" s="157">
        <v>173909.51</v>
      </c>
      <c r="G1424" s="158">
        <v>1</v>
      </c>
      <c r="H1424" s="157"/>
      <c r="I1424" s="157"/>
      <c r="J1424" s="159">
        <v>173909.51</v>
      </c>
      <c r="K1424" s="6" t="s">
        <v>723</v>
      </c>
      <c r="L1424" s="20">
        <f>IF(ISNA(MATCH(Transactions[[#This Row],[TransType]],TransTypes[TransType],0)),1,MATCH(Transactions[[#This Row],[TransType]],TransTypes[TransType],0))</f>
        <v>16</v>
      </c>
      <c r="M1424" s="160">
        <f>IF( AND( INDEX(TransTypes[],Transactions[[#This Row],[TTR]],TT_COL_GLFlag)=1, INDEX(TransTypes[],Transactions[[#This Row],[TTR]],TT_COL_LONGORSHORT)="S" ),
      Transactions[[#This Row],[PL]],
      IF(INDEX(TransTypes[],Transactions[[#This Row],[TTR]],TT_COL_LONGORSHORT)="S",0,Transactions[[#This Row],[CalCashImpact]])
)</f>
        <v>-173909.51</v>
      </c>
      <c r="N1424" s="161">
        <f>IF(VLOOKUP(Transactions[[#This Row],[Symbol]],Symbols[],COLUMN(Symbols[Currency])-COLUMN(Symbols[])+1,FALSE)=
       VLOOKUP(Transactions[[#This Row],[Account]],Accounts[],COLUMN(Accounts[Currency])-COLUMN(Accounts[])+1,FALSE),
     Transactions[[#This Row],[OrigCashImpact]],
     0
)</f>
        <v>-173909.51</v>
      </c>
      <c r="O14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1638591.2400000005</v>
      </c>
      <c r="P14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24" s="41">
        <f>ROW()</f>
        <v>1424</v>
      </c>
      <c r="S14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24" s="166">
        <f>IF(INDEX(TransTypes[],Transactions[[#This Row],[TTR]],TT_COL_GLFlag)=1,Transactions[[#This Row],[CalCashImpact]]+Transactions[[#This Row],[CostImpact]],0)</f>
        <v>0</v>
      </c>
      <c r="W1424" s="167">
        <f>Transactions[[#This Row],[Amount]]*INDEX(TransTypes[],Transactions[[#This Row],[TTR]],TT_COL_AmntSign)</f>
        <v>-173909.51</v>
      </c>
      <c r="X1424" s="167">
        <f>IF(INDEX(TransTypes[],Transactions[[#This Row],[TTR]],TT_COL_LONGORSHORT)="S",
      IF( OR(INDEX(TransTypes[],Transactions[[#This Row],[TTR]],TT_COL_GLFlag)=1, INDEX(TransTypes[], Transactions[[#This Row],[TTR]], TT_COL_ShareTransferFlag)=1),
            Transactions[[#This Row],[CostImpact]]*-1,
            Transactions[[#This Row],[CalCashImpact]]
      ),
     0
)</f>
        <v>0</v>
      </c>
      <c r="Y1424" s="168" t="str">
        <f>VLOOKUP(Transactions[[#This Row],[Symbol]],Symbols[], COLUMN(Symbols[Currency])-COLUMN(Symbols[])+1,FALSE)</f>
        <v>CNY</v>
      </c>
    </row>
    <row r="1425" spans="1:25">
      <c r="A1425" s="155" t="s">
        <v>82</v>
      </c>
      <c r="B1425" s="156">
        <v>42741</v>
      </c>
      <c r="C1425" s="155" t="s">
        <v>113</v>
      </c>
      <c r="D1425" s="155"/>
      <c r="E1425" s="155" t="s">
        <v>646</v>
      </c>
      <c r="F1425" s="157">
        <v>1000</v>
      </c>
      <c r="G1425" s="158">
        <v>196.6</v>
      </c>
      <c r="H1425" s="157">
        <v>809.11</v>
      </c>
      <c r="I1425" s="157"/>
      <c r="J1425" s="159">
        <v>197409.11</v>
      </c>
      <c r="K1425" s="6" t="s">
        <v>641</v>
      </c>
      <c r="L1425" s="20">
        <f>IF(ISNA(MATCH(Transactions[[#This Row],[TransType]],TransTypes[TransType],0)),1,MATCH(Transactions[[#This Row],[TransType]],TransTypes[TransType],0))</f>
        <v>2</v>
      </c>
      <c r="M1425" s="160">
        <f>IF( AND( INDEX(TransTypes[],Transactions[[#This Row],[TTR]],TT_COL_GLFlag)=1, INDEX(TransTypes[],Transactions[[#This Row],[TTR]],TT_COL_LONGORSHORT)="S" ),
      Transactions[[#This Row],[PL]],
      IF(INDEX(TransTypes[],Transactions[[#This Row],[TTR]],TT_COL_LONGORSHORT)="S",0,Transactions[[#This Row],[CalCashImpact]])
)</f>
        <v>-197409.11</v>
      </c>
      <c r="N1425" s="161">
        <f>IF(VLOOKUP(Transactions[[#This Row],[Symbol]],Symbols[],COLUMN(Symbols[Currency])-COLUMN(Symbols[])+1,FALSE)=
       VLOOKUP(Transactions[[#This Row],[Account]],Accounts[],COLUMN(Accounts[Currency])-COLUMN(Accounts[])+1,FALSE),
     Transactions[[#This Row],[OrigCashImpact]],
     0
)</f>
        <v>0</v>
      </c>
      <c r="O14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1638591.2400000005</v>
      </c>
      <c r="P14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425" s="41">
        <f>ROW()</f>
        <v>1425</v>
      </c>
      <c r="S14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197409.11</v>
      </c>
      <c r="T14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1160444.2799999998</v>
      </c>
      <c r="U14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425" s="166">
        <f>IF(INDEX(TransTypes[],Transactions[[#This Row],[TTR]],TT_COL_GLFlag)=1,Transactions[[#This Row],[CalCashImpact]]+Transactions[[#This Row],[CostImpact]],0)</f>
        <v>0</v>
      </c>
      <c r="W1425" s="167">
        <f>Transactions[[#This Row],[Amount]]*INDEX(TransTypes[],Transactions[[#This Row],[TTR]],TT_COL_AmntSign)</f>
        <v>-197409.11</v>
      </c>
      <c r="X1425" s="167">
        <f>IF(INDEX(TransTypes[],Transactions[[#This Row],[TTR]],TT_COL_LONGORSHORT)="S",
      IF( OR(INDEX(TransTypes[],Transactions[[#This Row],[TTR]],TT_COL_GLFlag)=1, INDEX(TransTypes[], Transactions[[#This Row],[TTR]], TT_COL_ShareTransferFlag)=1),
            Transactions[[#This Row],[CostImpact]]*-1,
            Transactions[[#This Row],[CalCashImpact]]
      ),
     0
)</f>
        <v>0</v>
      </c>
      <c r="Y1425" s="168" t="str">
        <f>VLOOKUP(Transactions[[#This Row],[Symbol]],Symbols[], COLUMN(Symbols[Currency])-COLUMN(Symbols[])+1,FALSE)</f>
        <v>HKD</v>
      </c>
    </row>
    <row r="1426" spans="1:25">
      <c r="A1426" s="155" t="s">
        <v>82</v>
      </c>
      <c r="B1426" s="156">
        <v>42753</v>
      </c>
      <c r="C1426" s="155" t="s">
        <v>113</v>
      </c>
      <c r="D1426" s="155"/>
      <c r="E1426" s="155" t="s">
        <v>715</v>
      </c>
      <c r="F1426" s="157">
        <v>520000</v>
      </c>
      <c r="G1426" s="158">
        <v>0.379</v>
      </c>
      <c r="H1426" s="157">
        <v>78.83</v>
      </c>
      <c r="I1426" s="157"/>
      <c r="J1426" s="159">
        <v>197158.83</v>
      </c>
      <c r="K1426" s="6" t="s">
        <v>641</v>
      </c>
      <c r="L1426" s="20">
        <f>IF(ISNA(MATCH(Transactions[[#This Row],[TransType]],TransTypes[TransType],0)),1,MATCH(Transactions[[#This Row],[TransType]],TransTypes[TransType],0))</f>
        <v>2</v>
      </c>
      <c r="M1426" s="160">
        <f>IF( AND( INDEX(TransTypes[],Transactions[[#This Row],[TTR]],TT_COL_GLFlag)=1, INDEX(TransTypes[],Transactions[[#This Row],[TTR]],TT_COL_LONGORSHORT)="S" ),
      Transactions[[#This Row],[PL]],
      IF(INDEX(TransTypes[],Transactions[[#This Row],[TTR]],TT_COL_LONGORSHORT)="S",0,Transactions[[#This Row],[CalCashImpact]])
)</f>
        <v>-197158.83</v>
      </c>
      <c r="N1426" s="161">
        <f>IF(VLOOKUP(Transactions[[#This Row],[Symbol]],Symbols[],COLUMN(Symbols[Currency])-COLUMN(Symbols[])+1,FALSE)=
       VLOOKUP(Transactions[[#This Row],[Account]],Accounts[],COLUMN(Accounts[Currency])-COLUMN(Accounts[])+1,FALSE),
     Transactions[[#This Row],[OrigCashImpact]],
     0
)</f>
        <v>-197158.83</v>
      </c>
      <c r="O14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1441432.4100000004</v>
      </c>
      <c r="P14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520000</v>
      </c>
      <c r="Q14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520000</v>
      </c>
      <c r="R1426" s="41">
        <f>ROW()</f>
        <v>1426</v>
      </c>
      <c r="S14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197158.83</v>
      </c>
      <c r="T14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197158.83000000005</v>
      </c>
      <c r="U14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520000</v>
      </c>
      <c r="V1426" s="166">
        <f>IF(INDEX(TransTypes[],Transactions[[#This Row],[TTR]],TT_COL_GLFlag)=1,Transactions[[#This Row],[CalCashImpact]]+Transactions[[#This Row],[CostImpact]],0)</f>
        <v>0</v>
      </c>
      <c r="W1426" s="167">
        <f>Transactions[[#This Row],[Amount]]*INDEX(TransTypes[],Transactions[[#This Row],[TTR]],TT_COL_AmntSign)</f>
        <v>-197158.83</v>
      </c>
      <c r="X1426" s="167">
        <f>IF(INDEX(TransTypes[],Transactions[[#This Row],[TTR]],TT_COL_LONGORSHORT)="S",
      IF( OR(INDEX(TransTypes[],Transactions[[#This Row],[TTR]],TT_COL_GLFlag)=1, INDEX(TransTypes[], Transactions[[#This Row],[TTR]], TT_COL_ShareTransferFlag)=1),
            Transactions[[#This Row],[CostImpact]]*-1,
            Transactions[[#This Row],[CalCashImpact]]
      ),
     0
)</f>
        <v>0</v>
      </c>
      <c r="Y1426" s="168" t="str">
        <f>VLOOKUP(Transactions[[#This Row],[Symbol]],Symbols[], COLUMN(Symbols[Currency])-COLUMN(Symbols[])+1,FALSE)</f>
        <v>CNY</v>
      </c>
    </row>
    <row r="1427" spans="1:25">
      <c r="A1427" s="155" t="s">
        <v>82</v>
      </c>
      <c r="B1427" s="156">
        <v>42753</v>
      </c>
      <c r="C1427" s="155" t="s">
        <v>113</v>
      </c>
      <c r="D1427" s="155"/>
      <c r="E1427" s="155" t="s">
        <v>482</v>
      </c>
      <c r="F1427" s="157">
        <v>2000</v>
      </c>
      <c r="G1427" s="158">
        <v>24.81</v>
      </c>
      <c r="H1427" s="157">
        <v>19.850000000000001</v>
      </c>
      <c r="I1427" s="157"/>
      <c r="J1427" s="159">
        <v>49639.85</v>
      </c>
      <c r="K1427" s="6" t="s">
        <v>641</v>
      </c>
      <c r="L1427" s="20">
        <f>IF(ISNA(MATCH(Transactions[[#This Row],[TransType]],TransTypes[TransType],0)),1,MATCH(Transactions[[#This Row],[TransType]],TransTypes[TransType],0))</f>
        <v>2</v>
      </c>
      <c r="M1427" s="160">
        <f>IF( AND( INDEX(TransTypes[],Transactions[[#This Row],[TTR]],TT_COL_GLFlag)=1, INDEX(TransTypes[],Transactions[[#This Row],[TTR]],TT_COL_LONGORSHORT)="S" ),
      Transactions[[#This Row],[PL]],
      IF(INDEX(TransTypes[],Transactions[[#This Row],[TTR]],TT_COL_LONGORSHORT)="S",0,Transactions[[#This Row],[CalCashImpact]])
)</f>
        <v>-49639.85</v>
      </c>
      <c r="N1427" s="161">
        <f>IF(VLOOKUP(Transactions[[#This Row],[Symbol]],Symbols[],COLUMN(Symbols[Currency])-COLUMN(Symbols[])+1,FALSE)=
       VLOOKUP(Transactions[[#This Row],[Account]],Accounts[],COLUMN(Accounts[Currency])-COLUMN(Accounts[])+1,FALSE),
     Transactions[[#This Row],[OrigCashImpact]],
     0
)</f>
        <v>-49639.85</v>
      </c>
      <c r="O14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1391792.5600000005</v>
      </c>
      <c r="P14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427" s="41">
        <f>ROW()</f>
        <v>1427</v>
      </c>
      <c r="S14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49639.85</v>
      </c>
      <c r="T14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238515.37000000002</v>
      </c>
      <c r="U14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27" s="166">
        <f>IF(INDEX(TransTypes[],Transactions[[#This Row],[TTR]],TT_COL_GLFlag)=1,Transactions[[#This Row],[CalCashImpact]]+Transactions[[#This Row],[CostImpact]],0)</f>
        <v>0</v>
      </c>
      <c r="W1427" s="167">
        <f>Transactions[[#This Row],[Amount]]*INDEX(TransTypes[],Transactions[[#This Row],[TTR]],TT_COL_AmntSign)</f>
        <v>-49639.85</v>
      </c>
      <c r="X1427" s="167">
        <f>IF(INDEX(TransTypes[],Transactions[[#This Row],[TTR]],TT_COL_LONGORSHORT)="S",
      IF( OR(INDEX(TransTypes[],Transactions[[#This Row],[TTR]],TT_COL_GLFlag)=1, INDEX(TransTypes[], Transactions[[#This Row],[TTR]], TT_COL_ShareTransferFlag)=1),
            Transactions[[#This Row],[CostImpact]]*-1,
            Transactions[[#This Row],[CalCashImpact]]
      ),
     0
)</f>
        <v>0</v>
      </c>
      <c r="Y1427" s="168" t="str">
        <f>VLOOKUP(Transactions[[#This Row],[Symbol]],Symbols[], COLUMN(Symbols[Currency])-COLUMN(Symbols[])+1,FALSE)</f>
        <v>CNY</v>
      </c>
    </row>
    <row r="1428" spans="1:25">
      <c r="A1428" s="155" t="s">
        <v>82</v>
      </c>
      <c r="B1428" s="156">
        <v>42753</v>
      </c>
      <c r="C1428" s="155" t="s">
        <v>113</v>
      </c>
      <c r="D1428" s="155"/>
      <c r="E1428" s="155" t="s">
        <v>491</v>
      </c>
      <c r="F1428" s="157">
        <v>36000</v>
      </c>
      <c r="G1428" s="158">
        <v>2.73</v>
      </c>
      <c r="H1428" s="157">
        <v>39.31</v>
      </c>
      <c r="I1428" s="157"/>
      <c r="J1428" s="159">
        <v>98319.31</v>
      </c>
      <c r="K1428" s="6" t="s">
        <v>641</v>
      </c>
      <c r="L1428" s="20">
        <f>IF(ISNA(MATCH(Transactions[[#This Row],[TransType]],TransTypes[TransType],0)),1,MATCH(Transactions[[#This Row],[TransType]],TransTypes[TransType],0))</f>
        <v>2</v>
      </c>
      <c r="M1428" s="160">
        <f>IF( AND( INDEX(TransTypes[],Transactions[[#This Row],[TTR]],TT_COL_GLFlag)=1, INDEX(TransTypes[],Transactions[[#This Row],[TTR]],TT_COL_LONGORSHORT)="S" ),
      Transactions[[#This Row],[PL]],
      IF(INDEX(TransTypes[],Transactions[[#This Row],[TTR]],TT_COL_LONGORSHORT)="S",0,Transactions[[#This Row],[CalCashImpact]])
)</f>
        <v>-98319.31</v>
      </c>
      <c r="N1428" s="161">
        <f>IF(VLOOKUP(Transactions[[#This Row],[Symbol]],Symbols[],COLUMN(Symbols[Currency])-COLUMN(Symbols[])+1,FALSE)=
       VLOOKUP(Transactions[[#This Row],[Account]],Accounts[],COLUMN(Accounts[Currency])-COLUMN(Accounts[])+1,FALSE),
     Transactions[[#This Row],[OrigCashImpact]],
     0
)</f>
        <v>-98319.31</v>
      </c>
      <c r="O14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1293473.2500000005</v>
      </c>
      <c r="P14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36000</v>
      </c>
      <c r="Q14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147000</v>
      </c>
      <c r="R1428" s="41">
        <f>ROW()</f>
        <v>1428</v>
      </c>
      <c r="S14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98319.31</v>
      </c>
      <c r="T14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396172.39999999997</v>
      </c>
      <c r="U14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147000</v>
      </c>
      <c r="V1428" s="166">
        <f>IF(INDEX(TransTypes[],Transactions[[#This Row],[TTR]],TT_COL_GLFlag)=1,Transactions[[#This Row],[CalCashImpact]]+Transactions[[#This Row],[CostImpact]],0)</f>
        <v>0</v>
      </c>
      <c r="W1428" s="167">
        <f>Transactions[[#This Row],[Amount]]*INDEX(TransTypes[],Transactions[[#This Row],[TTR]],TT_COL_AmntSign)</f>
        <v>-98319.31</v>
      </c>
      <c r="X1428" s="167">
        <f>IF(INDEX(TransTypes[],Transactions[[#This Row],[TTR]],TT_COL_LONGORSHORT)="S",
      IF( OR(INDEX(TransTypes[],Transactions[[#This Row],[TTR]],TT_COL_GLFlag)=1, INDEX(TransTypes[], Transactions[[#This Row],[TTR]], TT_COL_ShareTransferFlag)=1),
            Transactions[[#This Row],[CostImpact]]*-1,
            Transactions[[#This Row],[CalCashImpact]]
      ),
     0
)</f>
        <v>0</v>
      </c>
      <c r="Y1428" s="168" t="str">
        <f>VLOOKUP(Transactions[[#This Row],[Symbol]],Symbols[], COLUMN(Symbols[Currency])-COLUMN(Symbols[])+1,FALSE)</f>
        <v>CNY</v>
      </c>
    </row>
    <row r="1429" spans="1:25">
      <c r="A1429" s="155" t="s">
        <v>82</v>
      </c>
      <c r="B1429" s="156">
        <v>42753</v>
      </c>
      <c r="C1429" s="155" t="s">
        <v>113</v>
      </c>
      <c r="D1429" s="155"/>
      <c r="E1429" s="155" t="s">
        <v>464</v>
      </c>
      <c r="F1429" s="157">
        <v>100</v>
      </c>
      <c r="G1429" s="158">
        <v>348.65</v>
      </c>
      <c r="H1429" s="157">
        <v>14.65</v>
      </c>
      <c r="I1429" s="157"/>
      <c r="J1429" s="159">
        <v>34879.65</v>
      </c>
      <c r="K1429" s="6" t="s">
        <v>641</v>
      </c>
      <c r="L1429" s="20">
        <f>IF(ISNA(MATCH(Transactions[[#This Row],[TransType]],TransTypes[TransType],0)),1,MATCH(Transactions[[#This Row],[TransType]],TransTypes[TransType],0))</f>
        <v>2</v>
      </c>
      <c r="M1429" s="160">
        <f>IF( AND( INDEX(TransTypes[],Transactions[[#This Row],[TTR]],TT_COL_GLFlag)=1, INDEX(TransTypes[],Transactions[[#This Row],[TTR]],TT_COL_LONGORSHORT)="S" ),
      Transactions[[#This Row],[PL]],
      IF(INDEX(TransTypes[],Transactions[[#This Row],[TTR]],TT_COL_LONGORSHORT)="S",0,Transactions[[#This Row],[CalCashImpact]])
)</f>
        <v>-34879.65</v>
      </c>
      <c r="N1429" s="161">
        <f>IF(VLOOKUP(Transactions[[#This Row],[Symbol]],Symbols[],COLUMN(Symbols[Currency])-COLUMN(Symbols[])+1,FALSE)=
       VLOOKUP(Transactions[[#This Row],[Account]],Accounts[],COLUMN(Accounts[Currency])-COLUMN(Accounts[])+1,FALSE),
     Transactions[[#This Row],[OrigCashImpact]],
     0
)</f>
        <v>-34879.65</v>
      </c>
      <c r="O14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1258593.6000000006</v>
      </c>
      <c r="P14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4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v>
      </c>
      <c r="R1429" s="41">
        <f>ROW()</f>
        <v>1429</v>
      </c>
      <c r="S14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34879.65</v>
      </c>
      <c r="T14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186823.741312</v>
      </c>
      <c r="U14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v>
      </c>
      <c r="V1429" s="166">
        <f>IF(INDEX(TransTypes[],Transactions[[#This Row],[TTR]],TT_COL_GLFlag)=1,Transactions[[#This Row],[CalCashImpact]]+Transactions[[#This Row],[CostImpact]],0)</f>
        <v>0</v>
      </c>
      <c r="W1429" s="167">
        <f>Transactions[[#This Row],[Amount]]*INDEX(TransTypes[],Transactions[[#This Row],[TTR]],TT_COL_AmntSign)</f>
        <v>-34879.65</v>
      </c>
      <c r="X1429" s="167">
        <f>IF(INDEX(TransTypes[],Transactions[[#This Row],[TTR]],TT_COL_LONGORSHORT)="S",
      IF( OR(INDEX(TransTypes[],Transactions[[#This Row],[TTR]],TT_COL_GLFlag)=1, INDEX(TransTypes[], Transactions[[#This Row],[TTR]], TT_COL_ShareTransferFlag)=1),
            Transactions[[#This Row],[CostImpact]]*-1,
            Transactions[[#This Row],[CalCashImpact]]
      ),
     0
)</f>
        <v>0</v>
      </c>
      <c r="Y1429" s="168" t="str">
        <f>VLOOKUP(Transactions[[#This Row],[Symbol]],Symbols[], COLUMN(Symbols[Currency])-COLUMN(Symbols[])+1,FALSE)</f>
        <v>CNY</v>
      </c>
    </row>
    <row r="1430" spans="1:25">
      <c r="A1430" s="155" t="s">
        <v>82</v>
      </c>
      <c r="B1430" s="156">
        <v>42760</v>
      </c>
      <c r="C1430" s="155" t="s">
        <v>118</v>
      </c>
      <c r="D1430" s="155"/>
      <c r="E1430" s="155" t="s">
        <v>491</v>
      </c>
      <c r="F1430" s="157"/>
      <c r="G1430" s="158"/>
      <c r="H1430" s="157"/>
      <c r="I1430" s="157"/>
      <c r="J1430" s="159">
        <v>13377</v>
      </c>
      <c r="K1430" s="6" t="s">
        <v>641</v>
      </c>
      <c r="L1430" s="20">
        <f>IF(ISNA(MATCH(Transactions[[#This Row],[TransType]],TransTypes[TransType],0)),1,MATCH(Transactions[[#This Row],[TransType]],TransTypes[TransType],0))</f>
        <v>4</v>
      </c>
      <c r="M1430" s="160">
        <f>IF( AND( INDEX(TransTypes[],Transactions[[#This Row],[TTR]],TT_COL_GLFlag)=1, INDEX(TransTypes[],Transactions[[#This Row],[TTR]],TT_COL_LONGORSHORT)="S" ),
      Transactions[[#This Row],[PL]],
      IF(INDEX(TransTypes[],Transactions[[#This Row],[TTR]],TT_COL_LONGORSHORT)="S",0,Transactions[[#This Row],[CalCashImpact]])
)</f>
        <v>13377</v>
      </c>
      <c r="N1430" s="161">
        <f>IF(VLOOKUP(Transactions[[#This Row],[Symbol]],Symbols[],COLUMN(Symbols[Currency])-COLUMN(Symbols[])+1,FALSE)=
       VLOOKUP(Transactions[[#This Row],[Account]],Accounts[],COLUMN(Accounts[Currency])-COLUMN(Accounts[])+1,FALSE),
     Transactions[[#This Row],[OrigCashImpact]],
     0
)</f>
        <v>13377</v>
      </c>
      <c r="O14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1271970.6000000003</v>
      </c>
      <c r="P14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147000</v>
      </c>
      <c r="R1430" s="41">
        <f>ROW()</f>
        <v>1430</v>
      </c>
      <c r="S14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396172.39999999997</v>
      </c>
      <c r="U14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147000</v>
      </c>
      <c r="V1430" s="166">
        <f>IF(INDEX(TransTypes[],Transactions[[#This Row],[TTR]],TT_COL_GLFlag)=1,Transactions[[#This Row],[CalCashImpact]]+Transactions[[#This Row],[CostImpact]],0)</f>
        <v>0</v>
      </c>
      <c r="W1430" s="167">
        <f>Transactions[[#This Row],[Amount]]*INDEX(TransTypes[],Transactions[[#This Row],[TTR]],TT_COL_AmntSign)</f>
        <v>13377</v>
      </c>
      <c r="X1430" s="167">
        <f>IF(INDEX(TransTypes[],Transactions[[#This Row],[TTR]],TT_COL_LONGORSHORT)="S",
      IF( OR(INDEX(TransTypes[],Transactions[[#This Row],[TTR]],TT_COL_GLFlag)=1, INDEX(TransTypes[], Transactions[[#This Row],[TTR]], TT_COL_ShareTransferFlag)=1),
            Transactions[[#This Row],[CostImpact]]*-1,
            Transactions[[#This Row],[CalCashImpact]]
      ),
     0
)</f>
        <v>0</v>
      </c>
      <c r="Y1430" s="168" t="str">
        <f>VLOOKUP(Transactions[[#This Row],[Symbol]],Symbols[], COLUMN(Symbols[Currency])-COLUMN(Symbols[])+1,FALSE)</f>
        <v>CNY</v>
      </c>
    </row>
    <row r="1431" spans="1:25">
      <c r="A1431" s="155" t="s">
        <v>82</v>
      </c>
      <c r="B1431" s="156">
        <v>42769</v>
      </c>
      <c r="C1431" s="155" t="s">
        <v>113</v>
      </c>
      <c r="D1431" s="155"/>
      <c r="E1431" s="155" t="s">
        <v>724</v>
      </c>
      <c r="F1431" s="157">
        <v>1000</v>
      </c>
      <c r="G1431" s="158">
        <v>8.3699999999999992</v>
      </c>
      <c r="H1431" s="157">
        <v>0</v>
      </c>
      <c r="I1431" s="157"/>
      <c r="J1431" s="159">
        <v>8370</v>
      </c>
      <c r="K1431" s="6" t="s">
        <v>641</v>
      </c>
      <c r="L1431" s="20">
        <f>IF(ISNA(MATCH(Transactions[[#This Row],[TransType]],TransTypes[TransType],0)),1,MATCH(Transactions[[#This Row],[TransType]],TransTypes[TransType],0))</f>
        <v>2</v>
      </c>
      <c r="M1431" s="160">
        <f>IF( AND( INDEX(TransTypes[],Transactions[[#This Row],[TTR]],TT_COL_GLFlag)=1, INDEX(TransTypes[],Transactions[[#This Row],[TTR]],TT_COL_LONGORSHORT)="S" ),
      Transactions[[#This Row],[PL]],
      IF(INDEX(TransTypes[],Transactions[[#This Row],[TTR]],TT_COL_LONGORSHORT)="S",0,Transactions[[#This Row],[CalCashImpact]])
)</f>
        <v>-8370</v>
      </c>
      <c r="N1431" s="161">
        <f>IF(VLOOKUP(Transactions[[#This Row],[Symbol]],Symbols[],COLUMN(Symbols[Currency])-COLUMN(Symbols[])+1,FALSE)=
       VLOOKUP(Transactions[[#This Row],[Account]],Accounts[],COLUMN(Accounts[Currency])-COLUMN(Accounts[])+1,FALSE),
     Transactions[[#This Row],[OrigCashImpact]],
     0
)</f>
        <v>-8370</v>
      </c>
      <c r="O14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1263600.6000000003</v>
      </c>
      <c r="P14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431" s="41">
        <f>ROW()</f>
        <v>1431</v>
      </c>
      <c r="S14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8370</v>
      </c>
      <c r="T14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8370</v>
      </c>
      <c r="U14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431" s="166">
        <f>IF(INDEX(TransTypes[],Transactions[[#This Row],[TTR]],TT_COL_GLFlag)=1,Transactions[[#This Row],[CalCashImpact]]+Transactions[[#This Row],[CostImpact]],0)</f>
        <v>0</v>
      </c>
      <c r="W1431" s="167">
        <f>Transactions[[#This Row],[Amount]]*INDEX(TransTypes[],Transactions[[#This Row],[TTR]],TT_COL_AmntSign)</f>
        <v>-8370</v>
      </c>
      <c r="X1431" s="167">
        <f>IF(INDEX(TransTypes[],Transactions[[#This Row],[TTR]],TT_COL_LONGORSHORT)="S",
      IF( OR(INDEX(TransTypes[],Transactions[[#This Row],[TTR]],TT_COL_GLFlag)=1, INDEX(TransTypes[], Transactions[[#This Row],[TTR]], TT_COL_ShareTransferFlag)=1),
            Transactions[[#This Row],[CostImpact]]*-1,
            Transactions[[#This Row],[CalCashImpact]]
      ),
     0
)</f>
        <v>0</v>
      </c>
      <c r="Y1431" s="168" t="str">
        <f>VLOOKUP(Transactions[[#This Row],[Symbol]],Symbols[], COLUMN(Symbols[Currency])-COLUMN(Symbols[])+1,FALSE)</f>
        <v>CNY</v>
      </c>
    </row>
    <row r="1432" spans="1:25">
      <c r="A1432" s="155" t="s">
        <v>82</v>
      </c>
      <c r="B1432" s="156">
        <v>42772</v>
      </c>
      <c r="C1432" s="155" t="s">
        <v>113</v>
      </c>
      <c r="D1432" s="155"/>
      <c r="E1432" s="155" t="s">
        <v>725</v>
      </c>
      <c r="F1432" s="157">
        <v>1000</v>
      </c>
      <c r="G1432" s="158">
        <v>1.78</v>
      </c>
      <c r="H1432" s="157">
        <v>0</v>
      </c>
      <c r="I1432" s="157"/>
      <c r="J1432" s="159">
        <v>1780</v>
      </c>
      <c r="K1432" s="6" t="s">
        <v>641</v>
      </c>
      <c r="L1432" s="20">
        <f>IF(ISNA(MATCH(Transactions[[#This Row],[TransType]],TransTypes[TransType],0)),1,MATCH(Transactions[[#This Row],[TransType]],TransTypes[TransType],0))</f>
        <v>2</v>
      </c>
      <c r="M1432" s="160">
        <f>IF( AND( INDEX(TransTypes[],Transactions[[#This Row],[TTR]],TT_COL_GLFlag)=1, INDEX(TransTypes[],Transactions[[#This Row],[TTR]],TT_COL_LONGORSHORT)="S" ),
      Transactions[[#This Row],[PL]],
      IF(INDEX(TransTypes[],Transactions[[#This Row],[TTR]],TT_COL_LONGORSHORT)="S",0,Transactions[[#This Row],[CalCashImpact]])
)</f>
        <v>-1780</v>
      </c>
      <c r="N1432" s="161">
        <f>IF(VLOOKUP(Transactions[[#This Row],[Symbol]],Symbols[],COLUMN(Symbols[Currency])-COLUMN(Symbols[])+1,FALSE)=
       VLOOKUP(Transactions[[#This Row],[Account]],Accounts[],COLUMN(Accounts[Currency])-COLUMN(Accounts[])+1,FALSE),
     Transactions[[#This Row],[OrigCashImpact]],
     0
)</f>
        <v>-1780</v>
      </c>
      <c r="O14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1261820.6000000003</v>
      </c>
      <c r="P14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432" s="41">
        <f>ROW()</f>
        <v>1432</v>
      </c>
      <c r="S14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1780</v>
      </c>
      <c r="T14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1780</v>
      </c>
      <c r="U14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432" s="166">
        <f>IF(INDEX(TransTypes[],Transactions[[#This Row],[TTR]],TT_COL_GLFlag)=1,Transactions[[#This Row],[CalCashImpact]]+Transactions[[#This Row],[CostImpact]],0)</f>
        <v>0</v>
      </c>
      <c r="W1432" s="167">
        <f>Transactions[[#This Row],[Amount]]*INDEX(TransTypes[],Transactions[[#This Row],[TTR]],TT_COL_AmntSign)</f>
        <v>-1780</v>
      </c>
      <c r="X1432" s="167">
        <f>IF(INDEX(TransTypes[],Transactions[[#This Row],[TTR]],TT_COL_LONGORSHORT)="S",
      IF( OR(INDEX(TransTypes[],Transactions[[#This Row],[TTR]],TT_COL_GLFlag)=1, INDEX(TransTypes[], Transactions[[#This Row],[TTR]], TT_COL_ShareTransferFlag)=1),
            Transactions[[#This Row],[CostImpact]]*-1,
            Transactions[[#This Row],[CalCashImpact]]
      ),
     0
)</f>
        <v>0</v>
      </c>
      <c r="Y1432" s="168" t="str">
        <f>VLOOKUP(Transactions[[#This Row],[Symbol]],Symbols[], COLUMN(Symbols[Currency])-COLUMN(Symbols[])+1,FALSE)</f>
        <v>CNY</v>
      </c>
    </row>
    <row r="1433" spans="1:25">
      <c r="A1433" s="155" t="s">
        <v>82</v>
      </c>
      <c r="B1433" s="156">
        <v>42775</v>
      </c>
      <c r="C1433" s="155" t="s">
        <v>113</v>
      </c>
      <c r="D1433" s="155"/>
      <c r="E1433" s="155" t="s">
        <v>675</v>
      </c>
      <c r="F1433" s="157">
        <v>150000</v>
      </c>
      <c r="G1433" s="158">
        <v>1.2909999999999999</v>
      </c>
      <c r="H1433" s="157">
        <v>77.459999999999994</v>
      </c>
      <c r="I1433" s="157"/>
      <c r="J1433" s="159">
        <v>193727.46</v>
      </c>
      <c r="K1433" s="6" t="s">
        <v>641</v>
      </c>
      <c r="L1433" s="20">
        <f>IF(ISNA(MATCH(Transactions[[#This Row],[TransType]],TransTypes[TransType],0)),1,MATCH(Transactions[[#This Row],[TransType]],TransTypes[TransType],0))</f>
        <v>2</v>
      </c>
      <c r="M1433" s="160">
        <f>IF( AND( INDEX(TransTypes[],Transactions[[#This Row],[TTR]],TT_COL_GLFlag)=1, INDEX(TransTypes[],Transactions[[#This Row],[TTR]],TT_COL_LONGORSHORT)="S" ),
      Transactions[[#This Row],[PL]],
      IF(INDEX(TransTypes[],Transactions[[#This Row],[TTR]],TT_COL_LONGORSHORT)="S",0,Transactions[[#This Row],[CalCashImpact]])
)</f>
        <v>-193727.46</v>
      </c>
      <c r="N1433" s="161">
        <f>IF(VLOOKUP(Transactions[[#This Row],[Symbol]],Symbols[],COLUMN(Symbols[Currency])-COLUMN(Symbols[])+1,FALSE)=
       VLOOKUP(Transactions[[#This Row],[Account]],Accounts[],COLUMN(Accounts[Currency])-COLUMN(Accounts[])+1,FALSE),
     Transactions[[#This Row],[OrigCashImpact]],
     0
)</f>
        <v>-193727.46</v>
      </c>
      <c r="O14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1068093.1400000004</v>
      </c>
      <c r="P14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150000</v>
      </c>
      <c r="Q14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152000</v>
      </c>
      <c r="R1433" s="41">
        <f>ROW()</f>
        <v>1433</v>
      </c>
      <c r="S14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193727.46</v>
      </c>
      <c r="T14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195685.43204504502</v>
      </c>
      <c r="U14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152000</v>
      </c>
      <c r="V1433" s="166">
        <f>IF(INDEX(TransTypes[],Transactions[[#This Row],[TTR]],TT_COL_GLFlag)=1,Transactions[[#This Row],[CalCashImpact]]+Transactions[[#This Row],[CostImpact]],0)</f>
        <v>0</v>
      </c>
      <c r="W1433" s="167">
        <f>Transactions[[#This Row],[Amount]]*INDEX(TransTypes[],Transactions[[#This Row],[TTR]],TT_COL_AmntSign)</f>
        <v>-193727.46</v>
      </c>
      <c r="X1433" s="167">
        <f>IF(INDEX(TransTypes[],Transactions[[#This Row],[TTR]],TT_COL_LONGORSHORT)="S",
      IF( OR(INDEX(TransTypes[],Transactions[[#This Row],[TTR]],TT_COL_GLFlag)=1, INDEX(TransTypes[], Transactions[[#This Row],[TTR]], TT_COL_ShareTransferFlag)=1),
            Transactions[[#This Row],[CostImpact]]*-1,
            Transactions[[#This Row],[CalCashImpact]]
      ),
     0
)</f>
        <v>0</v>
      </c>
      <c r="Y1433" s="168" t="str">
        <f>VLOOKUP(Transactions[[#This Row],[Symbol]],Symbols[], COLUMN(Symbols[Currency])-COLUMN(Symbols[])+1,FALSE)</f>
        <v>CNY</v>
      </c>
    </row>
    <row r="1434" spans="1:25">
      <c r="A1434" s="155" t="s">
        <v>82</v>
      </c>
      <c r="B1434" s="156">
        <v>42775</v>
      </c>
      <c r="C1434" s="155" t="s">
        <v>113</v>
      </c>
      <c r="D1434" s="155"/>
      <c r="E1434" s="155" t="s">
        <v>464</v>
      </c>
      <c r="F1434" s="157">
        <v>100</v>
      </c>
      <c r="G1434" s="158">
        <v>347.3</v>
      </c>
      <c r="H1434" s="157">
        <v>14.59</v>
      </c>
      <c r="I1434" s="157"/>
      <c r="J1434" s="159">
        <v>34744.589999999997</v>
      </c>
      <c r="K1434" s="6" t="s">
        <v>641</v>
      </c>
      <c r="L1434" s="20">
        <f>IF(ISNA(MATCH(Transactions[[#This Row],[TransType]],TransTypes[TransType],0)),1,MATCH(Transactions[[#This Row],[TransType]],TransTypes[TransType],0))</f>
        <v>2</v>
      </c>
      <c r="M1434" s="160">
        <f>IF( AND( INDEX(TransTypes[],Transactions[[#This Row],[TTR]],TT_COL_GLFlag)=1, INDEX(TransTypes[],Transactions[[#This Row],[TTR]],TT_COL_LONGORSHORT)="S" ),
      Transactions[[#This Row],[PL]],
      IF(INDEX(TransTypes[],Transactions[[#This Row],[TTR]],TT_COL_LONGORSHORT)="S",0,Transactions[[#This Row],[CalCashImpact]])
)</f>
        <v>-34744.589999999997</v>
      </c>
      <c r="N1434" s="161">
        <f>IF(VLOOKUP(Transactions[[#This Row],[Symbol]],Symbols[],COLUMN(Symbols[Currency])-COLUMN(Symbols[])+1,FALSE)=
       VLOOKUP(Transactions[[#This Row],[Account]],Accounts[],COLUMN(Accounts[Currency])-COLUMN(Accounts[])+1,FALSE),
     Transactions[[#This Row],[OrigCashImpact]],
     0
)</f>
        <v>-34744.589999999997</v>
      </c>
      <c r="O14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1033348.5500000003</v>
      </c>
      <c r="P14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4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1434" s="41">
        <f>ROW()</f>
        <v>1434</v>
      </c>
      <c r="S14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34744.589999999997</v>
      </c>
      <c r="T14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221568.33131199999</v>
      </c>
      <c r="U14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1434" s="166">
        <f>IF(INDEX(TransTypes[],Transactions[[#This Row],[TTR]],TT_COL_GLFlag)=1,Transactions[[#This Row],[CalCashImpact]]+Transactions[[#This Row],[CostImpact]],0)</f>
        <v>0</v>
      </c>
      <c r="W1434" s="167">
        <f>Transactions[[#This Row],[Amount]]*INDEX(TransTypes[],Transactions[[#This Row],[TTR]],TT_COL_AmntSign)</f>
        <v>-34744.589999999997</v>
      </c>
      <c r="X1434" s="167">
        <f>IF(INDEX(TransTypes[],Transactions[[#This Row],[TTR]],TT_COL_LONGORSHORT)="S",
      IF( OR(INDEX(TransTypes[],Transactions[[#This Row],[TTR]],TT_COL_GLFlag)=1, INDEX(TransTypes[], Transactions[[#This Row],[TTR]], TT_COL_ShareTransferFlag)=1),
            Transactions[[#This Row],[CostImpact]]*-1,
            Transactions[[#This Row],[CalCashImpact]]
      ),
     0
)</f>
        <v>0</v>
      </c>
      <c r="Y1434" s="168" t="str">
        <f>VLOOKUP(Transactions[[#This Row],[Symbol]],Symbols[], COLUMN(Symbols[Currency])-COLUMN(Symbols[])+1,FALSE)</f>
        <v>CNY</v>
      </c>
    </row>
    <row r="1435" spans="1:25">
      <c r="A1435" s="155" t="s">
        <v>82</v>
      </c>
      <c r="B1435" s="156">
        <v>42775</v>
      </c>
      <c r="C1435" s="155" t="s">
        <v>113</v>
      </c>
      <c r="D1435" s="155"/>
      <c r="E1435" s="155" t="s">
        <v>464</v>
      </c>
      <c r="F1435" s="157">
        <v>100</v>
      </c>
      <c r="G1435" s="158">
        <v>347.25</v>
      </c>
      <c r="H1435" s="157">
        <v>14.58</v>
      </c>
      <c r="I1435" s="157"/>
      <c r="J1435" s="159">
        <v>34739.58</v>
      </c>
      <c r="K1435" s="6" t="s">
        <v>641</v>
      </c>
      <c r="L1435" s="20">
        <f>IF(ISNA(MATCH(Transactions[[#This Row],[TransType]],TransTypes[TransType],0)),1,MATCH(Transactions[[#This Row],[TransType]],TransTypes[TransType],0))</f>
        <v>2</v>
      </c>
      <c r="M1435" s="160">
        <f>IF( AND( INDEX(TransTypes[],Transactions[[#This Row],[TTR]],TT_COL_GLFlag)=1, INDEX(TransTypes[],Transactions[[#This Row],[TTR]],TT_COL_LONGORSHORT)="S" ),
      Transactions[[#This Row],[PL]],
      IF(INDEX(TransTypes[],Transactions[[#This Row],[TTR]],TT_COL_LONGORSHORT)="S",0,Transactions[[#This Row],[CalCashImpact]])
)</f>
        <v>-34739.58</v>
      </c>
      <c r="N1435" s="161">
        <f>IF(VLOOKUP(Transactions[[#This Row],[Symbol]],Symbols[],COLUMN(Symbols[Currency])-COLUMN(Symbols[])+1,FALSE)=
       VLOOKUP(Transactions[[#This Row],[Account]],Accounts[],COLUMN(Accounts[Currency])-COLUMN(Accounts[])+1,FALSE),
     Transactions[[#This Row],[OrigCashImpact]],
     0
)</f>
        <v>-34739.58</v>
      </c>
      <c r="O14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998608.97000000032</v>
      </c>
      <c r="P14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4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1435" s="41">
        <f>ROW()</f>
        <v>1435</v>
      </c>
      <c r="S14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34739.58</v>
      </c>
      <c r="T14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256307.91131200001</v>
      </c>
      <c r="U14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435" s="166">
        <f>IF(INDEX(TransTypes[],Transactions[[#This Row],[TTR]],TT_COL_GLFlag)=1,Transactions[[#This Row],[CalCashImpact]]+Transactions[[#This Row],[CostImpact]],0)</f>
        <v>0</v>
      </c>
      <c r="W1435" s="167">
        <f>Transactions[[#This Row],[Amount]]*INDEX(TransTypes[],Transactions[[#This Row],[TTR]],TT_COL_AmntSign)</f>
        <v>-34739.58</v>
      </c>
      <c r="X1435" s="167">
        <f>IF(INDEX(TransTypes[],Transactions[[#This Row],[TTR]],TT_COL_LONGORSHORT)="S",
      IF( OR(INDEX(TransTypes[],Transactions[[#This Row],[TTR]],TT_COL_GLFlag)=1, INDEX(TransTypes[], Transactions[[#This Row],[TTR]], TT_COL_ShareTransferFlag)=1),
            Transactions[[#This Row],[CostImpact]]*-1,
            Transactions[[#This Row],[CalCashImpact]]
      ),
     0
)</f>
        <v>0</v>
      </c>
      <c r="Y1435" s="168" t="str">
        <f>VLOOKUP(Transactions[[#This Row],[Symbol]],Symbols[], COLUMN(Symbols[Currency])-COLUMN(Symbols[])+1,FALSE)</f>
        <v>CNY</v>
      </c>
    </row>
    <row r="1436" spans="1:25">
      <c r="A1436" s="155" t="s">
        <v>82</v>
      </c>
      <c r="B1436" s="156">
        <v>42782</v>
      </c>
      <c r="C1436" s="155" t="s">
        <v>113</v>
      </c>
      <c r="D1436" s="155"/>
      <c r="E1436" s="155" t="s">
        <v>726</v>
      </c>
      <c r="F1436" s="157">
        <v>500</v>
      </c>
      <c r="G1436" s="158">
        <v>10.98</v>
      </c>
      <c r="H1436" s="157">
        <v>0</v>
      </c>
      <c r="I1436" s="157"/>
      <c r="J1436" s="159">
        <v>5490</v>
      </c>
      <c r="K1436" s="6" t="s">
        <v>641</v>
      </c>
      <c r="L1436" s="20">
        <f>IF(ISNA(MATCH(Transactions[[#This Row],[TransType]],TransTypes[TransType],0)),1,MATCH(Transactions[[#This Row],[TransType]],TransTypes[TransType],0))</f>
        <v>2</v>
      </c>
      <c r="M1436" s="160">
        <f>IF( AND( INDEX(TransTypes[],Transactions[[#This Row],[TTR]],TT_COL_GLFlag)=1, INDEX(TransTypes[],Transactions[[#This Row],[TTR]],TT_COL_LONGORSHORT)="S" ),
      Transactions[[#This Row],[PL]],
      IF(INDEX(TransTypes[],Transactions[[#This Row],[TTR]],TT_COL_LONGORSHORT)="S",0,Transactions[[#This Row],[CalCashImpact]])
)</f>
        <v>-5490</v>
      </c>
      <c r="N1436" s="161">
        <f>IF(VLOOKUP(Transactions[[#This Row],[Symbol]],Symbols[],COLUMN(Symbols[Currency])-COLUMN(Symbols[])+1,FALSE)=
       VLOOKUP(Transactions[[#This Row],[Account]],Accounts[],COLUMN(Accounts[Currency])-COLUMN(Accounts[])+1,FALSE),
     Transactions[[#This Row],[OrigCashImpact]],
     0
)</f>
        <v>-5490</v>
      </c>
      <c r="O14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993118.97000000044</v>
      </c>
      <c r="P14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4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436" s="41">
        <f>ROW()</f>
        <v>1436</v>
      </c>
      <c r="S14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5490</v>
      </c>
      <c r="T14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5490</v>
      </c>
      <c r="U14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436" s="166">
        <f>IF(INDEX(TransTypes[],Transactions[[#This Row],[TTR]],TT_COL_GLFlag)=1,Transactions[[#This Row],[CalCashImpact]]+Transactions[[#This Row],[CostImpact]],0)</f>
        <v>0</v>
      </c>
      <c r="W1436" s="167">
        <f>Transactions[[#This Row],[Amount]]*INDEX(TransTypes[],Transactions[[#This Row],[TTR]],TT_COL_AmntSign)</f>
        <v>-5490</v>
      </c>
      <c r="X1436" s="167">
        <f>IF(INDEX(TransTypes[],Transactions[[#This Row],[TTR]],TT_COL_LONGORSHORT)="S",
      IF( OR(INDEX(TransTypes[],Transactions[[#This Row],[TTR]],TT_COL_GLFlag)=1, INDEX(TransTypes[], Transactions[[#This Row],[TTR]], TT_COL_ShareTransferFlag)=1),
            Transactions[[#This Row],[CostImpact]]*-1,
            Transactions[[#This Row],[CalCashImpact]]
      ),
     0
)</f>
        <v>0</v>
      </c>
      <c r="Y1436" s="168" t="str">
        <f>VLOOKUP(Transactions[[#This Row],[Symbol]],Symbols[], COLUMN(Symbols[Currency])-COLUMN(Symbols[])+1,FALSE)</f>
        <v>CNY</v>
      </c>
    </row>
    <row r="1437" spans="1:25">
      <c r="A1437" s="155" t="s">
        <v>82</v>
      </c>
      <c r="B1437" s="156">
        <v>42793</v>
      </c>
      <c r="C1437" s="155" t="s">
        <v>115</v>
      </c>
      <c r="D1437" s="155"/>
      <c r="E1437" s="155" t="s">
        <v>712</v>
      </c>
      <c r="F1437" s="157">
        <v>50000</v>
      </c>
      <c r="G1437" s="158">
        <v>0.94599999999999995</v>
      </c>
      <c r="H1437" s="157">
        <v>18.920000000000002</v>
      </c>
      <c r="I1437" s="157"/>
      <c r="J1437" s="159">
        <v>47281.08</v>
      </c>
      <c r="K1437" s="6" t="s">
        <v>641</v>
      </c>
      <c r="L1437" s="20">
        <f>IF(ISNA(MATCH(Transactions[[#This Row],[TransType]],TransTypes[TransType],0)),1,MATCH(Transactions[[#This Row],[TransType]],TransTypes[TransType],0))</f>
        <v>3</v>
      </c>
      <c r="M1437" s="160">
        <f>IF( AND( INDEX(TransTypes[],Transactions[[#This Row],[TTR]],TT_COL_GLFlag)=1, INDEX(TransTypes[],Transactions[[#This Row],[TTR]],TT_COL_LONGORSHORT)="S" ),
      Transactions[[#This Row],[PL]],
      IF(INDEX(TransTypes[],Transactions[[#This Row],[TTR]],TT_COL_LONGORSHORT)="S",0,Transactions[[#This Row],[CalCashImpact]])
)</f>
        <v>47281.08</v>
      </c>
      <c r="N1437" s="161">
        <f>IF(VLOOKUP(Transactions[[#This Row],[Symbol]],Symbols[],COLUMN(Symbols[Currency])-COLUMN(Symbols[])+1,FALSE)=
       VLOOKUP(Transactions[[#This Row],[Account]],Accounts[],COLUMN(Accounts[Currency])-COLUMN(Accounts[])+1,FALSE),
     Transactions[[#This Row],[OrigCashImpact]],
     0
)</f>
        <v>47281.08</v>
      </c>
      <c r="O14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1040400.0500000004</v>
      </c>
      <c r="P14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4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300000</v>
      </c>
      <c r="R1437" s="41">
        <f>ROW()</f>
        <v>1437</v>
      </c>
      <c r="S14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-40840.845752322428</v>
      </c>
      <c r="T14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245045.07451393458</v>
      </c>
      <c r="U14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350000</v>
      </c>
      <c r="V1437" s="166">
        <f>IF(INDEX(TransTypes[],Transactions[[#This Row],[TTR]],TT_COL_GLFlag)=1,Transactions[[#This Row],[CalCashImpact]]+Transactions[[#This Row],[CostImpact]],0)</f>
        <v>6440.2342476775739</v>
      </c>
      <c r="W1437" s="167">
        <f>Transactions[[#This Row],[Amount]]*INDEX(TransTypes[],Transactions[[#This Row],[TTR]],TT_COL_AmntSign)</f>
        <v>47281.08</v>
      </c>
      <c r="X1437" s="167">
        <f>IF(INDEX(TransTypes[],Transactions[[#This Row],[TTR]],TT_COL_LONGORSHORT)="S",
      IF( OR(INDEX(TransTypes[],Transactions[[#This Row],[TTR]],TT_COL_GLFlag)=1, INDEX(TransTypes[], Transactions[[#This Row],[TTR]], TT_COL_ShareTransferFlag)=1),
            Transactions[[#This Row],[CostImpact]]*-1,
            Transactions[[#This Row],[CalCashImpact]]
      ),
     0
)</f>
        <v>0</v>
      </c>
      <c r="Y1437" s="168" t="str">
        <f>VLOOKUP(Transactions[[#This Row],[Symbol]],Symbols[], COLUMN(Symbols[Currency])-COLUMN(Symbols[])+1,FALSE)</f>
        <v>CNY</v>
      </c>
    </row>
    <row r="1438" spans="1:25">
      <c r="A1438" s="155" t="s">
        <v>82</v>
      </c>
      <c r="B1438" s="156">
        <v>42793</v>
      </c>
      <c r="C1438" s="155" t="s">
        <v>113</v>
      </c>
      <c r="D1438" s="155"/>
      <c r="E1438" s="155" t="s">
        <v>727</v>
      </c>
      <c r="F1438" s="157">
        <v>500</v>
      </c>
      <c r="G1438" s="158">
        <v>54.35</v>
      </c>
      <c r="H1438" s="157">
        <v>0</v>
      </c>
      <c r="I1438" s="157"/>
      <c r="J1438" s="159">
        <v>27175</v>
      </c>
      <c r="K1438" s="6" t="s">
        <v>641</v>
      </c>
      <c r="L1438" s="20">
        <f>IF(ISNA(MATCH(Transactions[[#This Row],[TransType]],TransTypes[TransType],0)),1,MATCH(Transactions[[#This Row],[TransType]],TransTypes[TransType],0))</f>
        <v>2</v>
      </c>
      <c r="M1438" s="160">
        <f>IF( AND( INDEX(TransTypes[],Transactions[[#This Row],[TTR]],TT_COL_GLFlag)=1, INDEX(TransTypes[],Transactions[[#This Row],[TTR]],TT_COL_LONGORSHORT)="S" ),
      Transactions[[#This Row],[PL]],
      IF(INDEX(TransTypes[],Transactions[[#This Row],[TTR]],TT_COL_LONGORSHORT)="S",0,Transactions[[#This Row],[CalCashImpact]])
)</f>
        <v>-27175</v>
      </c>
      <c r="N1438" s="161">
        <f>IF(VLOOKUP(Transactions[[#This Row],[Symbol]],Symbols[],COLUMN(Symbols[Currency])-COLUMN(Symbols[])+1,FALSE)=
       VLOOKUP(Transactions[[#This Row],[Account]],Accounts[],COLUMN(Accounts[Currency])-COLUMN(Accounts[])+1,FALSE),
     Transactions[[#This Row],[OrigCashImpact]],
     0
)</f>
        <v>-27175</v>
      </c>
      <c r="O14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1013225.0500000004</v>
      </c>
      <c r="P14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4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438" s="41">
        <f>ROW()</f>
        <v>1438</v>
      </c>
      <c r="S14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27175</v>
      </c>
      <c r="T14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27175</v>
      </c>
      <c r="U14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438" s="166">
        <f>IF(INDEX(TransTypes[],Transactions[[#This Row],[TTR]],TT_COL_GLFlag)=1,Transactions[[#This Row],[CalCashImpact]]+Transactions[[#This Row],[CostImpact]],0)</f>
        <v>0</v>
      </c>
      <c r="W1438" s="167">
        <f>Transactions[[#This Row],[Amount]]*INDEX(TransTypes[],Transactions[[#This Row],[TTR]],TT_COL_AmntSign)</f>
        <v>-27175</v>
      </c>
      <c r="X1438" s="167">
        <f>IF(INDEX(TransTypes[],Transactions[[#This Row],[TTR]],TT_COL_LONGORSHORT)="S",
      IF( OR(INDEX(TransTypes[],Transactions[[#This Row],[TTR]],TT_COL_GLFlag)=1, INDEX(TransTypes[], Transactions[[#This Row],[TTR]], TT_COL_ShareTransferFlag)=1),
            Transactions[[#This Row],[CostImpact]]*-1,
            Transactions[[#This Row],[CalCashImpact]]
      ),
     0
)</f>
        <v>0</v>
      </c>
      <c r="Y1438" s="168" t="str">
        <f>VLOOKUP(Transactions[[#This Row],[Symbol]],Symbols[], COLUMN(Symbols[Currency])-COLUMN(Symbols[])+1,FALSE)</f>
        <v>CNY</v>
      </c>
    </row>
    <row r="1439" spans="1:25">
      <c r="A1439" s="155" t="s">
        <v>82</v>
      </c>
      <c r="B1439" s="156">
        <v>42794</v>
      </c>
      <c r="C1439" s="155" t="s">
        <v>113</v>
      </c>
      <c r="D1439" s="155"/>
      <c r="E1439" s="155" t="s">
        <v>480</v>
      </c>
      <c r="F1439" s="157">
        <v>3000</v>
      </c>
      <c r="G1439" s="158">
        <v>50.298999999999999</v>
      </c>
      <c r="H1439" s="157">
        <v>63.38</v>
      </c>
      <c r="I1439" s="157"/>
      <c r="J1439" s="159">
        <v>150960.38</v>
      </c>
      <c r="K1439" s="6" t="s">
        <v>641</v>
      </c>
      <c r="L1439" s="20">
        <f>IF(ISNA(MATCH(Transactions[[#This Row],[TransType]],TransTypes[TransType],0)),1,MATCH(Transactions[[#This Row],[TransType]],TransTypes[TransType],0))</f>
        <v>2</v>
      </c>
      <c r="M1439" s="160">
        <f>IF( AND( INDEX(TransTypes[],Transactions[[#This Row],[TTR]],TT_COL_GLFlag)=1, INDEX(TransTypes[],Transactions[[#This Row],[TTR]],TT_COL_LONGORSHORT)="S" ),
      Transactions[[#This Row],[PL]],
      IF(INDEX(TransTypes[],Transactions[[#This Row],[TTR]],TT_COL_LONGORSHORT)="S",0,Transactions[[#This Row],[CalCashImpact]])
)</f>
        <v>-150960.38</v>
      </c>
      <c r="N1439" s="161">
        <f>IF(VLOOKUP(Transactions[[#This Row],[Symbol]],Symbols[],COLUMN(Symbols[Currency])-COLUMN(Symbols[])+1,FALSE)=
       VLOOKUP(Transactions[[#This Row],[Account]],Accounts[],COLUMN(Accounts[Currency])-COLUMN(Accounts[])+1,FALSE),
     Transactions[[#This Row],[OrigCashImpact]],
     0
)</f>
        <v>-150960.38</v>
      </c>
      <c r="O14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862264.67000000039</v>
      </c>
      <c r="P14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4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439" s="41">
        <f>ROW()</f>
        <v>1439</v>
      </c>
      <c r="S14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150960.38</v>
      </c>
      <c r="T14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197679.99</v>
      </c>
      <c r="U14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439" s="166">
        <f>IF(INDEX(TransTypes[],Transactions[[#This Row],[TTR]],TT_COL_GLFlag)=1,Transactions[[#This Row],[CalCashImpact]]+Transactions[[#This Row],[CostImpact]],0)</f>
        <v>0</v>
      </c>
      <c r="W1439" s="167">
        <f>Transactions[[#This Row],[Amount]]*INDEX(TransTypes[],Transactions[[#This Row],[TTR]],TT_COL_AmntSign)</f>
        <v>-150960.38</v>
      </c>
      <c r="X1439" s="167">
        <f>IF(INDEX(TransTypes[],Transactions[[#This Row],[TTR]],TT_COL_LONGORSHORT)="S",
      IF( OR(INDEX(TransTypes[],Transactions[[#This Row],[TTR]],TT_COL_GLFlag)=1, INDEX(TransTypes[], Transactions[[#This Row],[TTR]], TT_COL_ShareTransferFlag)=1),
            Transactions[[#This Row],[CostImpact]]*-1,
            Transactions[[#This Row],[CalCashImpact]]
      ),
     0
)</f>
        <v>0</v>
      </c>
      <c r="Y1439" s="168" t="str">
        <f>VLOOKUP(Transactions[[#This Row],[Symbol]],Symbols[], COLUMN(Symbols[Currency])-COLUMN(Symbols[])+1,FALSE)</f>
        <v>CNY</v>
      </c>
    </row>
    <row r="1440" spans="1:25">
      <c r="A1440" s="155" t="s">
        <v>82</v>
      </c>
      <c r="B1440" s="156">
        <v>42794</v>
      </c>
      <c r="C1440" s="155" t="s">
        <v>115</v>
      </c>
      <c r="D1440" s="155"/>
      <c r="E1440" s="155" t="s">
        <v>480</v>
      </c>
      <c r="F1440" s="157">
        <v>900</v>
      </c>
      <c r="G1440" s="158">
        <v>50.29</v>
      </c>
      <c r="H1440" s="157">
        <v>64.27</v>
      </c>
      <c r="I1440" s="157"/>
      <c r="J1440" s="159">
        <v>45196.73</v>
      </c>
      <c r="K1440" s="6" t="s">
        <v>641</v>
      </c>
      <c r="L1440" s="20">
        <f>IF(ISNA(MATCH(Transactions[[#This Row],[TransType]],TransTypes[TransType],0)),1,MATCH(Transactions[[#This Row],[TransType]],TransTypes[TransType],0))</f>
        <v>3</v>
      </c>
      <c r="M1440" s="160">
        <f>IF( AND( INDEX(TransTypes[],Transactions[[#This Row],[TTR]],TT_COL_GLFlag)=1, INDEX(TransTypes[],Transactions[[#This Row],[TTR]],TT_COL_LONGORSHORT)="S" ),
      Transactions[[#This Row],[PL]],
      IF(INDEX(TransTypes[],Transactions[[#This Row],[TTR]],TT_COL_LONGORSHORT)="S",0,Transactions[[#This Row],[CalCashImpact]])
)</f>
        <v>45196.73</v>
      </c>
      <c r="N1440" s="161">
        <f>IF(VLOOKUP(Transactions[[#This Row],[Symbol]],Symbols[],COLUMN(Symbols[Currency])-COLUMN(Symbols[])+1,FALSE)=
       VLOOKUP(Transactions[[#This Row],[Account]],Accounts[],COLUMN(Accounts[Currency])-COLUMN(Accounts[])+1,FALSE),
     Transactions[[#This Row],[OrigCashImpact]],
     0
)</f>
        <v>45196.73</v>
      </c>
      <c r="O14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907461.40000000037</v>
      </c>
      <c r="P14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-900</v>
      </c>
      <c r="Q14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3100</v>
      </c>
      <c r="R1440" s="41">
        <f>ROW()</f>
        <v>1440</v>
      </c>
      <c r="S14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-44477.997750000002</v>
      </c>
      <c r="T14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153201.99225000001</v>
      </c>
      <c r="U14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440" s="166">
        <f>IF(INDEX(TransTypes[],Transactions[[#This Row],[TTR]],TT_COL_GLFlag)=1,Transactions[[#This Row],[CalCashImpact]]+Transactions[[#This Row],[CostImpact]],0)</f>
        <v>718.73225000000093</v>
      </c>
      <c r="W1440" s="167">
        <f>Transactions[[#This Row],[Amount]]*INDEX(TransTypes[],Transactions[[#This Row],[TTR]],TT_COL_AmntSign)</f>
        <v>45196.73</v>
      </c>
      <c r="X1440" s="167">
        <f>IF(INDEX(TransTypes[],Transactions[[#This Row],[TTR]],TT_COL_LONGORSHORT)="S",
      IF( OR(INDEX(TransTypes[],Transactions[[#This Row],[TTR]],TT_COL_GLFlag)=1, INDEX(TransTypes[], Transactions[[#This Row],[TTR]], TT_COL_ShareTransferFlag)=1),
            Transactions[[#This Row],[CostImpact]]*-1,
            Transactions[[#This Row],[CalCashImpact]]
      ),
     0
)</f>
        <v>0</v>
      </c>
      <c r="Y1440" s="168" t="str">
        <f>VLOOKUP(Transactions[[#This Row],[Symbol]],Symbols[], COLUMN(Symbols[Currency])-COLUMN(Symbols[])+1,FALSE)</f>
        <v>CNY</v>
      </c>
    </row>
    <row r="1441" spans="1:25">
      <c r="A1441" s="155" t="s">
        <v>82</v>
      </c>
      <c r="B1441" s="156">
        <v>42794</v>
      </c>
      <c r="C1441" s="155" t="s">
        <v>113</v>
      </c>
      <c r="D1441" s="155"/>
      <c r="E1441" s="155" t="s">
        <v>468</v>
      </c>
      <c r="F1441" s="157">
        <v>2000</v>
      </c>
      <c r="G1441" s="158">
        <v>36.229999999999997</v>
      </c>
      <c r="H1441" s="157">
        <v>30.43</v>
      </c>
      <c r="I1441" s="157"/>
      <c r="J1441" s="159">
        <v>72490.429999999993</v>
      </c>
      <c r="K1441" s="6" t="s">
        <v>641</v>
      </c>
      <c r="L1441" s="20">
        <f>IF(ISNA(MATCH(Transactions[[#This Row],[TransType]],TransTypes[TransType],0)),1,MATCH(Transactions[[#This Row],[TransType]],TransTypes[TransType],0))</f>
        <v>2</v>
      </c>
      <c r="M1441" s="160">
        <f>IF( AND( INDEX(TransTypes[],Transactions[[#This Row],[TTR]],TT_COL_GLFlag)=1, INDEX(TransTypes[],Transactions[[#This Row],[TTR]],TT_COL_LONGORSHORT)="S" ),
      Transactions[[#This Row],[PL]],
      IF(INDEX(TransTypes[],Transactions[[#This Row],[TTR]],TT_COL_LONGORSHORT)="S",0,Transactions[[#This Row],[CalCashImpact]])
)</f>
        <v>-72490.429999999993</v>
      </c>
      <c r="N1441" s="161">
        <f>IF(VLOOKUP(Transactions[[#This Row],[Symbol]],Symbols[],COLUMN(Symbols[Currency])-COLUMN(Symbols[])+1,FALSE)=
       VLOOKUP(Transactions[[#This Row],[Account]],Accounts[],COLUMN(Accounts[Currency])-COLUMN(Accounts[])+1,FALSE),
     Transactions[[#This Row],[OrigCashImpact]],
     0
)</f>
        <v>-72490.429999999993</v>
      </c>
      <c r="O14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834970.97000000044</v>
      </c>
      <c r="P14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441" s="41">
        <f>ROW()</f>
        <v>1441</v>
      </c>
      <c r="S14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72490.429999999993</v>
      </c>
      <c r="T14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255207.72999999998</v>
      </c>
      <c r="U14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441" s="166">
        <f>IF(INDEX(TransTypes[],Transactions[[#This Row],[TTR]],TT_COL_GLFlag)=1,Transactions[[#This Row],[CalCashImpact]]+Transactions[[#This Row],[CostImpact]],0)</f>
        <v>0</v>
      </c>
      <c r="W1441" s="167">
        <f>Transactions[[#This Row],[Amount]]*INDEX(TransTypes[],Transactions[[#This Row],[TTR]],TT_COL_AmntSign)</f>
        <v>-72490.429999999993</v>
      </c>
      <c r="X1441" s="167">
        <f>IF(INDEX(TransTypes[],Transactions[[#This Row],[TTR]],TT_COL_LONGORSHORT)="S",
      IF( OR(INDEX(TransTypes[],Transactions[[#This Row],[TTR]],TT_COL_GLFlag)=1, INDEX(TransTypes[], Transactions[[#This Row],[TTR]], TT_COL_ShareTransferFlag)=1),
            Transactions[[#This Row],[CostImpact]]*-1,
            Transactions[[#This Row],[CalCashImpact]]
      ),
     0
)</f>
        <v>0</v>
      </c>
      <c r="Y1441" s="168" t="str">
        <f>VLOOKUP(Transactions[[#This Row],[Symbol]],Symbols[], COLUMN(Symbols[Currency])-COLUMN(Symbols[])+1,FALSE)</f>
        <v>CNY</v>
      </c>
    </row>
    <row r="1442" spans="1:25">
      <c r="A1442" s="155" t="s">
        <v>82</v>
      </c>
      <c r="B1442" s="156">
        <v>42794</v>
      </c>
      <c r="C1442" s="155" t="s">
        <v>115</v>
      </c>
      <c r="D1442" s="155"/>
      <c r="E1442" s="155" t="s">
        <v>721</v>
      </c>
      <c r="F1442" s="157">
        <v>21000</v>
      </c>
      <c r="G1442" s="158">
        <v>5.74</v>
      </c>
      <c r="H1442" s="157">
        <v>171.17</v>
      </c>
      <c r="I1442" s="157"/>
      <c r="J1442" s="159">
        <v>120368.83</v>
      </c>
      <c r="K1442" s="6" t="s">
        <v>641</v>
      </c>
      <c r="L1442" s="20">
        <f>IF(ISNA(MATCH(Transactions[[#This Row],[TransType]],TransTypes[TransType],0)),1,MATCH(Transactions[[#This Row],[TransType]],TransTypes[TransType],0))</f>
        <v>3</v>
      </c>
      <c r="M1442" s="160">
        <f>IF( AND( INDEX(TransTypes[],Transactions[[#This Row],[TTR]],TT_COL_GLFlag)=1, INDEX(TransTypes[],Transactions[[#This Row],[TTR]],TT_COL_LONGORSHORT)="S" ),
      Transactions[[#This Row],[PL]],
      IF(INDEX(TransTypes[],Transactions[[#This Row],[TTR]],TT_COL_LONGORSHORT)="S",0,Transactions[[#This Row],[CalCashImpact]])
)</f>
        <v>120368.83</v>
      </c>
      <c r="N1442" s="161">
        <f>IF(VLOOKUP(Transactions[[#This Row],[Symbol]],Symbols[],COLUMN(Symbols[Currency])-COLUMN(Symbols[])+1,FALSE)=
       VLOOKUP(Transactions[[#This Row],[Account]],Accounts[],COLUMN(Accounts[Currency])-COLUMN(Accounts[])+1,FALSE),
     Transactions[[#This Row],[OrigCashImpact]],
     0
)</f>
        <v>120368.83</v>
      </c>
      <c r="O14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955339.8000000004</v>
      </c>
      <c r="P14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-21000</v>
      </c>
      <c r="Q14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42" s="41">
        <f>ROW()</f>
        <v>1442</v>
      </c>
      <c r="S14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-124004.84</v>
      </c>
      <c r="T14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21000</v>
      </c>
      <c r="V1442" s="166">
        <f>IF(INDEX(TransTypes[],Transactions[[#This Row],[TTR]],TT_COL_GLFlag)=1,Transactions[[#This Row],[CalCashImpact]]+Transactions[[#This Row],[CostImpact]],0)</f>
        <v>-3636.0099999999948</v>
      </c>
      <c r="W1442" s="167">
        <f>Transactions[[#This Row],[Amount]]*INDEX(TransTypes[],Transactions[[#This Row],[TTR]],TT_COL_AmntSign)</f>
        <v>120368.83</v>
      </c>
      <c r="X1442" s="167">
        <f>IF(INDEX(TransTypes[],Transactions[[#This Row],[TTR]],TT_COL_LONGORSHORT)="S",
      IF( OR(INDEX(TransTypes[],Transactions[[#This Row],[TTR]],TT_COL_GLFlag)=1, INDEX(TransTypes[], Transactions[[#This Row],[TTR]], TT_COL_ShareTransferFlag)=1),
            Transactions[[#This Row],[CostImpact]]*-1,
            Transactions[[#This Row],[CalCashImpact]]
      ),
     0
)</f>
        <v>0</v>
      </c>
      <c r="Y1442" s="168" t="str">
        <f>VLOOKUP(Transactions[[#This Row],[Symbol]],Symbols[], COLUMN(Symbols[Currency])-COLUMN(Symbols[])+1,FALSE)</f>
        <v>CNY</v>
      </c>
    </row>
    <row r="1443" spans="1:25">
      <c r="A1443" s="155" t="s">
        <v>82</v>
      </c>
      <c r="B1443" s="156">
        <v>42794</v>
      </c>
      <c r="C1443" s="155" t="s">
        <v>115</v>
      </c>
      <c r="D1443" s="155"/>
      <c r="E1443" s="155" t="s">
        <v>720</v>
      </c>
      <c r="F1443" s="157">
        <v>200</v>
      </c>
      <c r="G1443" s="158">
        <v>11.3</v>
      </c>
      <c r="H1443" s="157">
        <v>7.31</v>
      </c>
      <c r="I1443" s="157"/>
      <c r="J1443" s="159">
        <v>2252.69</v>
      </c>
      <c r="K1443" s="6" t="s">
        <v>641</v>
      </c>
      <c r="L1443" s="20">
        <f>IF(ISNA(MATCH(Transactions[[#This Row],[TransType]],TransTypes[TransType],0)),1,MATCH(Transactions[[#This Row],[TransType]],TransTypes[TransType],0))</f>
        <v>3</v>
      </c>
      <c r="M1443" s="160">
        <f>IF( AND( INDEX(TransTypes[],Transactions[[#This Row],[TTR]],TT_COL_GLFlag)=1, INDEX(TransTypes[],Transactions[[#This Row],[TTR]],TT_COL_LONGORSHORT)="S" ),
      Transactions[[#This Row],[PL]],
      IF(INDEX(TransTypes[],Transactions[[#This Row],[TTR]],TT_COL_LONGORSHORT)="S",0,Transactions[[#This Row],[CalCashImpact]])
)</f>
        <v>2252.69</v>
      </c>
      <c r="N1443" s="161">
        <f>IF(VLOOKUP(Transactions[[#This Row],[Symbol]],Symbols[],COLUMN(Symbols[Currency])-COLUMN(Symbols[])+1,FALSE)=
       VLOOKUP(Transactions[[#This Row],[Account]],Accounts[],COLUMN(Accounts[Currency])-COLUMN(Accounts[])+1,FALSE),
     Transactions[[#This Row],[OrigCashImpact]],
     0
)</f>
        <v>2252.69</v>
      </c>
      <c r="O14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957592.49000000046</v>
      </c>
      <c r="P14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4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43" s="41">
        <f>ROW()</f>
        <v>1443</v>
      </c>
      <c r="S14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-2187.04</v>
      </c>
      <c r="T14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1443" s="166">
        <f>IF(INDEX(TransTypes[],Transactions[[#This Row],[TTR]],TT_COL_GLFlag)=1,Transactions[[#This Row],[CalCashImpact]]+Transactions[[#This Row],[CostImpact]],0)</f>
        <v>65.650000000000091</v>
      </c>
      <c r="W1443" s="167">
        <f>Transactions[[#This Row],[Amount]]*INDEX(TransTypes[],Transactions[[#This Row],[TTR]],TT_COL_AmntSign)</f>
        <v>2252.69</v>
      </c>
      <c r="X1443" s="167">
        <f>IF(INDEX(TransTypes[],Transactions[[#This Row],[TTR]],TT_COL_LONGORSHORT)="S",
      IF( OR(INDEX(TransTypes[],Transactions[[#This Row],[TTR]],TT_COL_GLFlag)=1, INDEX(TransTypes[], Transactions[[#This Row],[TTR]], TT_COL_ShareTransferFlag)=1),
            Transactions[[#This Row],[CostImpact]]*-1,
            Transactions[[#This Row],[CalCashImpact]]
      ),
     0
)</f>
        <v>0</v>
      </c>
      <c r="Y1443" s="168" t="str">
        <f>VLOOKUP(Transactions[[#This Row],[Symbol]],Symbols[], COLUMN(Symbols[Currency])-COLUMN(Symbols[])+1,FALSE)</f>
        <v>CNY</v>
      </c>
    </row>
    <row r="1444" spans="1:25">
      <c r="A1444" s="155" t="s">
        <v>82</v>
      </c>
      <c r="B1444" s="156">
        <v>42794</v>
      </c>
      <c r="C1444" s="155" t="s">
        <v>115</v>
      </c>
      <c r="D1444" s="155"/>
      <c r="E1444" s="155" t="s">
        <v>724</v>
      </c>
      <c r="F1444" s="157">
        <v>1000</v>
      </c>
      <c r="G1444" s="158">
        <v>33.4</v>
      </c>
      <c r="H1444" s="157">
        <v>47.43</v>
      </c>
      <c r="I1444" s="157"/>
      <c r="J1444" s="159">
        <v>33352.57</v>
      </c>
      <c r="K1444" s="6" t="s">
        <v>641</v>
      </c>
      <c r="L1444" s="20">
        <f>IF(ISNA(MATCH(Transactions[[#This Row],[TransType]],TransTypes[TransType],0)),1,MATCH(Transactions[[#This Row],[TransType]],TransTypes[TransType],0))</f>
        <v>3</v>
      </c>
      <c r="M1444" s="160">
        <f>IF( AND( INDEX(TransTypes[],Transactions[[#This Row],[TTR]],TT_COL_GLFlag)=1, INDEX(TransTypes[],Transactions[[#This Row],[TTR]],TT_COL_LONGORSHORT)="S" ),
      Transactions[[#This Row],[PL]],
      IF(INDEX(TransTypes[],Transactions[[#This Row],[TTR]],TT_COL_LONGORSHORT)="S",0,Transactions[[#This Row],[CalCashImpact]])
)</f>
        <v>33352.57</v>
      </c>
      <c r="N1444" s="161">
        <f>IF(VLOOKUP(Transactions[[#This Row],[Symbol]],Symbols[],COLUMN(Symbols[Currency])-COLUMN(Symbols[])+1,FALSE)=
       VLOOKUP(Transactions[[#This Row],[Account]],Accounts[],COLUMN(Accounts[Currency])-COLUMN(Accounts[])+1,FALSE),
     Transactions[[#This Row],[OrigCashImpact]],
     0
)</f>
        <v>33352.57</v>
      </c>
      <c r="O14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990945.06000000041</v>
      </c>
      <c r="P14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44" s="41">
        <f>ROW()</f>
        <v>1444</v>
      </c>
      <c r="S14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-8370</v>
      </c>
      <c r="T14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444" s="166">
        <f>IF(INDEX(TransTypes[],Transactions[[#This Row],[TTR]],TT_COL_GLFlag)=1,Transactions[[#This Row],[CalCashImpact]]+Transactions[[#This Row],[CostImpact]],0)</f>
        <v>24982.57</v>
      </c>
      <c r="W1444" s="167">
        <f>Transactions[[#This Row],[Amount]]*INDEX(TransTypes[],Transactions[[#This Row],[TTR]],TT_COL_AmntSign)</f>
        <v>33352.57</v>
      </c>
      <c r="X1444" s="167">
        <f>IF(INDEX(TransTypes[],Transactions[[#This Row],[TTR]],TT_COL_LONGORSHORT)="S",
      IF( OR(INDEX(TransTypes[],Transactions[[#This Row],[TTR]],TT_COL_GLFlag)=1, INDEX(TransTypes[], Transactions[[#This Row],[TTR]], TT_COL_ShareTransferFlag)=1),
            Transactions[[#This Row],[CostImpact]]*-1,
            Transactions[[#This Row],[CalCashImpact]]
      ),
     0
)</f>
        <v>0</v>
      </c>
      <c r="Y1444" s="168" t="str">
        <f>VLOOKUP(Transactions[[#This Row],[Symbol]],Symbols[], COLUMN(Symbols[Currency])-COLUMN(Symbols[])+1,FALSE)</f>
        <v>CNY</v>
      </c>
    </row>
    <row r="1445" spans="1:25">
      <c r="A1445" s="155" t="s">
        <v>82</v>
      </c>
      <c r="B1445" s="156">
        <v>42797</v>
      </c>
      <c r="C1445" s="155" t="s">
        <v>115</v>
      </c>
      <c r="D1445" s="155"/>
      <c r="E1445" s="155" t="s">
        <v>675</v>
      </c>
      <c r="F1445" s="157">
        <v>76000</v>
      </c>
      <c r="G1445" s="158">
        <v>1.2909999999999999</v>
      </c>
      <c r="H1445" s="157">
        <v>39.25</v>
      </c>
      <c r="I1445" s="157"/>
      <c r="J1445" s="159">
        <v>98076.75</v>
      </c>
      <c r="K1445" s="6" t="s">
        <v>641</v>
      </c>
      <c r="L1445" s="20">
        <f>IF(ISNA(MATCH(Transactions[[#This Row],[TransType]],TransTypes[TransType],0)),1,MATCH(Transactions[[#This Row],[TransType]],TransTypes[TransType],0))</f>
        <v>3</v>
      </c>
      <c r="M1445" s="160">
        <f>IF( AND( INDEX(TransTypes[],Transactions[[#This Row],[TTR]],TT_COL_GLFlag)=1, INDEX(TransTypes[],Transactions[[#This Row],[TTR]],TT_COL_LONGORSHORT)="S" ),
      Transactions[[#This Row],[PL]],
      IF(INDEX(TransTypes[],Transactions[[#This Row],[TTR]],TT_COL_LONGORSHORT)="S",0,Transactions[[#This Row],[CalCashImpact]])
)</f>
        <v>98076.75</v>
      </c>
      <c r="N1445" s="161">
        <f>IF(VLOOKUP(Transactions[[#This Row],[Symbol]],Symbols[],COLUMN(Symbols[Currency])-COLUMN(Symbols[])+1,FALSE)=
       VLOOKUP(Transactions[[#This Row],[Account]],Accounts[],COLUMN(Accounts[Currency])-COLUMN(Accounts[])+1,FALSE),
     Transactions[[#This Row],[OrigCashImpact]],
     0
)</f>
        <v>98076.75</v>
      </c>
      <c r="O14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1089021.8100000003</v>
      </c>
      <c r="P14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-76000</v>
      </c>
      <c r="Q14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76000</v>
      </c>
      <c r="R1445" s="41">
        <f>ROW()</f>
        <v>1445</v>
      </c>
      <c r="S14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-97842.716022522509</v>
      </c>
      <c r="T14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97842.716022522509</v>
      </c>
      <c r="U14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152000</v>
      </c>
      <c r="V1445" s="166">
        <f>IF(INDEX(TransTypes[],Transactions[[#This Row],[TTR]],TT_COL_GLFlag)=1,Transactions[[#This Row],[CalCashImpact]]+Transactions[[#This Row],[CostImpact]],0)</f>
        <v>234.03397747749113</v>
      </c>
      <c r="W1445" s="167">
        <f>Transactions[[#This Row],[Amount]]*INDEX(TransTypes[],Transactions[[#This Row],[TTR]],TT_COL_AmntSign)</f>
        <v>98076.75</v>
      </c>
      <c r="X1445" s="167">
        <f>IF(INDEX(TransTypes[],Transactions[[#This Row],[TTR]],TT_COL_LONGORSHORT)="S",
      IF( OR(INDEX(TransTypes[],Transactions[[#This Row],[TTR]],TT_COL_GLFlag)=1, INDEX(TransTypes[], Transactions[[#This Row],[TTR]], TT_COL_ShareTransferFlag)=1),
            Transactions[[#This Row],[CostImpact]]*-1,
            Transactions[[#This Row],[CalCashImpact]]
      ),
     0
)</f>
        <v>0</v>
      </c>
      <c r="Y1445" s="168" t="str">
        <f>VLOOKUP(Transactions[[#This Row],[Symbol]],Symbols[], COLUMN(Symbols[Currency])-COLUMN(Symbols[])+1,FALSE)</f>
        <v>CNY</v>
      </c>
    </row>
    <row r="1446" spans="1:25">
      <c r="A1446" s="155" t="s">
        <v>82</v>
      </c>
      <c r="B1446" s="156">
        <v>42797</v>
      </c>
      <c r="C1446" s="155" t="s">
        <v>115</v>
      </c>
      <c r="D1446" s="155"/>
      <c r="E1446" s="155" t="s">
        <v>715</v>
      </c>
      <c r="F1446" s="157">
        <v>104000</v>
      </c>
      <c r="G1446" s="158">
        <v>0.38500000000000001</v>
      </c>
      <c r="H1446" s="157">
        <v>16.02</v>
      </c>
      <c r="I1446" s="157"/>
      <c r="J1446" s="159">
        <v>40023.980000000003</v>
      </c>
      <c r="K1446" s="6" t="s">
        <v>641</v>
      </c>
      <c r="L1446" s="20">
        <f>IF(ISNA(MATCH(Transactions[[#This Row],[TransType]],TransTypes[TransType],0)),1,MATCH(Transactions[[#This Row],[TransType]],TransTypes[TransType],0))</f>
        <v>3</v>
      </c>
      <c r="M1446" s="160">
        <f>IF( AND( INDEX(TransTypes[],Transactions[[#This Row],[TTR]],TT_COL_GLFlag)=1, INDEX(TransTypes[],Transactions[[#This Row],[TTR]],TT_COL_LONGORSHORT)="S" ),
      Transactions[[#This Row],[PL]],
      IF(INDEX(TransTypes[],Transactions[[#This Row],[TTR]],TT_COL_LONGORSHORT)="S",0,Transactions[[#This Row],[CalCashImpact]])
)</f>
        <v>40023.980000000003</v>
      </c>
      <c r="N1446" s="161">
        <f>IF(VLOOKUP(Transactions[[#This Row],[Symbol]],Symbols[],COLUMN(Symbols[Currency])-COLUMN(Symbols[])+1,FALSE)=
       VLOOKUP(Transactions[[#This Row],[Account]],Accounts[],COLUMN(Accounts[Currency])-COLUMN(Accounts[])+1,FALSE),
     Transactions[[#This Row],[OrigCashImpact]],
     0
)</f>
        <v>40023.980000000003</v>
      </c>
      <c r="O14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1129045.7900000003</v>
      </c>
      <c r="P14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-104000</v>
      </c>
      <c r="Q14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416000</v>
      </c>
      <c r="R1446" s="41">
        <f>ROW()</f>
        <v>1446</v>
      </c>
      <c r="S14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-39431.766000000011</v>
      </c>
      <c r="T14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157727.06400000004</v>
      </c>
      <c r="U14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520000</v>
      </c>
      <c r="V1446" s="166">
        <f>IF(INDEX(TransTypes[],Transactions[[#This Row],[TTR]],TT_COL_GLFlag)=1,Transactions[[#This Row],[CalCashImpact]]+Transactions[[#This Row],[CostImpact]],0)</f>
        <v>592.21399999999267</v>
      </c>
      <c r="W1446" s="167">
        <f>Transactions[[#This Row],[Amount]]*INDEX(TransTypes[],Transactions[[#This Row],[TTR]],TT_COL_AmntSign)</f>
        <v>40023.980000000003</v>
      </c>
      <c r="X1446" s="167">
        <f>IF(INDEX(TransTypes[],Transactions[[#This Row],[TTR]],TT_COL_LONGORSHORT)="S",
      IF( OR(INDEX(TransTypes[],Transactions[[#This Row],[TTR]],TT_COL_GLFlag)=1, INDEX(TransTypes[], Transactions[[#This Row],[TTR]], TT_COL_ShareTransferFlag)=1),
            Transactions[[#This Row],[CostImpact]]*-1,
            Transactions[[#This Row],[CalCashImpact]]
      ),
     0
)</f>
        <v>0</v>
      </c>
      <c r="Y1446" s="168" t="str">
        <f>VLOOKUP(Transactions[[#This Row],[Symbol]],Symbols[], COLUMN(Symbols[Currency])-COLUMN(Symbols[])+1,FALSE)</f>
        <v>CNY</v>
      </c>
    </row>
    <row r="1447" spans="1:25">
      <c r="A1447" s="155" t="s">
        <v>82</v>
      </c>
      <c r="B1447" s="156">
        <v>42797</v>
      </c>
      <c r="C1447" s="155" t="s">
        <v>115</v>
      </c>
      <c r="D1447" s="155"/>
      <c r="E1447" s="155" t="s">
        <v>704</v>
      </c>
      <c r="F1447" s="157">
        <v>3200</v>
      </c>
      <c r="G1447" s="158">
        <v>21.29</v>
      </c>
      <c r="H1447" s="157">
        <v>95.38</v>
      </c>
      <c r="I1447" s="157"/>
      <c r="J1447" s="159">
        <v>68032.62</v>
      </c>
      <c r="K1447" s="6" t="s">
        <v>641</v>
      </c>
      <c r="L1447" s="20">
        <f>IF(ISNA(MATCH(Transactions[[#This Row],[TransType]],TransTypes[TransType],0)),1,MATCH(Transactions[[#This Row],[TransType]],TransTypes[TransType],0))</f>
        <v>3</v>
      </c>
      <c r="M1447" s="160">
        <f>IF( AND( INDEX(TransTypes[],Transactions[[#This Row],[TTR]],TT_COL_GLFlag)=1, INDEX(TransTypes[],Transactions[[#This Row],[TTR]],TT_COL_LONGORSHORT)="S" ),
      Transactions[[#This Row],[PL]],
      IF(INDEX(TransTypes[],Transactions[[#This Row],[TTR]],TT_COL_LONGORSHORT)="S",0,Transactions[[#This Row],[CalCashImpact]])
)</f>
        <v>68032.62</v>
      </c>
      <c r="N1447" s="161">
        <f>IF(VLOOKUP(Transactions[[#This Row],[Symbol]],Symbols[],COLUMN(Symbols[Currency])-COLUMN(Symbols[])+1,FALSE)=
       VLOOKUP(Transactions[[#This Row],[Account]],Accounts[],COLUMN(Accounts[Currency])-COLUMN(Accounts[])+1,FALSE),
     Transactions[[#This Row],[OrigCashImpact]],
     0
)</f>
        <v>68032.62</v>
      </c>
      <c r="O14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1197078.4100000004</v>
      </c>
      <c r="P14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-3200</v>
      </c>
      <c r="Q14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9800</v>
      </c>
      <c r="R1447" s="41">
        <f>ROW()</f>
        <v>1447</v>
      </c>
      <c r="S14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-69084.359384615382</v>
      </c>
      <c r="T14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211570.85061538458</v>
      </c>
      <c r="U14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447" s="166">
        <f>IF(INDEX(TransTypes[],Transactions[[#This Row],[TTR]],TT_COL_GLFlag)=1,Transactions[[#This Row],[CalCashImpact]]+Transactions[[#This Row],[CostImpact]],0)</f>
        <v>-1051.7393846153864</v>
      </c>
      <c r="W1447" s="167">
        <f>Transactions[[#This Row],[Amount]]*INDEX(TransTypes[],Transactions[[#This Row],[TTR]],TT_COL_AmntSign)</f>
        <v>68032.62</v>
      </c>
      <c r="X1447" s="167">
        <f>IF(INDEX(TransTypes[],Transactions[[#This Row],[TTR]],TT_COL_LONGORSHORT)="S",
      IF( OR(INDEX(TransTypes[],Transactions[[#This Row],[TTR]],TT_COL_GLFlag)=1, INDEX(TransTypes[], Transactions[[#This Row],[TTR]], TT_COL_ShareTransferFlag)=1),
            Transactions[[#This Row],[CostImpact]]*-1,
            Transactions[[#This Row],[CalCashImpact]]
      ),
     0
)</f>
        <v>0</v>
      </c>
      <c r="Y1447" s="168" t="str">
        <f>VLOOKUP(Transactions[[#This Row],[Symbol]],Symbols[], COLUMN(Symbols[Currency])-COLUMN(Symbols[])+1,FALSE)</f>
        <v>CNY</v>
      </c>
    </row>
    <row r="1448" spans="1:25">
      <c r="A1448" s="155" t="s">
        <v>82</v>
      </c>
      <c r="B1448" s="156">
        <v>42797</v>
      </c>
      <c r="C1448" s="155" t="s">
        <v>115</v>
      </c>
      <c r="D1448" s="155"/>
      <c r="E1448" s="155" t="s">
        <v>712</v>
      </c>
      <c r="F1448" s="157">
        <v>60000</v>
      </c>
      <c r="G1448" s="158">
        <v>0.92200000000000004</v>
      </c>
      <c r="H1448" s="157">
        <v>22.12</v>
      </c>
      <c r="I1448" s="157"/>
      <c r="J1448" s="159">
        <v>55297.88</v>
      </c>
      <c r="K1448" s="6" t="s">
        <v>641</v>
      </c>
      <c r="L1448" s="20">
        <f>IF(ISNA(MATCH(Transactions[[#This Row],[TransType]],TransTypes[TransType],0)),1,MATCH(Transactions[[#This Row],[TransType]],TransTypes[TransType],0))</f>
        <v>3</v>
      </c>
      <c r="M1448" s="160">
        <f>IF( AND( INDEX(TransTypes[],Transactions[[#This Row],[TTR]],TT_COL_GLFlag)=1, INDEX(TransTypes[],Transactions[[#This Row],[TTR]],TT_COL_LONGORSHORT)="S" ),
      Transactions[[#This Row],[PL]],
      IF(INDEX(TransTypes[],Transactions[[#This Row],[TTR]],TT_COL_LONGORSHORT)="S",0,Transactions[[#This Row],[CalCashImpact]])
)</f>
        <v>55297.88</v>
      </c>
      <c r="N1448" s="161">
        <f>IF(VLOOKUP(Transactions[[#This Row],[Symbol]],Symbols[],COLUMN(Symbols[Currency])-COLUMN(Symbols[])+1,FALSE)=
       VLOOKUP(Transactions[[#This Row],[Account]],Accounts[],COLUMN(Accounts[Currency])-COLUMN(Accounts[])+1,FALSE),
     Transactions[[#This Row],[OrigCashImpact]],
     0
)</f>
        <v>55297.88</v>
      </c>
      <c r="O14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1252376.2900000003</v>
      </c>
      <c r="P14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14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240000</v>
      </c>
      <c r="R1448" s="41">
        <f>ROW()</f>
        <v>1448</v>
      </c>
      <c r="S14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-49009.014902786919</v>
      </c>
      <c r="T14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196036.05961114768</v>
      </c>
      <c r="U14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1448" s="166">
        <f>IF(INDEX(TransTypes[],Transactions[[#This Row],[TTR]],TT_COL_GLFlag)=1,Transactions[[#This Row],[CalCashImpact]]+Transactions[[#This Row],[CostImpact]],0)</f>
        <v>6288.8650972130781</v>
      </c>
      <c r="W1448" s="167">
        <f>Transactions[[#This Row],[Amount]]*INDEX(TransTypes[],Transactions[[#This Row],[TTR]],TT_COL_AmntSign)</f>
        <v>55297.88</v>
      </c>
      <c r="X1448" s="167">
        <f>IF(INDEX(TransTypes[],Transactions[[#This Row],[TTR]],TT_COL_LONGORSHORT)="S",
      IF( OR(INDEX(TransTypes[],Transactions[[#This Row],[TTR]],TT_COL_GLFlag)=1, INDEX(TransTypes[], Transactions[[#This Row],[TTR]], TT_COL_ShareTransferFlag)=1),
            Transactions[[#This Row],[CostImpact]]*-1,
            Transactions[[#This Row],[CalCashImpact]]
      ),
     0
)</f>
        <v>0</v>
      </c>
      <c r="Y1448" s="168" t="str">
        <f>VLOOKUP(Transactions[[#This Row],[Symbol]],Symbols[], COLUMN(Symbols[Currency])-COLUMN(Symbols[])+1,FALSE)</f>
        <v>CNY</v>
      </c>
    </row>
    <row r="1449" spans="1:25">
      <c r="A1449" s="155" t="s">
        <v>82</v>
      </c>
      <c r="B1449" s="156">
        <v>42797</v>
      </c>
      <c r="C1449" s="155" t="s">
        <v>115</v>
      </c>
      <c r="D1449" s="155"/>
      <c r="E1449" s="155" t="s">
        <v>482</v>
      </c>
      <c r="F1449" s="157">
        <v>2000</v>
      </c>
      <c r="G1449" s="158">
        <v>27.16</v>
      </c>
      <c r="H1449" s="157">
        <v>76.05</v>
      </c>
      <c r="I1449" s="157"/>
      <c r="J1449" s="159">
        <v>54243.95</v>
      </c>
      <c r="K1449" s="6" t="s">
        <v>641</v>
      </c>
      <c r="L1449" s="20">
        <f>IF(ISNA(MATCH(Transactions[[#This Row],[TransType]],TransTypes[TransType],0)),1,MATCH(Transactions[[#This Row],[TransType]],TransTypes[TransType],0))</f>
        <v>3</v>
      </c>
      <c r="M1449" s="160">
        <f>IF( AND( INDEX(TransTypes[],Transactions[[#This Row],[TTR]],TT_COL_GLFlag)=1, INDEX(TransTypes[],Transactions[[#This Row],[TTR]],TT_COL_LONGORSHORT)="S" ),
      Transactions[[#This Row],[PL]],
      IF(INDEX(TransTypes[],Transactions[[#This Row],[TTR]],TT_COL_LONGORSHORT)="S",0,Transactions[[#This Row],[CalCashImpact]])
)</f>
        <v>54243.95</v>
      </c>
      <c r="N1449" s="161">
        <f>IF(VLOOKUP(Transactions[[#This Row],[Symbol]],Symbols[],COLUMN(Symbols[Currency])-COLUMN(Symbols[])+1,FALSE)=
       VLOOKUP(Transactions[[#This Row],[Account]],Accounts[],COLUMN(Accounts[Currency])-COLUMN(Accounts[])+1,FALSE),
     Transactions[[#This Row],[OrigCashImpact]],
     0
)</f>
        <v>54243.95</v>
      </c>
      <c r="O14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1306620.2400000002</v>
      </c>
      <c r="P14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449" s="41">
        <f>ROW()</f>
        <v>1449</v>
      </c>
      <c r="S14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-47703.074000000008</v>
      </c>
      <c r="T14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190812.29600000003</v>
      </c>
      <c r="U14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49" s="166">
        <f>IF(INDEX(TransTypes[],Transactions[[#This Row],[TTR]],TT_COL_GLFlag)=1,Transactions[[#This Row],[CalCashImpact]]+Transactions[[#This Row],[CostImpact]],0)</f>
        <v>6540.8759999999893</v>
      </c>
      <c r="W1449" s="167">
        <f>Transactions[[#This Row],[Amount]]*INDEX(TransTypes[],Transactions[[#This Row],[TTR]],TT_COL_AmntSign)</f>
        <v>54243.95</v>
      </c>
      <c r="X1449" s="167">
        <f>IF(INDEX(TransTypes[],Transactions[[#This Row],[TTR]],TT_COL_LONGORSHORT)="S",
      IF( OR(INDEX(TransTypes[],Transactions[[#This Row],[TTR]],TT_COL_GLFlag)=1, INDEX(TransTypes[], Transactions[[#This Row],[TTR]], TT_COL_ShareTransferFlag)=1),
            Transactions[[#This Row],[CostImpact]]*-1,
            Transactions[[#This Row],[CalCashImpact]]
      ),
     0
)</f>
        <v>0</v>
      </c>
      <c r="Y1449" s="168" t="str">
        <f>VLOOKUP(Transactions[[#This Row],[Symbol]],Symbols[], COLUMN(Symbols[Currency])-COLUMN(Symbols[])+1,FALSE)</f>
        <v>CNY</v>
      </c>
    </row>
    <row r="1450" spans="1:25">
      <c r="A1450" s="155" t="s">
        <v>82</v>
      </c>
      <c r="B1450" s="156">
        <v>42797</v>
      </c>
      <c r="C1450" s="155" t="s">
        <v>115</v>
      </c>
      <c r="D1450" s="155"/>
      <c r="E1450" s="155" t="s">
        <v>710</v>
      </c>
      <c r="F1450" s="157">
        <v>2000</v>
      </c>
      <c r="G1450" s="158">
        <v>24.93</v>
      </c>
      <c r="H1450" s="157">
        <v>69.8</v>
      </c>
      <c r="I1450" s="157"/>
      <c r="J1450" s="159">
        <v>49790.2</v>
      </c>
      <c r="K1450" s="6" t="s">
        <v>641</v>
      </c>
      <c r="L1450" s="20">
        <f>IF(ISNA(MATCH(Transactions[[#This Row],[TransType]],TransTypes[TransType],0)),1,MATCH(Transactions[[#This Row],[TransType]],TransTypes[TransType],0))</f>
        <v>3</v>
      </c>
      <c r="M1450" s="160">
        <f>IF( AND( INDEX(TransTypes[],Transactions[[#This Row],[TTR]],TT_COL_GLFlag)=1, INDEX(TransTypes[],Transactions[[#This Row],[TTR]],TT_COL_LONGORSHORT)="S" ),
      Transactions[[#This Row],[PL]],
      IF(INDEX(TransTypes[],Transactions[[#This Row],[TTR]],TT_COL_LONGORSHORT)="S",0,Transactions[[#This Row],[CalCashImpact]])
)</f>
        <v>49790.2</v>
      </c>
      <c r="N1450" s="161">
        <f>IF(VLOOKUP(Transactions[[#This Row],[Symbol]],Symbols[],COLUMN(Symbols[Currency])-COLUMN(Symbols[])+1,FALSE)=
       VLOOKUP(Transactions[[#This Row],[Account]],Accounts[],COLUMN(Accounts[Currency])-COLUMN(Accounts[])+1,FALSE),
     Transactions[[#This Row],[OrigCashImpact]],
     0
)</f>
        <v>49790.2</v>
      </c>
      <c r="O14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1356410.4400000004</v>
      </c>
      <c r="P14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450" s="41">
        <f>ROW()</f>
        <v>1450</v>
      </c>
      <c r="S14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-44211.129198412702</v>
      </c>
      <c r="T14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176844.51679365081</v>
      </c>
      <c r="U14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50" s="166">
        <f>IF(INDEX(TransTypes[],Transactions[[#This Row],[TTR]],TT_COL_GLFlag)=1,Transactions[[#This Row],[CalCashImpact]]+Transactions[[#This Row],[CostImpact]],0)</f>
        <v>5579.0708015872951</v>
      </c>
      <c r="W1450" s="167">
        <f>Transactions[[#This Row],[Amount]]*INDEX(TransTypes[],Transactions[[#This Row],[TTR]],TT_COL_AmntSign)</f>
        <v>49790.2</v>
      </c>
      <c r="X1450" s="167">
        <f>IF(INDEX(TransTypes[],Transactions[[#This Row],[TTR]],TT_COL_LONGORSHORT)="S",
      IF( OR(INDEX(TransTypes[],Transactions[[#This Row],[TTR]],TT_COL_GLFlag)=1, INDEX(TransTypes[], Transactions[[#This Row],[TTR]], TT_COL_ShareTransferFlag)=1),
            Transactions[[#This Row],[CostImpact]]*-1,
            Transactions[[#This Row],[CalCashImpact]]
      ),
     0
)</f>
        <v>0</v>
      </c>
      <c r="Y1450" s="168" t="str">
        <f>VLOOKUP(Transactions[[#This Row],[Symbol]],Symbols[], COLUMN(Symbols[Currency])-COLUMN(Symbols[])+1,FALSE)</f>
        <v>CNY</v>
      </c>
    </row>
    <row r="1451" spans="1:25">
      <c r="A1451" s="155" t="s">
        <v>82</v>
      </c>
      <c r="B1451" s="156">
        <v>42797</v>
      </c>
      <c r="C1451" s="155" t="s">
        <v>115</v>
      </c>
      <c r="D1451" s="155"/>
      <c r="E1451" s="155" t="s">
        <v>684</v>
      </c>
      <c r="F1451" s="157">
        <v>2000</v>
      </c>
      <c r="G1451" s="158">
        <v>25.41</v>
      </c>
      <c r="H1451" s="157">
        <v>72.16</v>
      </c>
      <c r="I1451" s="157"/>
      <c r="J1451" s="159">
        <v>50747.839999999997</v>
      </c>
      <c r="K1451" s="6" t="s">
        <v>641</v>
      </c>
      <c r="L1451" s="20">
        <f>IF(ISNA(MATCH(Transactions[[#This Row],[TransType]],TransTypes[TransType],0)),1,MATCH(Transactions[[#This Row],[TransType]],TransTypes[TransType],0))</f>
        <v>3</v>
      </c>
      <c r="M1451" s="160">
        <f>IF( AND( INDEX(TransTypes[],Transactions[[#This Row],[TTR]],TT_COL_GLFlag)=1, INDEX(TransTypes[],Transactions[[#This Row],[TTR]],TT_COL_LONGORSHORT)="S" ),
      Transactions[[#This Row],[PL]],
      IF(INDEX(TransTypes[],Transactions[[#This Row],[TTR]],TT_COL_LONGORSHORT)="S",0,Transactions[[#This Row],[CalCashImpact]])
)</f>
        <v>50747.839999999997</v>
      </c>
      <c r="N1451" s="161">
        <f>IF(VLOOKUP(Transactions[[#This Row],[Symbol]],Symbols[],COLUMN(Symbols[Currency])-COLUMN(Symbols[])+1,FALSE)=
       VLOOKUP(Transactions[[#This Row],[Account]],Accounts[],COLUMN(Accounts[Currency])-COLUMN(Accounts[])+1,FALSE),
     Transactions[[#This Row],[OrigCashImpact]],
     0
)</f>
        <v>50747.839999999997</v>
      </c>
      <c r="O14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1407158.2800000003</v>
      </c>
      <c r="P14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451" s="41">
        <f>ROW()</f>
        <v>1451</v>
      </c>
      <c r="S14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-47040.789519999998</v>
      </c>
      <c r="T14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188163.15807999999</v>
      </c>
      <c r="U14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51" s="166">
        <f>IF(INDEX(TransTypes[],Transactions[[#This Row],[TTR]],TT_COL_GLFlag)=1,Transactions[[#This Row],[CalCashImpact]]+Transactions[[#This Row],[CostImpact]],0)</f>
        <v>3707.0504799999981</v>
      </c>
      <c r="W1451" s="167">
        <f>Transactions[[#This Row],[Amount]]*INDEX(TransTypes[],Transactions[[#This Row],[TTR]],TT_COL_AmntSign)</f>
        <v>50747.839999999997</v>
      </c>
      <c r="X1451" s="167">
        <f>IF(INDEX(TransTypes[],Transactions[[#This Row],[TTR]],TT_COL_LONGORSHORT)="S",
      IF( OR(INDEX(TransTypes[],Transactions[[#This Row],[TTR]],TT_COL_GLFlag)=1, INDEX(TransTypes[], Transactions[[#This Row],[TTR]], TT_COL_ShareTransferFlag)=1),
            Transactions[[#This Row],[CostImpact]]*-1,
            Transactions[[#This Row],[CalCashImpact]]
      ),
     0
)</f>
        <v>0</v>
      </c>
      <c r="Y1451" s="168" t="str">
        <f>VLOOKUP(Transactions[[#This Row],[Symbol]],Symbols[], COLUMN(Symbols[Currency])-COLUMN(Symbols[])+1,FALSE)</f>
        <v>CNY</v>
      </c>
    </row>
    <row r="1452" spans="1:25">
      <c r="A1452" s="155" t="s">
        <v>82</v>
      </c>
      <c r="B1452" s="156">
        <v>42797</v>
      </c>
      <c r="C1452" s="155" t="s">
        <v>115</v>
      </c>
      <c r="D1452" s="155"/>
      <c r="E1452" s="155" t="s">
        <v>665</v>
      </c>
      <c r="F1452" s="157">
        <v>60000</v>
      </c>
      <c r="G1452" s="158">
        <v>1.1200000000000001</v>
      </c>
      <c r="H1452" s="157">
        <v>26.88</v>
      </c>
      <c r="I1452" s="157"/>
      <c r="J1452" s="159">
        <v>67173.119999999995</v>
      </c>
      <c r="K1452" s="6" t="s">
        <v>641</v>
      </c>
      <c r="L1452" s="20">
        <f>IF(ISNA(MATCH(Transactions[[#This Row],[TransType]],TransTypes[TransType],0)),1,MATCH(Transactions[[#This Row],[TransType]],TransTypes[TransType],0))</f>
        <v>3</v>
      </c>
      <c r="M1452" s="160">
        <f>IF( AND( INDEX(TransTypes[],Transactions[[#This Row],[TTR]],TT_COL_GLFlag)=1, INDEX(TransTypes[],Transactions[[#This Row],[TTR]],TT_COL_LONGORSHORT)="S" ),
      Transactions[[#This Row],[PL]],
      IF(INDEX(TransTypes[],Transactions[[#This Row],[TTR]],TT_COL_LONGORSHORT)="S",0,Transactions[[#This Row],[CalCashImpact]])
)</f>
        <v>67173.119999999995</v>
      </c>
      <c r="N1452" s="161">
        <f>IF(VLOOKUP(Transactions[[#This Row],[Symbol]],Symbols[],COLUMN(Symbols[Currency])-COLUMN(Symbols[])+1,FALSE)=
       VLOOKUP(Transactions[[#This Row],[Account]],Accounts[],COLUMN(Accounts[Currency])-COLUMN(Accounts[])+1,FALSE),
     Transactions[[#This Row],[OrigCashImpact]],
     0
)</f>
        <v>67173.119999999995</v>
      </c>
      <c r="O14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1474331.4000000004</v>
      </c>
      <c r="P14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14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240000</v>
      </c>
      <c r="R1452" s="41">
        <f>ROW()</f>
        <v>1452</v>
      </c>
      <c r="S14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-59529.511911760885</v>
      </c>
      <c r="T14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238118.04764704354</v>
      </c>
      <c r="U14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300000</v>
      </c>
      <c r="V1452" s="166">
        <f>IF(INDEX(TransTypes[],Transactions[[#This Row],[TTR]],TT_COL_GLFlag)=1,Transactions[[#This Row],[CalCashImpact]]+Transactions[[#This Row],[CostImpact]],0)</f>
        <v>7643.6080882391107</v>
      </c>
      <c r="W1452" s="167">
        <f>Transactions[[#This Row],[Amount]]*INDEX(TransTypes[],Transactions[[#This Row],[TTR]],TT_COL_AmntSign)</f>
        <v>67173.119999999995</v>
      </c>
      <c r="X1452" s="167">
        <f>IF(INDEX(TransTypes[],Transactions[[#This Row],[TTR]],TT_COL_LONGORSHORT)="S",
      IF( OR(INDEX(TransTypes[],Transactions[[#This Row],[TTR]],TT_COL_GLFlag)=1, INDEX(TransTypes[], Transactions[[#This Row],[TTR]], TT_COL_ShareTransferFlag)=1),
            Transactions[[#This Row],[CostImpact]]*-1,
            Transactions[[#This Row],[CalCashImpact]]
      ),
     0
)</f>
        <v>0</v>
      </c>
      <c r="Y1452" s="168" t="str">
        <f>VLOOKUP(Transactions[[#This Row],[Symbol]],Symbols[], COLUMN(Symbols[Currency])-COLUMN(Symbols[])+1,FALSE)</f>
        <v>CNY</v>
      </c>
    </row>
    <row r="1453" spans="1:25">
      <c r="A1453" s="155" t="s">
        <v>82</v>
      </c>
      <c r="B1453" s="156">
        <v>42797</v>
      </c>
      <c r="C1453" s="155" t="s">
        <v>115</v>
      </c>
      <c r="D1453" s="155"/>
      <c r="E1453" s="155" t="s">
        <v>488</v>
      </c>
      <c r="F1453" s="157">
        <v>2000</v>
      </c>
      <c r="G1453" s="158">
        <v>19.47</v>
      </c>
      <c r="H1453" s="157">
        <v>55.3</v>
      </c>
      <c r="I1453" s="157"/>
      <c r="J1453" s="159">
        <v>38884.699999999997</v>
      </c>
      <c r="K1453" s="6" t="s">
        <v>641</v>
      </c>
      <c r="L1453" s="20">
        <f>IF(ISNA(MATCH(Transactions[[#This Row],[TransType]],TransTypes[TransType],0)),1,MATCH(Transactions[[#This Row],[TransType]],TransTypes[TransType],0))</f>
        <v>3</v>
      </c>
      <c r="M1453" s="160">
        <f>IF( AND( INDEX(TransTypes[],Transactions[[#This Row],[TTR]],TT_COL_GLFlag)=1, INDEX(TransTypes[],Transactions[[#This Row],[TTR]],TT_COL_LONGORSHORT)="S" ),
      Transactions[[#This Row],[PL]],
      IF(INDEX(TransTypes[],Transactions[[#This Row],[TTR]],TT_COL_LONGORSHORT)="S",0,Transactions[[#This Row],[CalCashImpact]])
)</f>
        <v>38884.699999999997</v>
      </c>
      <c r="N1453" s="161">
        <f>IF(VLOOKUP(Transactions[[#This Row],[Symbol]],Symbols[],COLUMN(Symbols[Currency])-COLUMN(Symbols[])+1,FALSE)=
       VLOOKUP(Transactions[[#This Row],[Account]],Accounts[],COLUMN(Accounts[Currency])-COLUMN(Accounts[])+1,FALSE),
     Transactions[[#This Row],[OrigCashImpact]],
     0
)</f>
        <v>38884.699999999997</v>
      </c>
      <c r="O14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1513216.1000000003</v>
      </c>
      <c r="P14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453" s="41">
        <f>ROW()</f>
        <v>1453</v>
      </c>
      <c r="S14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-33925.991750000001</v>
      </c>
      <c r="T14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135703.967</v>
      </c>
      <c r="U14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53" s="166">
        <f>IF(INDEX(TransTypes[],Transactions[[#This Row],[TTR]],TT_COL_GLFlag)=1,Transactions[[#This Row],[CalCashImpact]]+Transactions[[#This Row],[CostImpact]],0)</f>
        <v>4958.708249999996</v>
      </c>
      <c r="W1453" s="167">
        <f>Transactions[[#This Row],[Amount]]*INDEX(TransTypes[],Transactions[[#This Row],[TTR]],TT_COL_AmntSign)</f>
        <v>38884.699999999997</v>
      </c>
      <c r="X1453" s="167">
        <f>IF(INDEX(TransTypes[],Transactions[[#This Row],[TTR]],TT_COL_LONGORSHORT)="S",
      IF( OR(INDEX(TransTypes[],Transactions[[#This Row],[TTR]],TT_COL_GLFlag)=1, INDEX(TransTypes[], Transactions[[#This Row],[TTR]], TT_COL_ShareTransferFlag)=1),
            Transactions[[#This Row],[CostImpact]]*-1,
            Transactions[[#This Row],[CalCashImpact]]
      ),
     0
)</f>
        <v>0</v>
      </c>
      <c r="Y1453" s="168" t="str">
        <f>VLOOKUP(Transactions[[#This Row],[Symbol]],Symbols[], COLUMN(Symbols[Currency])-COLUMN(Symbols[])+1,FALSE)</f>
        <v>CNY</v>
      </c>
    </row>
    <row r="1454" spans="1:25">
      <c r="A1454" s="155" t="s">
        <v>82</v>
      </c>
      <c r="B1454" s="156">
        <v>42797</v>
      </c>
      <c r="C1454" s="155" t="s">
        <v>115</v>
      </c>
      <c r="D1454" s="155"/>
      <c r="E1454" s="155" t="s">
        <v>491</v>
      </c>
      <c r="F1454" s="157">
        <v>29400</v>
      </c>
      <c r="G1454" s="158">
        <v>2.7040000000000002</v>
      </c>
      <c r="H1454" s="157">
        <v>31.8</v>
      </c>
      <c r="I1454" s="157"/>
      <c r="J1454" s="159">
        <v>79465.8</v>
      </c>
      <c r="K1454" s="6" t="s">
        <v>641</v>
      </c>
      <c r="L1454" s="20">
        <f>IF(ISNA(MATCH(Transactions[[#This Row],[TransType]],TransTypes[TransType],0)),1,MATCH(Transactions[[#This Row],[TransType]],TransTypes[TransType],0))</f>
        <v>3</v>
      </c>
      <c r="M1454" s="160">
        <f>IF( AND( INDEX(TransTypes[],Transactions[[#This Row],[TTR]],TT_COL_GLFlag)=1, INDEX(TransTypes[],Transactions[[#This Row],[TTR]],TT_COL_LONGORSHORT)="S" ),
      Transactions[[#This Row],[PL]],
      IF(INDEX(TransTypes[],Transactions[[#This Row],[TTR]],TT_COL_LONGORSHORT)="S",0,Transactions[[#This Row],[CalCashImpact]])
)</f>
        <v>79465.8</v>
      </c>
      <c r="N1454" s="161">
        <f>IF(VLOOKUP(Transactions[[#This Row],[Symbol]],Symbols[],COLUMN(Symbols[Currency])-COLUMN(Symbols[])+1,FALSE)=
       VLOOKUP(Transactions[[#This Row],[Account]],Accounts[],COLUMN(Accounts[Currency])-COLUMN(Accounts[])+1,FALSE),
     Transactions[[#This Row],[OrigCashImpact]],
     0
)</f>
        <v>79465.8</v>
      </c>
      <c r="O14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1592681.9000000004</v>
      </c>
      <c r="P14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-29400</v>
      </c>
      <c r="Q14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117600</v>
      </c>
      <c r="R1454" s="41">
        <f>ROW()</f>
        <v>1454</v>
      </c>
      <c r="S14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-79234.48</v>
      </c>
      <c r="T14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316937.92</v>
      </c>
      <c r="U14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147000</v>
      </c>
      <c r="V1454" s="166">
        <f>IF(INDEX(TransTypes[],Transactions[[#This Row],[TTR]],TT_COL_GLFlag)=1,Transactions[[#This Row],[CalCashImpact]]+Transactions[[#This Row],[CostImpact]],0)</f>
        <v>231.32000000000698</v>
      </c>
      <c r="W1454" s="167">
        <f>Transactions[[#This Row],[Amount]]*INDEX(TransTypes[],Transactions[[#This Row],[TTR]],TT_COL_AmntSign)</f>
        <v>79465.8</v>
      </c>
      <c r="X1454" s="167">
        <f>IF(INDEX(TransTypes[],Transactions[[#This Row],[TTR]],TT_COL_LONGORSHORT)="S",
      IF( OR(INDEX(TransTypes[],Transactions[[#This Row],[TTR]],TT_COL_GLFlag)=1, INDEX(TransTypes[], Transactions[[#This Row],[TTR]], TT_COL_ShareTransferFlag)=1),
            Transactions[[#This Row],[CostImpact]]*-1,
            Transactions[[#This Row],[CalCashImpact]]
      ),
     0
)</f>
        <v>0</v>
      </c>
      <c r="Y1454" s="168" t="str">
        <f>VLOOKUP(Transactions[[#This Row],[Symbol]],Symbols[], COLUMN(Symbols[Currency])-COLUMN(Symbols[])+1,FALSE)</f>
        <v>CNY</v>
      </c>
    </row>
    <row r="1455" spans="1:25">
      <c r="A1455" s="155" t="s">
        <v>82</v>
      </c>
      <c r="B1455" s="156">
        <v>42800</v>
      </c>
      <c r="C1455" s="155" t="s">
        <v>123</v>
      </c>
      <c r="D1455" s="155"/>
      <c r="E1455" s="155" t="s">
        <v>704</v>
      </c>
      <c r="F1455" s="157"/>
      <c r="G1455" s="158"/>
      <c r="H1455" s="157"/>
      <c r="I1455" s="157"/>
      <c r="J1455" s="159">
        <v>288</v>
      </c>
      <c r="K1455" s="6" t="s">
        <v>728</v>
      </c>
      <c r="L1455" s="20">
        <f>IF(ISNA(MATCH(Transactions[[#This Row],[TransType]],TransTypes[TransType],0)),1,MATCH(Transactions[[#This Row],[TransType]],TransTypes[TransType],0))</f>
        <v>7</v>
      </c>
      <c r="M1455" s="160">
        <f>IF( AND( INDEX(TransTypes[],Transactions[[#This Row],[TTR]],TT_COL_GLFlag)=1, INDEX(TransTypes[],Transactions[[#This Row],[TTR]],TT_COL_LONGORSHORT)="S" ),
      Transactions[[#This Row],[PL]],
      IF(INDEX(TransTypes[],Transactions[[#This Row],[TTR]],TT_COL_LONGORSHORT)="S",0,Transactions[[#This Row],[CalCashImpact]])
)</f>
        <v>-288</v>
      </c>
      <c r="N1455" s="161">
        <f>IF(VLOOKUP(Transactions[[#This Row],[Symbol]],Symbols[],COLUMN(Symbols[Currency])-COLUMN(Symbols[])+1,FALSE)=
       VLOOKUP(Transactions[[#This Row],[Account]],Accounts[],COLUMN(Accounts[Currency])-COLUMN(Accounts[])+1,FALSE),
     Transactions[[#This Row],[OrigCashImpact]],
     0
)</f>
        <v>-288</v>
      </c>
      <c r="O14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1592393.9</v>
      </c>
      <c r="P14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9800</v>
      </c>
      <c r="R1455" s="41">
        <f>ROW()</f>
        <v>1455</v>
      </c>
      <c r="S14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211570.85061538458</v>
      </c>
      <c r="U14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9800</v>
      </c>
      <c r="V1455" s="166">
        <f>IF(INDEX(TransTypes[],Transactions[[#This Row],[TTR]],TT_COL_GLFlag)=1,Transactions[[#This Row],[CalCashImpact]]+Transactions[[#This Row],[CostImpact]],0)</f>
        <v>0</v>
      </c>
      <c r="W1455" s="167">
        <f>Transactions[[#This Row],[Amount]]*INDEX(TransTypes[],Transactions[[#This Row],[TTR]],TT_COL_AmntSign)</f>
        <v>-288</v>
      </c>
      <c r="X1455" s="167">
        <f>IF(INDEX(TransTypes[],Transactions[[#This Row],[TTR]],TT_COL_LONGORSHORT)="S",
      IF( OR(INDEX(TransTypes[],Transactions[[#This Row],[TTR]],TT_COL_GLFlag)=1, INDEX(TransTypes[], Transactions[[#This Row],[TTR]], TT_COL_ShareTransferFlag)=1),
            Transactions[[#This Row],[CostImpact]]*-1,
            Transactions[[#This Row],[CalCashImpact]]
      ),
     0
)</f>
        <v>0</v>
      </c>
      <c r="Y1455" s="168" t="str">
        <f>VLOOKUP(Transactions[[#This Row],[Symbol]],Symbols[], COLUMN(Symbols[Currency])-COLUMN(Symbols[])+1,FALSE)</f>
        <v>CNY</v>
      </c>
    </row>
    <row r="1456" spans="1:25">
      <c r="A1456" s="155" t="s">
        <v>82</v>
      </c>
      <c r="B1456" s="156">
        <v>42800</v>
      </c>
      <c r="C1456" s="155" t="s">
        <v>123</v>
      </c>
      <c r="D1456" s="155"/>
      <c r="E1456" s="155" t="s">
        <v>488</v>
      </c>
      <c r="F1456" s="157"/>
      <c r="G1456" s="158"/>
      <c r="H1456" s="157"/>
      <c r="I1456" s="157"/>
      <c r="J1456" s="159">
        <v>75</v>
      </c>
      <c r="K1456" s="6" t="s">
        <v>729</v>
      </c>
      <c r="L1456" s="20">
        <f>IF(ISNA(MATCH(Transactions[[#This Row],[TransType]],TransTypes[TransType],0)),1,MATCH(Transactions[[#This Row],[TransType]],TransTypes[TransType],0))</f>
        <v>7</v>
      </c>
      <c r="M1456" s="160">
        <f>IF( AND( INDEX(TransTypes[],Transactions[[#This Row],[TTR]],TT_COL_GLFlag)=1, INDEX(TransTypes[],Transactions[[#This Row],[TTR]],TT_COL_LONGORSHORT)="S" ),
      Transactions[[#This Row],[PL]],
      IF(INDEX(TransTypes[],Transactions[[#This Row],[TTR]],TT_COL_LONGORSHORT)="S",0,Transactions[[#This Row],[CalCashImpact]])
)</f>
        <v>-75</v>
      </c>
      <c r="N1456" s="161">
        <f>IF(VLOOKUP(Transactions[[#This Row],[Symbol]],Symbols[],COLUMN(Symbols[Currency])-COLUMN(Symbols[])+1,FALSE)=
       VLOOKUP(Transactions[[#This Row],[Account]],Accounts[],COLUMN(Accounts[Currency])-COLUMN(Accounts[])+1,FALSE),
     Transactions[[#This Row],[OrigCashImpact]],
     0
)</f>
        <v>-75</v>
      </c>
      <c r="O14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1592318.9</v>
      </c>
      <c r="P14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456" s="41">
        <f>ROW()</f>
        <v>1456</v>
      </c>
      <c r="S14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135703.967</v>
      </c>
      <c r="U14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456" s="166">
        <f>IF(INDEX(TransTypes[],Transactions[[#This Row],[TTR]],TT_COL_GLFlag)=1,Transactions[[#This Row],[CalCashImpact]]+Transactions[[#This Row],[CostImpact]],0)</f>
        <v>0</v>
      </c>
      <c r="W1456" s="167">
        <f>Transactions[[#This Row],[Amount]]*INDEX(TransTypes[],Transactions[[#This Row],[TTR]],TT_COL_AmntSign)</f>
        <v>-75</v>
      </c>
      <c r="X1456" s="167">
        <f>IF(INDEX(TransTypes[],Transactions[[#This Row],[TTR]],TT_COL_LONGORSHORT)="S",
      IF( OR(INDEX(TransTypes[],Transactions[[#This Row],[TTR]],TT_COL_GLFlag)=1, INDEX(TransTypes[], Transactions[[#This Row],[TTR]], TT_COL_ShareTransferFlag)=1),
            Transactions[[#This Row],[CostImpact]]*-1,
            Transactions[[#This Row],[CalCashImpact]]
      ),
     0
)</f>
        <v>0</v>
      </c>
      <c r="Y1456" s="168" t="str">
        <f>VLOOKUP(Transactions[[#This Row],[Symbol]],Symbols[], COLUMN(Symbols[Currency])-COLUMN(Symbols[])+1,FALSE)</f>
        <v>CNY</v>
      </c>
    </row>
    <row r="1457" spans="1:25">
      <c r="A1457" s="155" t="s">
        <v>82</v>
      </c>
      <c r="B1457" s="156">
        <v>42800</v>
      </c>
      <c r="C1457" s="155" t="s">
        <v>113</v>
      </c>
      <c r="D1457" s="155"/>
      <c r="E1457" s="155" t="s">
        <v>730</v>
      </c>
      <c r="F1457" s="157">
        <v>2000</v>
      </c>
      <c r="G1457" s="158">
        <v>68.475999999999999</v>
      </c>
      <c r="H1457" s="157">
        <v>54.78</v>
      </c>
      <c r="I1457" s="157"/>
      <c r="J1457" s="159">
        <v>137006.78</v>
      </c>
      <c r="K1457" s="6" t="s">
        <v>641</v>
      </c>
      <c r="L1457" s="20">
        <f>IF(ISNA(MATCH(Transactions[[#This Row],[TransType]],TransTypes[TransType],0)),1,MATCH(Transactions[[#This Row],[TransType]],TransTypes[TransType],0))</f>
        <v>2</v>
      </c>
      <c r="M1457" s="160">
        <f>IF( AND( INDEX(TransTypes[],Transactions[[#This Row],[TTR]],TT_COL_GLFlag)=1, INDEX(TransTypes[],Transactions[[#This Row],[TTR]],TT_COL_LONGORSHORT)="S" ),
      Transactions[[#This Row],[PL]],
      IF(INDEX(TransTypes[],Transactions[[#This Row],[TTR]],TT_COL_LONGORSHORT)="S",0,Transactions[[#This Row],[CalCashImpact]])
)</f>
        <v>-137006.78</v>
      </c>
      <c r="N1457" s="161">
        <f>IF(VLOOKUP(Transactions[[#This Row],[Symbol]],Symbols[],COLUMN(Symbols[Currency])-COLUMN(Symbols[])+1,FALSE)=
       VLOOKUP(Transactions[[#This Row],[Account]],Accounts[],COLUMN(Accounts[Currency])-COLUMN(Accounts[])+1,FALSE),
     Transactions[[#This Row],[OrigCashImpact]],
     0
)</f>
        <v>-137006.78</v>
      </c>
      <c r="O14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1455312.1199999999</v>
      </c>
      <c r="P14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457" s="41">
        <f>ROW()</f>
        <v>1457</v>
      </c>
      <c r="S14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137006.78</v>
      </c>
      <c r="T14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137006.78</v>
      </c>
      <c r="U14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457" s="166">
        <f>IF(INDEX(TransTypes[],Transactions[[#This Row],[TTR]],TT_COL_GLFlag)=1,Transactions[[#This Row],[CalCashImpact]]+Transactions[[#This Row],[CostImpact]],0)</f>
        <v>0</v>
      </c>
      <c r="W1457" s="167">
        <f>Transactions[[#This Row],[Amount]]*INDEX(TransTypes[],Transactions[[#This Row],[TTR]],TT_COL_AmntSign)</f>
        <v>-137006.78</v>
      </c>
      <c r="X1457" s="167">
        <f>IF(INDEX(TransTypes[],Transactions[[#This Row],[TTR]],TT_COL_LONGORSHORT)="S",
      IF( OR(INDEX(TransTypes[],Transactions[[#This Row],[TTR]],TT_COL_GLFlag)=1, INDEX(TransTypes[], Transactions[[#This Row],[TTR]], TT_COL_ShareTransferFlag)=1),
            Transactions[[#This Row],[CostImpact]]*-1,
            Transactions[[#This Row],[CalCashImpact]]
      ),
     0
)</f>
        <v>0</v>
      </c>
      <c r="Y1457" s="168" t="str">
        <f>VLOOKUP(Transactions[[#This Row],[Symbol]],Symbols[], COLUMN(Symbols[Currency])-COLUMN(Symbols[])+1,FALSE)</f>
        <v>CNY</v>
      </c>
    </row>
    <row r="1458" spans="1:25">
      <c r="A1458" s="155" t="s">
        <v>82</v>
      </c>
      <c r="B1458" s="156">
        <v>42800</v>
      </c>
      <c r="C1458" s="155" t="s">
        <v>113</v>
      </c>
      <c r="D1458" s="155"/>
      <c r="E1458" s="155" t="s">
        <v>644</v>
      </c>
      <c r="F1458" s="157">
        <v>3000</v>
      </c>
      <c r="G1458" s="158">
        <v>50.57</v>
      </c>
      <c r="H1458" s="157">
        <v>60.68</v>
      </c>
      <c r="I1458" s="157"/>
      <c r="J1458" s="159">
        <v>151770.68</v>
      </c>
      <c r="K1458" s="6" t="s">
        <v>641</v>
      </c>
      <c r="L1458" s="20">
        <f>IF(ISNA(MATCH(Transactions[[#This Row],[TransType]],TransTypes[TransType],0)),1,MATCH(Transactions[[#This Row],[TransType]],TransTypes[TransType],0))</f>
        <v>2</v>
      </c>
      <c r="M1458" s="160">
        <f>IF( AND( INDEX(TransTypes[],Transactions[[#This Row],[TTR]],TT_COL_GLFlag)=1, INDEX(TransTypes[],Transactions[[#This Row],[TTR]],TT_COL_LONGORSHORT)="S" ),
      Transactions[[#This Row],[PL]],
      IF(INDEX(TransTypes[],Transactions[[#This Row],[TTR]],TT_COL_LONGORSHORT)="S",0,Transactions[[#This Row],[CalCashImpact]])
)</f>
        <v>-151770.68</v>
      </c>
      <c r="N1458" s="161">
        <f>IF(VLOOKUP(Transactions[[#This Row],[Symbol]],Symbols[],COLUMN(Symbols[Currency])-COLUMN(Symbols[])+1,FALSE)=
       VLOOKUP(Transactions[[#This Row],[Account]],Accounts[],COLUMN(Accounts[Currency])-COLUMN(Accounts[])+1,FALSE),
     Transactions[[#This Row],[OrigCashImpact]],
     0
)</f>
        <v>-151770.68</v>
      </c>
      <c r="O14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1303541.44</v>
      </c>
      <c r="P14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4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458" s="41">
        <f>ROW()</f>
        <v>1458</v>
      </c>
      <c r="S14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151770.68</v>
      </c>
      <c r="T14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458151.26058779762</v>
      </c>
      <c r="U14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458" s="166">
        <f>IF(INDEX(TransTypes[],Transactions[[#This Row],[TTR]],TT_COL_GLFlag)=1,Transactions[[#This Row],[CalCashImpact]]+Transactions[[#This Row],[CostImpact]],0)</f>
        <v>0</v>
      </c>
      <c r="W1458" s="167">
        <f>Transactions[[#This Row],[Amount]]*INDEX(TransTypes[],Transactions[[#This Row],[TTR]],TT_COL_AmntSign)</f>
        <v>-151770.68</v>
      </c>
      <c r="X1458" s="167">
        <f>IF(INDEX(TransTypes[],Transactions[[#This Row],[TTR]],TT_COL_LONGORSHORT)="S",
      IF( OR(INDEX(TransTypes[],Transactions[[#This Row],[TTR]],TT_COL_GLFlag)=1, INDEX(TransTypes[], Transactions[[#This Row],[TTR]], TT_COL_ShareTransferFlag)=1),
            Transactions[[#This Row],[CostImpact]]*-1,
            Transactions[[#This Row],[CalCashImpact]]
      ),
     0
)</f>
        <v>0</v>
      </c>
      <c r="Y1458" s="168" t="str">
        <f>VLOOKUP(Transactions[[#This Row],[Symbol]],Symbols[], COLUMN(Symbols[Currency])-COLUMN(Symbols[])+1,FALSE)</f>
        <v>CNY</v>
      </c>
    </row>
    <row r="1459" spans="1:25">
      <c r="A1459" s="155" t="s">
        <v>82</v>
      </c>
      <c r="B1459" s="156">
        <v>42807</v>
      </c>
      <c r="C1459" s="155" t="s">
        <v>113</v>
      </c>
      <c r="D1459" s="155"/>
      <c r="E1459" s="155" t="s">
        <v>482</v>
      </c>
      <c r="F1459" s="157">
        <v>4000</v>
      </c>
      <c r="G1459" s="158">
        <v>29.45</v>
      </c>
      <c r="H1459" s="157">
        <v>47.12</v>
      </c>
      <c r="I1459" s="157"/>
      <c r="J1459" s="159">
        <v>117847.12</v>
      </c>
      <c r="K1459" s="6" t="s">
        <v>641</v>
      </c>
      <c r="L1459" s="20">
        <f>IF(ISNA(MATCH(Transactions[[#This Row],[TransType]],TransTypes[TransType],0)),1,MATCH(Transactions[[#This Row],[TransType]],TransTypes[TransType],0))</f>
        <v>2</v>
      </c>
      <c r="M1459" s="160">
        <f>IF( AND( INDEX(TransTypes[],Transactions[[#This Row],[TTR]],TT_COL_GLFlag)=1, INDEX(TransTypes[],Transactions[[#This Row],[TTR]],TT_COL_LONGORSHORT)="S" ),
      Transactions[[#This Row],[PL]],
      IF(INDEX(TransTypes[],Transactions[[#This Row],[TTR]],TT_COL_LONGORSHORT)="S",0,Transactions[[#This Row],[CalCashImpact]])
)</f>
        <v>-117847.12</v>
      </c>
      <c r="N1459" s="161">
        <f>IF(VLOOKUP(Transactions[[#This Row],[Symbol]],Symbols[],COLUMN(Symbols[Currency])-COLUMN(Symbols[])+1,FALSE)=
       VLOOKUP(Transactions[[#This Row],[Account]],Accounts[],COLUMN(Accounts[Currency])-COLUMN(Accounts[])+1,FALSE),
     Transactions[[#This Row],[OrigCashImpact]],
     0
)</f>
        <v>-117847.12</v>
      </c>
      <c r="O14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1185694.3199999998</v>
      </c>
      <c r="P14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4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459" s="41">
        <f>ROW()</f>
        <v>1459</v>
      </c>
      <c r="S14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117847.12</v>
      </c>
      <c r="T14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308659.41600000003</v>
      </c>
      <c r="U14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459" s="166">
        <f>IF(INDEX(TransTypes[],Transactions[[#This Row],[TTR]],TT_COL_GLFlag)=1,Transactions[[#This Row],[CalCashImpact]]+Transactions[[#This Row],[CostImpact]],0)</f>
        <v>0</v>
      </c>
      <c r="W1459" s="167">
        <f>Transactions[[#This Row],[Amount]]*INDEX(TransTypes[],Transactions[[#This Row],[TTR]],TT_COL_AmntSign)</f>
        <v>-117847.12</v>
      </c>
      <c r="X1459" s="167">
        <f>IF(INDEX(TransTypes[],Transactions[[#This Row],[TTR]],TT_COL_LONGORSHORT)="S",
      IF( OR(INDEX(TransTypes[],Transactions[[#This Row],[TTR]],TT_COL_GLFlag)=1, INDEX(TransTypes[], Transactions[[#This Row],[TTR]], TT_COL_ShareTransferFlag)=1),
            Transactions[[#This Row],[CostImpact]]*-1,
            Transactions[[#This Row],[CalCashImpact]]
      ),
     0
)</f>
        <v>0</v>
      </c>
      <c r="Y1459" s="168" t="str">
        <f>VLOOKUP(Transactions[[#This Row],[Symbol]],Symbols[], COLUMN(Symbols[Currency])-COLUMN(Symbols[])+1,FALSE)</f>
        <v>CNY</v>
      </c>
    </row>
    <row r="1460" spans="1:25">
      <c r="A1460" s="155" t="s">
        <v>82</v>
      </c>
      <c r="B1460" s="156">
        <v>42807</v>
      </c>
      <c r="C1460" s="155" t="s">
        <v>115</v>
      </c>
      <c r="D1460" s="155"/>
      <c r="E1460" s="155" t="s">
        <v>725</v>
      </c>
      <c r="F1460" s="157">
        <v>1000</v>
      </c>
      <c r="G1460" s="158">
        <v>10.62</v>
      </c>
      <c r="H1460" s="157">
        <v>15.83</v>
      </c>
      <c r="I1460" s="157"/>
      <c r="J1460" s="159">
        <v>10604.17</v>
      </c>
      <c r="K1460" s="6" t="s">
        <v>641</v>
      </c>
      <c r="L1460" s="20">
        <f>IF(ISNA(MATCH(Transactions[[#This Row],[TransType]],TransTypes[TransType],0)),1,MATCH(Transactions[[#This Row],[TransType]],TransTypes[TransType],0))</f>
        <v>3</v>
      </c>
      <c r="M1460" s="160">
        <f>IF( AND( INDEX(TransTypes[],Transactions[[#This Row],[TTR]],TT_COL_GLFlag)=1, INDEX(TransTypes[],Transactions[[#This Row],[TTR]],TT_COL_LONGORSHORT)="S" ),
      Transactions[[#This Row],[PL]],
      IF(INDEX(TransTypes[],Transactions[[#This Row],[TTR]],TT_COL_LONGORSHORT)="S",0,Transactions[[#This Row],[CalCashImpact]])
)</f>
        <v>10604.17</v>
      </c>
      <c r="N1460" s="161">
        <f>IF(VLOOKUP(Transactions[[#This Row],[Symbol]],Symbols[],COLUMN(Symbols[Currency])-COLUMN(Symbols[])+1,FALSE)=
       VLOOKUP(Transactions[[#This Row],[Account]],Accounts[],COLUMN(Accounts[Currency])-COLUMN(Accounts[])+1,FALSE),
     Transactions[[#This Row],[OrigCashImpact]],
     0
)</f>
        <v>10604.17</v>
      </c>
      <c r="O14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1196298.49</v>
      </c>
      <c r="P14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60" s="41">
        <f>ROW()</f>
        <v>1460</v>
      </c>
      <c r="S14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-1780</v>
      </c>
      <c r="T14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460" s="166">
        <f>IF(INDEX(TransTypes[],Transactions[[#This Row],[TTR]],TT_COL_GLFlag)=1,Transactions[[#This Row],[CalCashImpact]]+Transactions[[#This Row],[CostImpact]],0)</f>
        <v>8824.17</v>
      </c>
      <c r="W1460" s="167">
        <f>Transactions[[#This Row],[Amount]]*INDEX(TransTypes[],Transactions[[#This Row],[TTR]],TT_COL_AmntSign)</f>
        <v>10604.17</v>
      </c>
      <c r="X1460" s="167">
        <f>IF(INDEX(TransTypes[],Transactions[[#This Row],[TTR]],TT_COL_LONGORSHORT)="S",
      IF( OR(INDEX(TransTypes[],Transactions[[#This Row],[TTR]],TT_COL_GLFlag)=1, INDEX(TransTypes[], Transactions[[#This Row],[TTR]], TT_COL_ShareTransferFlag)=1),
            Transactions[[#This Row],[CostImpact]]*-1,
            Transactions[[#This Row],[CalCashImpact]]
      ),
     0
)</f>
        <v>0</v>
      </c>
      <c r="Y1460" s="168" t="str">
        <f>VLOOKUP(Transactions[[#This Row],[Symbol]],Symbols[], COLUMN(Symbols[Currency])-COLUMN(Symbols[])+1,FALSE)</f>
        <v>CNY</v>
      </c>
    </row>
    <row r="1461" spans="1:25">
      <c r="A1461" s="155" t="s">
        <v>82</v>
      </c>
      <c r="B1461" s="156">
        <v>42808</v>
      </c>
      <c r="C1461" s="155" t="s">
        <v>118</v>
      </c>
      <c r="D1461" s="155"/>
      <c r="E1461" s="155" t="s">
        <v>730</v>
      </c>
      <c r="F1461" s="157"/>
      <c r="G1461" s="158"/>
      <c r="H1461" s="157"/>
      <c r="I1461" s="157"/>
      <c r="J1461" s="159">
        <v>1800</v>
      </c>
      <c r="K1461" s="6" t="s">
        <v>641</v>
      </c>
      <c r="L1461" s="20">
        <f>IF(ISNA(MATCH(Transactions[[#This Row],[TransType]],TransTypes[TransType],0)),1,MATCH(Transactions[[#This Row],[TransType]],TransTypes[TransType],0))</f>
        <v>4</v>
      </c>
      <c r="M1461" s="160">
        <f>IF( AND( INDEX(TransTypes[],Transactions[[#This Row],[TTR]],TT_COL_GLFlag)=1, INDEX(TransTypes[],Transactions[[#This Row],[TTR]],TT_COL_LONGORSHORT)="S" ),
      Transactions[[#This Row],[PL]],
      IF(INDEX(TransTypes[],Transactions[[#This Row],[TTR]],TT_COL_LONGORSHORT)="S",0,Transactions[[#This Row],[CalCashImpact]])
)</f>
        <v>1800</v>
      </c>
      <c r="N1461" s="161">
        <f>IF(VLOOKUP(Transactions[[#This Row],[Symbol]],Symbols[],COLUMN(Symbols[Currency])-COLUMN(Symbols[])+1,FALSE)=
       VLOOKUP(Transactions[[#This Row],[Account]],Accounts[],COLUMN(Accounts[Currency])-COLUMN(Accounts[])+1,FALSE),
     Transactions[[#This Row],[OrigCashImpact]],
     0
)</f>
        <v>1800</v>
      </c>
      <c r="O14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1198098.4899999998</v>
      </c>
      <c r="P14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461" s="41">
        <f>ROW()</f>
        <v>1461</v>
      </c>
      <c r="S14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137006.78</v>
      </c>
      <c r="U14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461" s="166">
        <f>IF(INDEX(TransTypes[],Transactions[[#This Row],[TTR]],TT_COL_GLFlag)=1,Transactions[[#This Row],[CalCashImpact]]+Transactions[[#This Row],[CostImpact]],0)</f>
        <v>0</v>
      </c>
      <c r="W1461" s="167">
        <f>Transactions[[#This Row],[Amount]]*INDEX(TransTypes[],Transactions[[#This Row],[TTR]],TT_COL_AmntSign)</f>
        <v>1800</v>
      </c>
      <c r="X1461" s="167">
        <f>IF(INDEX(TransTypes[],Transactions[[#This Row],[TTR]],TT_COL_LONGORSHORT)="S",
      IF( OR(INDEX(TransTypes[],Transactions[[#This Row],[TTR]],TT_COL_GLFlag)=1, INDEX(TransTypes[], Transactions[[#This Row],[TTR]], TT_COL_ShareTransferFlag)=1),
            Transactions[[#This Row],[CostImpact]]*-1,
            Transactions[[#This Row],[CalCashImpact]]
      ),
     0
)</f>
        <v>0</v>
      </c>
      <c r="Y1461" s="168" t="str">
        <f>VLOOKUP(Transactions[[#This Row],[Symbol]],Symbols[], COLUMN(Symbols[Currency])-COLUMN(Symbols[])+1,FALSE)</f>
        <v>CNY</v>
      </c>
    </row>
    <row r="1462" spans="1:25">
      <c r="A1462" s="155" t="s">
        <v>82</v>
      </c>
      <c r="B1462" s="156">
        <v>42808</v>
      </c>
      <c r="C1462" s="155" t="s">
        <v>115</v>
      </c>
      <c r="D1462" s="155"/>
      <c r="E1462" s="155" t="s">
        <v>644</v>
      </c>
      <c r="F1462" s="157">
        <v>8000</v>
      </c>
      <c r="G1462" s="158">
        <v>49.256999999999998</v>
      </c>
      <c r="H1462" s="157">
        <v>551.67999999999995</v>
      </c>
      <c r="I1462" s="157"/>
      <c r="J1462" s="159">
        <v>393504.32</v>
      </c>
      <c r="K1462" s="6" t="s">
        <v>641</v>
      </c>
      <c r="L1462" s="20">
        <f>IF(ISNA(MATCH(Transactions[[#This Row],[TransType]],TransTypes[TransType],0)),1,MATCH(Transactions[[#This Row],[TransType]],TransTypes[TransType],0))</f>
        <v>3</v>
      </c>
      <c r="M1462" s="160">
        <f>IF( AND( INDEX(TransTypes[],Transactions[[#This Row],[TTR]],TT_COL_GLFlag)=1, INDEX(TransTypes[],Transactions[[#This Row],[TTR]],TT_COL_LONGORSHORT)="S" ),
      Transactions[[#This Row],[PL]],
      IF(INDEX(TransTypes[],Transactions[[#This Row],[TTR]],TT_COL_LONGORSHORT)="S",0,Transactions[[#This Row],[CalCashImpact]])
)</f>
        <v>393504.32</v>
      </c>
      <c r="N1462" s="161">
        <f>IF(VLOOKUP(Transactions[[#This Row],[Symbol]],Symbols[],COLUMN(Symbols[Currency])-COLUMN(Symbols[])+1,FALSE)=
       VLOOKUP(Transactions[[#This Row],[Account]],Accounts[],COLUMN(Accounts[Currency])-COLUMN(Accounts[])+1,FALSE),
     Transactions[[#This Row],[OrigCashImpact]],
     0
)</f>
        <v>393504.32</v>
      </c>
      <c r="O14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1591602.8099999998</v>
      </c>
      <c r="P14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4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62" s="41">
        <f>ROW()</f>
        <v>1462</v>
      </c>
      <c r="S14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-458151.26058779762</v>
      </c>
      <c r="T14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462" s="166">
        <f>IF(INDEX(TransTypes[],Transactions[[#This Row],[TTR]],TT_COL_GLFlag)=1,Transactions[[#This Row],[CalCashImpact]]+Transactions[[#This Row],[CostImpact]],0)</f>
        <v>-64646.94058779761</v>
      </c>
      <c r="W1462" s="167">
        <f>Transactions[[#This Row],[Amount]]*INDEX(TransTypes[],Transactions[[#This Row],[TTR]],TT_COL_AmntSign)</f>
        <v>393504.32</v>
      </c>
      <c r="X1462" s="167">
        <f>IF(INDEX(TransTypes[],Transactions[[#This Row],[TTR]],TT_COL_LONGORSHORT)="S",
      IF( OR(INDEX(TransTypes[],Transactions[[#This Row],[TTR]],TT_COL_GLFlag)=1, INDEX(TransTypes[], Transactions[[#This Row],[TTR]], TT_COL_ShareTransferFlag)=1),
            Transactions[[#This Row],[CostImpact]]*-1,
            Transactions[[#This Row],[CalCashImpact]]
      ),
     0
)</f>
        <v>0</v>
      </c>
      <c r="Y1462" s="168" t="str">
        <f>VLOOKUP(Transactions[[#This Row],[Symbol]],Symbols[], COLUMN(Symbols[Currency])-COLUMN(Symbols[])+1,FALSE)</f>
        <v>CNY</v>
      </c>
    </row>
    <row r="1463" spans="1:25">
      <c r="A1463" s="155" t="s">
        <v>82</v>
      </c>
      <c r="B1463" s="156">
        <v>42809</v>
      </c>
      <c r="C1463" s="155" t="s">
        <v>113</v>
      </c>
      <c r="D1463" s="155"/>
      <c r="E1463" s="155" t="s">
        <v>471</v>
      </c>
      <c r="F1463" s="157">
        <v>10000</v>
      </c>
      <c r="G1463" s="158">
        <v>19.155000000000001</v>
      </c>
      <c r="H1463" s="157">
        <v>76.62</v>
      </c>
      <c r="I1463" s="157"/>
      <c r="J1463" s="159">
        <v>191626.62</v>
      </c>
      <c r="K1463" s="6" t="s">
        <v>641</v>
      </c>
      <c r="L1463" s="20">
        <f>IF(ISNA(MATCH(Transactions[[#This Row],[TransType]],TransTypes[TransType],0)),1,MATCH(Transactions[[#This Row],[TransType]],TransTypes[TransType],0))</f>
        <v>2</v>
      </c>
      <c r="M1463" s="160">
        <f>IF( AND( INDEX(TransTypes[],Transactions[[#This Row],[TTR]],TT_COL_GLFlag)=1, INDEX(TransTypes[],Transactions[[#This Row],[TTR]],TT_COL_LONGORSHORT)="S" ),
      Transactions[[#This Row],[PL]],
      IF(INDEX(TransTypes[],Transactions[[#This Row],[TTR]],TT_COL_LONGORSHORT)="S",0,Transactions[[#This Row],[CalCashImpact]])
)</f>
        <v>-191626.62</v>
      </c>
      <c r="N1463" s="161">
        <f>IF(VLOOKUP(Transactions[[#This Row],[Symbol]],Symbols[],COLUMN(Symbols[Currency])-COLUMN(Symbols[])+1,FALSE)=
       VLOOKUP(Transactions[[#This Row],[Account]],Accounts[],COLUMN(Accounts[Currency])-COLUMN(Accounts[])+1,FALSE),
     Transactions[[#This Row],[OrigCashImpact]],
     0
)</f>
        <v>-191626.62</v>
      </c>
      <c r="O14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1399976.19</v>
      </c>
      <c r="P14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4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463" s="41">
        <f>ROW()</f>
        <v>1463</v>
      </c>
      <c r="S14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191626.62</v>
      </c>
      <c r="T14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191626.62</v>
      </c>
      <c r="U14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63" s="166">
        <f>IF(INDEX(TransTypes[],Transactions[[#This Row],[TTR]],TT_COL_GLFlag)=1,Transactions[[#This Row],[CalCashImpact]]+Transactions[[#This Row],[CostImpact]],0)</f>
        <v>0</v>
      </c>
      <c r="W1463" s="167">
        <f>Transactions[[#This Row],[Amount]]*INDEX(TransTypes[],Transactions[[#This Row],[TTR]],TT_COL_AmntSign)</f>
        <v>-191626.62</v>
      </c>
      <c r="X1463" s="167">
        <f>IF(INDEX(TransTypes[],Transactions[[#This Row],[TTR]],TT_COL_LONGORSHORT)="S",
      IF( OR(INDEX(TransTypes[],Transactions[[#This Row],[TTR]],TT_COL_GLFlag)=1, INDEX(TransTypes[], Transactions[[#This Row],[TTR]], TT_COL_ShareTransferFlag)=1),
            Transactions[[#This Row],[CostImpact]]*-1,
            Transactions[[#This Row],[CalCashImpact]]
      ),
     0
)</f>
        <v>0</v>
      </c>
      <c r="Y1463" s="168" t="str">
        <f>VLOOKUP(Transactions[[#This Row],[Symbol]],Symbols[], COLUMN(Symbols[Currency])-COLUMN(Symbols[])+1,FALSE)</f>
        <v>CNY</v>
      </c>
    </row>
    <row r="1464" spans="1:25">
      <c r="A1464" s="155" t="s">
        <v>82</v>
      </c>
      <c r="B1464" s="156">
        <v>42809</v>
      </c>
      <c r="C1464" s="155" t="s">
        <v>113</v>
      </c>
      <c r="D1464" s="155"/>
      <c r="E1464" s="155" t="s">
        <v>704</v>
      </c>
      <c r="F1464" s="157">
        <v>3000</v>
      </c>
      <c r="G1464" s="158">
        <v>22.268999999999998</v>
      </c>
      <c r="H1464" s="157">
        <v>26.72</v>
      </c>
      <c r="I1464" s="157"/>
      <c r="J1464" s="159">
        <v>66833.72</v>
      </c>
      <c r="K1464" s="6" t="s">
        <v>641</v>
      </c>
      <c r="L1464" s="20">
        <f>IF(ISNA(MATCH(Transactions[[#This Row],[TransType]],TransTypes[TransType],0)),1,MATCH(Transactions[[#This Row],[TransType]],TransTypes[TransType],0))</f>
        <v>2</v>
      </c>
      <c r="M1464" s="160">
        <f>IF( AND( INDEX(TransTypes[],Transactions[[#This Row],[TTR]],TT_COL_GLFlag)=1, INDEX(TransTypes[],Transactions[[#This Row],[TTR]],TT_COL_LONGORSHORT)="S" ),
      Transactions[[#This Row],[PL]],
      IF(INDEX(TransTypes[],Transactions[[#This Row],[TTR]],TT_COL_LONGORSHORT)="S",0,Transactions[[#This Row],[CalCashImpact]])
)</f>
        <v>-66833.72</v>
      </c>
      <c r="N1464" s="161">
        <f>IF(VLOOKUP(Transactions[[#This Row],[Symbol]],Symbols[],COLUMN(Symbols[Currency])-COLUMN(Symbols[])+1,FALSE)=
       VLOOKUP(Transactions[[#This Row],[Account]],Accounts[],COLUMN(Accounts[Currency])-COLUMN(Accounts[])+1,FALSE),
     Transactions[[#This Row],[OrigCashImpact]],
     0
)</f>
        <v>-66833.72</v>
      </c>
      <c r="O14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1333142.4699999997</v>
      </c>
      <c r="P14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4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12800</v>
      </c>
      <c r="R1464" s="41">
        <f>ROW()</f>
        <v>1464</v>
      </c>
      <c r="S14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66833.72</v>
      </c>
      <c r="T14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278404.57061538461</v>
      </c>
      <c r="U14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12800</v>
      </c>
      <c r="V1464" s="166">
        <f>IF(INDEX(TransTypes[],Transactions[[#This Row],[TTR]],TT_COL_GLFlag)=1,Transactions[[#This Row],[CalCashImpact]]+Transactions[[#This Row],[CostImpact]],0)</f>
        <v>0</v>
      </c>
      <c r="W1464" s="167">
        <f>Transactions[[#This Row],[Amount]]*INDEX(TransTypes[],Transactions[[#This Row],[TTR]],TT_COL_AmntSign)</f>
        <v>-66833.72</v>
      </c>
      <c r="X1464" s="167">
        <f>IF(INDEX(TransTypes[],Transactions[[#This Row],[TTR]],TT_COL_LONGORSHORT)="S",
      IF( OR(INDEX(TransTypes[],Transactions[[#This Row],[TTR]],TT_COL_GLFlag)=1, INDEX(TransTypes[], Transactions[[#This Row],[TTR]], TT_COL_ShareTransferFlag)=1),
            Transactions[[#This Row],[CostImpact]]*-1,
            Transactions[[#This Row],[CalCashImpact]]
      ),
     0
)</f>
        <v>0</v>
      </c>
      <c r="Y1464" s="168" t="str">
        <f>VLOOKUP(Transactions[[#This Row],[Symbol]],Symbols[], COLUMN(Symbols[Currency])-COLUMN(Symbols[])+1,FALSE)</f>
        <v>CNY</v>
      </c>
    </row>
    <row r="1465" spans="1:25">
      <c r="A1465" s="155" t="s">
        <v>82</v>
      </c>
      <c r="B1465" s="156">
        <v>42809</v>
      </c>
      <c r="C1465" s="155" t="s">
        <v>113</v>
      </c>
      <c r="D1465" s="155"/>
      <c r="E1465" s="155" t="s">
        <v>482</v>
      </c>
      <c r="F1465" s="157">
        <v>2000</v>
      </c>
      <c r="G1465" s="158">
        <v>29.13</v>
      </c>
      <c r="H1465" s="157">
        <v>23.3</v>
      </c>
      <c r="I1465" s="157"/>
      <c r="J1465" s="159">
        <v>58283.3</v>
      </c>
      <c r="K1465" s="6" t="s">
        <v>641</v>
      </c>
      <c r="L1465" s="20">
        <f>IF(ISNA(MATCH(Transactions[[#This Row],[TransType]],TransTypes[TransType],0)),1,MATCH(Transactions[[#This Row],[TransType]],TransTypes[TransType],0))</f>
        <v>2</v>
      </c>
      <c r="M1465" s="160">
        <f>IF( AND( INDEX(TransTypes[],Transactions[[#This Row],[TTR]],TT_COL_GLFlag)=1, INDEX(TransTypes[],Transactions[[#This Row],[TTR]],TT_COL_LONGORSHORT)="S" ),
      Transactions[[#This Row],[PL]],
      IF(INDEX(TransTypes[],Transactions[[#This Row],[TTR]],TT_COL_LONGORSHORT)="S",0,Transactions[[#This Row],[CalCashImpact]])
)</f>
        <v>-58283.3</v>
      </c>
      <c r="N1465" s="161">
        <f>IF(VLOOKUP(Transactions[[#This Row],[Symbol]],Symbols[],COLUMN(Symbols[Currency])-COLUMN(Symbols[])+1,FALSE)=
       VLOOKUP(Transactions[[#This Row],[Account]],Accounts[],COLUMN(Accounts[Currency])-COLUMN(Accounts[])+1,FALSE),
     Transactions[[#This Row],[OrigCashImpact]],
     0
)</f>
        <v>-58283.3</v>
      </c>
      <c r="O14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1274859.17</v>
      </c>
      <c r="P14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v>
      </c>
      <c r="R1465" s="41">
        <f>ROW()</f>
        <v>1465</v>
      </c>
      <c r="S14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58283.3</v>
      </c>
      <c r="T14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366942.71600000001</v>
      </c>
      <c r="U14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465" s="166">
        <f>IF(INDEX(TransTypes[],Transactions[[#This Row],[TTR]],TT_COL_GLFlag)=1,Transactions[[#This Row],[CalCashImpact]]+Transactions[[#This Row],[CostImpact]],0)</f>
        <v>0</v>
      </c>
      <c r="W1465" s="167">
        <f>Transactions[[#This Row],[Amount]]*INDEX(TransTypes[],Transactions[[#This Row],[TTR]],TT_COL_AmntSign)</f>
        <v>-58283.3</v>
      </c>
      <c r="X1465" s="167">
        <f>IF(INDEX(TransTypes[],Transactions[[#This Row],[TTR]],TT_COL_LONGORSHORT)="S",
      IF( OR(INDEX(TransTypes[],Transactions[[#This Row],[TTR]],TT_COL_GLFlag)=1, INDEX(TransTypes[], Transactions[[#This Row],[TTR]], TT_COL_ShareTransferFlag)=1),
            Transactions[[#This Row],[CostImpact]]*-1,
            Transactions[[#This Row],[CalCashImpact]]
      ),
     0
)</f>
        <v>0</v>
      </c>
      <c r="Y1465" s="168" t="str">
        <f>VLOOKUP(Transactions[[#This Row],[Symbol]],Symbols[], COLUMN(Symbols[Currency])-COLUMN(Symbols[])+1,FALSE)</f>
        <v>CNY</v>
      </c>
    </row>
    <row r="1466" spans="1:25">
      <c r="A1466" s="155" t="s">
        <v>82</v>
      </c>
      <c r="B1466" s="156">
        <v>42809</v>
      </c>
      <c r="C1466" s="155" t="s">
        <v>113</v>
      </c>
      <c r="D1466" s="155"/>
      <c r="E1466" s="155" t="s">
        <v>488</v>
      </c>
      <c r="F1466" s="157">
        <v>4000</v>
      </c>
      <c r="G1466" s="158">
        <v>20.83</v>
      </c>
      <c r="H1466" s="157">
        <v>34.99</v>
      </c>
      <c r="I1466" s="157"/>
      <c r="J1466" s="159">
        <v>83354.990000000005</v>
      </c>
      <c r="K1466" s="6" t="s">
        <v>641</v>
      </c>
      <c r="L1466" s="20">
        <f>IF(ISNA(MATCH(Transactions[[#This Row],[TransType]],TransTypes[TransType],0)),1,MATCH(Transactions[[#This Row],[TransType]],TransTypes[TransType],0))</f>
        <v>2</v>
      </c>
      <c r="M1466" s="160">
        <f>IF( AND( INDEX(TransTypes[],Transactions[[#This Row],[TTR]],TT_COL_GLFlag)=1, INDEX(TransTypes[],Transactions[[#This Row],[TTR]],TT_COL_LONGORSHORT)="S" ),
      Transactions[[#This Row],[PL]],
      IF(INDEX(TransTypes[],Transactions[[#This Row],[TTR]],TT_COL_LONGORSHORT)="S",0,Transactions[[#This Row],[CalCashImpact]])
)</f>
        <v>-83354.990000000005</v>
      </c>
      <c r="N1466" s="161">
        <f>IF(VLOOKUP(Transactions[[#This Row],[Symbol]],Symbols[],COLUMN(Symbols[Currency])-COLUMN(Symbols[])+1,FALSE)=
       VLOOKUP(Transactions[[#This Row],[Account]],Accounts[],COLUMN(Accounts[Currency])-COLUMN(Accounts[])+1,FALSE),
     Transactions[[#This Row],[OrigCashImpact]],
     0
)</f>
        <v>-83354.990000000005</v>
      </c>
      <c r="O14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1191504.1799999997</v>
      </c>
      <c r="P14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4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466" s="41">
        <f>ROW()</f>
        <v>1466</v>
      </c>
      <c r="S14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83354.990000000005</v>
      </c>
      <c r="T14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219058.95699999999</v>
      </c>
      <c r="U14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466" s="166">
        <f>IF(INDEX(TransTypes[],Transactions[[#This Row],[TTR]],TT_COL_GLFlag)=1,Transactions[[#This Row],[CalCashImpact]]+Transactions[[#This Row],[CostImpact]],0)</f>
        <v>0</v>
      </c>
      <c r="W1466" s="167">
        <f>Transactions[[#This Row],[Amount]]*INDEX(TransTypes[],Transactions[[#This Row],[TTR]],TT_COL_AmntSign)</f>
        <v>-83354.990000000005</v>
      </c>
      <c r="X1466" s="167">
        <f>IF(INDEX(TransTypes[],Transactions[[#This Row],[TTR]],TT_COL_LONGORSHORT)="S",
      IF( OR(INDEX(TransTypes[],Transactions[[#This Row],[TTR]],TT_COL_GLFlag)=1, INDEX(TransTypes[], Transactions[[#This Row],[TTR]], TT_COL_ShareTransferFlag)=1),
            Transactions[[#This Row],[CostImpact]]*-1,
            Transactions[[#This Row],[CalCashImpact]]
      ),
     0
)</f>
        <v>0</v>
      </c>
      <c r="Y1466" s="168" t="str">
        <f>VLOOKUP(Transactions[[#This Row],[Symbol]],Symbols[], COLUMN(Symbols[Currency])-COLUMN(Symbols[])+1,FALSE)</f>
        <v>CNY</v>
      </c>
    </row>
    <row r="1467" spans="1:25">
      <c r="A1467" s="155" t="s">
        <v>82</v>
      </c>
      <c r="B1467" s="156">
        <v>42810</v>
      </c>
      <c r="C1467" s="155" t="s">
        <v>113</v>
      </c>
      <c r="D1467" s="155"/>
      <c r="E1467" s="155" t="s">
        <v>482</v>
      </c>
      <c r="F1467" s="157">
        <v>2000</v>
      </c>
      <c r="G1467" s="158">
        <v>29.25</v>
      </c>
      <c r="H1467" s="157">
        <v>23.4</v>
      </c>
      <c r="I1467" s="157"/>
      <c r="J1467" s="159">
        <v>58523.4</v>
      </c>
      <c r="K1467" s="6" t="s">
        <v>641</v>
      </c>
      <c r="L1467" s="20">
        <f>IF(ISNA(MATCH(Transactions[[#This Row],[TransType]],TransTypes[TransType],0)),1,MATCH(Transactions[[#This Row],[TransType]],TransTypes[TransType],0))</f>
        <v>2</v>
      </c>
      <c r="M1467" s="160">
        <f>IF( AND( INDEX(TransTypes[],Transactions[[#This Row],[TTR]],TT_COL_GLFlag)=1, INDEX(TransTypes[],Transactions[[#This Row],[TTR]],TT_COL_LONGORSHORT)="S" ),
      Transactions[[#This Row],[PL]],
      IF(INDEX(TransTypes[],Transactions[[#This Row],[TTR]],TT_COL_LONGORSHORT)="S",0,Transactions[[#This Row],[CalCashImpact]])
)</f>
        <v>-58523.4</v>
      </c>
      <c r="N1467" s="161">
        <f>IF(VLOOKUP(Transactions[[#This Row],[Symbol]],Symbols[],COLUMN(Symbols[Currency])-COLUMN(Symbols[])+1,FALSE)=
       VLOOKUP(Transactions[[#This Row],[Account]],Accounts[],COLUMN(Accounts[Currency])-COLUMN(Accounts[])+1,FALSE),
     Transactions[[#This Row],[OrigCashImpact]],
     0
)</f>
        <v>-58523.4</v>
      </c>
      <c r="O14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1132980.78</v>
      </c>
      <c r="P14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16000</v>
      </c>
      <c r="R1467" s="41">
        <f>ROW()</f>
        <v>1467</v>
      </c>
      <c r="S14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58523.4</v>
      </c>
      <c r="T14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425466.11600000004</v>
      </c>
      <c r="U14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16000</v>
      </c>
      <c r="V1467" s="166">
        <f>IF(INDEX(TransTypes[],Transactions[[#This Row],[TTR]],TT_COL_GLFlag)=1,Transactions[[#This Row],[CalCashImpact]]+Transactions[[#This Row],[CostImpact]],0)</f>
        <v>0</v>
      </c>
      <c r="W1467" s="167">
        <f>Transactions[[#This Row],[Amount]]*INDEX(TransTypes[],Transactions[[#This Row],[TTR]],TT_COL_AmntSign)</f>
        <v>-58523.4</v>
      </c>
      <c r="X1467" s="167">
        <f>IF(INDEX(TransTypes[],Transactions[[#This Row],[TTR]],TT_COL_LONGORSHORT)="S",
      IF( OR(INDEX(TransTypes[],Transactions[[#This Row],[TTR]],TT_COL_GLFlag)=1, INDEX(TransTypes[], Transactions[[#This Row],[TTR]], TT_COL_ShareTransferFlag)=1),
            Transactions[[#This Row],[CostImpact]]*-1,
            Transactions[[#This Row],[CalCashImpact]]
      ),
     0
)</f>
        <v>0</v>
      </c>
      <c r="Y1467" s="168" t="str">
        <f>VLOOKUP(Transactions[[#This Row],[Symbol]],Symbols[], COLUMN(Symbols[Currency])-COLUMN(Symbols[])+1,FALSE)</f>
        <v>CNY</v>
      </c>
    </row>
    <row r="1468" spans="1:25">
      <c r="A1468" s="155" t="s">
        <v>82</v>
      </c>
      <c r="B1468" s="156">
        <v>42810</v>
      </c>
      <c r="C1468" s="155" t="s">
        <v>113</v>
      </c>
      <c r="D1468" s="155"/>
      <c r="E1468" s="155" t="s">
        <v>488</v>
      </c>
      <c r="F1468" s="157">
        <v>3000</v>
      </c>
      <c r="G1468" s="158">
        <v>21.23</v>
      </c>
      <c r="H1468" s="157">
        <v>26.75</v>
      </c>
      <c r="I1468" s="157"/>
      <c r="J1468" s="159">
        <v>63716.75</v>
      </c>
      <c r="K1468" s="6" t="s">
        <v>641</v>
      </c>
      <c r="L1468" s="20">
        <f>IF(ISNA(MATCH(Transactions[[#This Row],[TransType]],TransTypes[TransType],0)),1,MATCH(Transactions[[#This Row],[TransType]],TransTypes[TransType],0))</f>
        <v>2</v>
      </c>
      <c r="M1468" s="160">
        <f>IF( AND( INDEX(TransTypes[],Transactions[[#This Row],[TTR]],TT_COL_GLFlag)=1, INDEX(TransTypes[],Transactions[[#This Row],[TTR]],TT_COL_LONGORSHORT)="S" ),
      Transactions[[#This Row],[PL]],
      IF(INDEX(TransTypes[],Transactions[[#This Row],[TTR]],TT_COL_LONGORSHORT)="S",0,Transactions[[#This Row],[CalCashImpact]])
)</f>
        <v>-63716.75</v>
      </c>
      <c r="N1468" s="161">
        <f>IF(VLOOKUP(Transactions[[#This Row],[Symbol]],Symbols[],COLUMN(Symbols[Currency])-COLUMN(Symbols[])+1,FALSE)=
       VLOOKUP(Transactions[[#This Row],[Account]],Accounts[],COLUMN(Accounts[Currency])-COLUMN(Accounts[])+1,FALSE),
     Transactions[[#This Row],[OrigCashImpact]],
     0
)</f>
        <v>-63716.75</v>
      </c>
      <c r="O14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1069264.03</v>
      </c>
      <c r="P14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4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15000</v>
      </c>
      <c r="R1468" s="41">
        <f>ROW()</f>
        <v>1468</v>
      </c>
      <c r="S14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63716.75</v>
      </c>
      <c r="T14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282775.70699999999</v>
      </c>
      <c r="U14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15000</v>
      </c>
      <c r="V1468" s="166">
        <f>IF(INDEX(TransTypes[],Transactions[[#This Row],[TTR]],TT_COL_GLFlag)=1,Transactions[[#This Row],[CalCashImpact]]+Transactions[[#This Row],[CostImpact]],0)</f>
        <v>0</v>
      </c>
      <c r="W1468" s="167">
        <f>Transactions[[#This Row],[Amount]]*INDEX(TransTypes[],Transactions[[#This Row],[TTR]],TT_COL_AmntSign)</f>
        <v>-63716.75</v>
      </c>
      <c r="X1468" s="167">
        <f>IF(INDEX(TransTypes[],Transactions[[#This Row],[TTR]],TT_COL_LONGORSHORT)="S",
      IF( OR(INDEX(TransTypes[],Transactions[[#This Row],[TTR]],TT_COL_GLFlag)=1, INDEX(TransTypes[], Transactions[[#This Row],[TTR]], TT_COL_ShareTransferFlag)=1),
            Transactions[[#This Row],[CostImpact]]*-1,
            Transactions[[#This Row],[CalCashImpact]]
      ),
     0
)</f>
        <v>0</v>
      </c>
      <c r="Y1468" s="168" t="str">
        <f>VLOOKUP(Transactions[[#This Row],[Symbol]],Symbols[], COLUMN(Symbols[Currency])-COLUMN(Symbols[])+1,FALSE)</f>
        <v>CNY</v>
      </c>
    </row>
    <row r="1469" spans="1:25">
      <c r="A1469" s="155" t="s">
        <v>82</v>
      </c>
      <c r="B1469" s="156">
        <v>42811</v>
      </c>
      <c r="C1469" s="155" t="s">
        <v>115</v>
      </c>
      <c r="D1469" s="155"/>
      <c r="E1469" s="155" t="s">
        <v>705</v>
      </c>
      <c r="F1469" s="157">
        <v>6000</v>
      </c>
      <c r="G1469" s="158">
        <v>20.09</v>
      </c>
      <c r="H1469" s="157">
        <v>171.17</v>
      </c>
      <c r="I1469" s="157"/>
      <c r="J1469" s="159">
        <v>120368.83</v>
      </c>
      <c r="K1469" s="6" t="s">
        <v>641</v>
      </c>
      <c r="L1469" s="20">
        <f>IF(ISNA(MATCH(Transactions[[#This Row],[TransType]],TransTypes[TransType],0)),1,MATCH(Transactions[[#This Row],[TransType]],TransTypes[TransType],0))</f>
        <v>3</v>
      </c>
      <c r="M1469" s="160">
        <f>IF( AND( INDEX(TransTypes[],Transactions[[#This Row],[TTR]],TT_COL_GLFlag)=1, INDEX(TransTypes[],Transactions[[#This Row],[TTR]],TT_COL_LONGORSHORT)="S" ),
      Transactions[[#This Row],[PL]],
      IF(INDEX(TransTypes[],Transactions[[#This Row],[TTR]],TT_COL_LONGORSHORT)="S",0,Transactions[[#This Row],[CalCashImpact]])
)</f>
        <v>120368.83</v>
      </c>
      <c r="N1469" s="161">
        <f>IF(VLOOKUP(Transactions[[#This Row],[Symbol]],Symbols[],COLUMN(Symbols[Currency])-COLUMN(Symbols[])+1,FALSE)=
       VLOOKUP(Transactions[[#This Row],[Account]],Accounts[],COLUMN(Accounts[Currency])-COLUMN(Accounts[])+1,FALSE),
     Transactions[[#This Row],[OrigCashImpact]],
     0
)</f>
        <v>120368.83</v>
      </c>
      <c r="O14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1189632.8600000001</v>
      </c>
      <c r="P14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4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69" s="41">
        <f>ROW()</f>
        <v>1469</v>
      </c>
      <c r="S14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-125782.14964285714</v>
      </c>
      <c r="T14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469" s="166">
        <f>IF(INDEX(TransTypes[],Transactions[[#This Row],[TTR]],TT_COL_GLFlag)=1,Transactions[[#This Row],[CalCashImpact]]+Transactions[[#This Row],[CostImpact]],0)</f>
        <v>-5413.3196428571391</v>
      </c>
      <c r="W1469" s="167">
        <f>Transactions[[#This Row],[Amount]]*INDEX(TransTypes[],Transactions[[#This Row],[TTR]],TT_COL_AmntSign)</f>
        <v>120368.83</v>
      </c>
      <c r="X1469" s="167">
        <f>IF(INDEX(TransTypes[],Transactions[[#This Row],[TTR]],TT_COL_LONGORSHORT)="S",
      IF( OR(INDEX(TransTypes[],Transactions[[#This Row],[TTR]],TT_COL_GLFlag)=1, INDEX(TransTypes[], Transactions[[#This Row],[TTR]], TT_COL_ShareTransferFlag)=1),
            Transactions[[#This Row],[CostImpact]]*-1,
            Transactions[[#This Row],[CalCashImpact]]
      ),
     0
)</f>
        <v>0</v>
      </c>
      <c r="Y1469" s="168" t="str">
        <f>VLOOKUP(Transactions[[#This Row],[Symbol]],Symbols[], COLUMN(Symbols[Currency])-COLUMN(Symbols[])+1,FALSE)</f>
        <v>CNY</v>
      </c>
    </row>
    <row r="1470" spans="1:25">
      <c r="A1470" s="155" t="s">
        <v>82</v>
      </c>
      <c r="B1470" s="156">
        <v>42811</v>
      </c>
      <c r="C1470" s="155" t="s">
        <v>156</v>
      </c>
      <c r="D1470" s="155"/>
      <c r="E1470" s="155" t="s">
        <v>211</v>
      </c>
      <c r="F1470" s="157">
        <v>168492.86</v>
      </c>
      <c r="G1470" s="158">
        <f>Transactions[[#This Row],[Amount]]/Transactions[[#This Row],[Qty]]</f>
        <v>0.88609986203569702</v>
      </c>
      <c r="H1470" s="157"/>
      <c r="I1470" s="157"/>
      <c r="J1470" s="159">
        <v>149301.5</v>
      </c>
      <c r="K1470" s="6" t="s">
        <v>731</v>
      </c>
      <c r="L1470" s="20">
        <f>IF(ISNA(MATCH(Transactions[[#This Row],[TransType]],TransTypes[TransType],0)),1,MATCH(Transactions[[#This Row],[TransType]],TransTypes[TransType],0))</f>
        <v>17</v>
      </c>
      <c r="M1470" s="160">
        <f>IF( AND( INDEX(TransTypes[],Transactions[[#This Row],[TTR]],TT_COL_GLFlag)=1, INDEX(TransTypes[],Transactions[[#This Row],[TTR]],TT_COL_LONGORSHORT)="S" ),
      Transactions[[#This Row],[PL]],
      IF(INDEX(TransTypes[],Transactions[[#This Row],[TTR]],TT_COL_LONGORSHORT)="S",0,Transactions[[#This Row],[CalCashImpact]])
)</f>
        <v>-149301.5</v>
      </c>
      <c r="N1470" s="161">
        <f>IF(VLOOKUP(Transactions[[#This Row],[Symbol]],Symbols[],COLUMN(Symbols[Currency])-COLUMN(Symbols[])+1,FALSE)=
       VLOOKUP(Transactions[[#This Row],[Account]],Accounts[],COLUMN(Accounts[Currency])-COLUMN(Accounts[])+1,FALSE),
     Transactions[[#This Row],[OrigCashImpact]],
     0
)</f>
        <v>-149301.5</v>
      </c>
      <c r="O14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1040331.36</v>
      </c>
      <c r="P14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70" s="41">
        <f>ROW()</f>
        <v>1470</v>
      </c>
      <c r="S14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70" s="166">
        <f>IF(INDEX(TransTypes[],Transactions[[#This Row],[TTR]],TT_COL_GLFlag)=1,Transactions[[#This Row],[CalCashImpact]]+Transactions[[#This Row],[CostImpact]],0)</f>
        <v>0</v>
      </c>
      <c r="W1470" s="167">
        <f>Transactions[[#This Row],[Amount]]*INDEX(TransTypes[],Transactions[[#This Row],[TTR]],TT_COL_AmntSign)</f>
        <v>-149301.5</v>
      </c>
      <c r="X1470" s="167">
        <f>IF(INDEX(TransTypes[],Transactions[[#This Row],[TTR]],TT_COL_LONGORSHORT)="S",
      IF( OR(INDEX(TransTypes[],Transactions[[#This Row],[TTR]],TT_COL_GLFlag)=1, INDEX(TransTypes[], Transactions[[#This Row],[TTR]], TT_COL_ShareTransferFlag)=1),
            Transactions[[#This Row],[CostImpact]]*-1,
            Transactions[[#This Row],[CalCashImpact]]
      ),
     0
)</f>
        <v>0</v>
      </c>
      <c r="Y1470" s="168" t="str">
        <f>VLOOKUP(Transactions[[#This Row],[Symbol]],Symbols[], COLUMN(Symbols[Currency])-COLUMN(Symbols[])+1,FALSE)</f>
        <v>CNY</v>
      </c>
    </row>
    <row r="1471" spans="1:25">
      <c r="A1471" s="155" t="s">
        <v>82</v>
      </c>
      <c r="B1471" s="156">
        <v>42811</v>
      </c>
      <c r="C1471" s="155" t="s">
        <v>239</v>
      </c>
      <c r="D1471" s="155"/>
      <c r="E1471" s="155" t="s">
        <v>210</v>
      </c>
      <c r="F1471" s="157">
        <v>168492.86</v>
      </c>
      <c r="G1471" s="158">
        <v>1</v>
      </c>
      <c r="H1471" s="157"/>
      <c r="I1471" s="157"/>
      <c r="J1471" s="159">
        <v>168492.86</v>
      </c>
      <c r="K1471" s="6" t="s">
        <v>641</v>
      </c>
      <c r="L1471" s="20">
        <f>IF(ISNA(MATCH(Transactions[[#This Row],[TransType]],TransTypes[TransType],0)),1,MATCH(Transactions[[#This Row],[TransType]],TransTypes[TransType],0))</f>
        <v>18</v>
      </c>
      <c r="M1471" s="160">
        <f>IF( AND( INDEX(TransTypes[],Transactions[[#This Row],[TTR]],TT_COL_GLFlag)=1, INDEX(TransTypes[],Transactions[[#This Row],[TTR]],TT_COL_LONGORSHORT)="S" ),
      Transactions[[#This Row],[PL]],
      IF(INDEX(TransTypes[],Transactions[[#This Row],[TTR]],TT_COL_LONGORSHORT)="S",0,Transactions[[#This Row],[CalCashImpact]])
)</f>
        <v>168492.86</v>
      </c>
      <c r="N1471" s="161">
        <f>IF(VLOOKUP(Transactions[[#This Row],[Symbol]],Symbols[],COLUMN(Symbols[Currency])-COLUMN(Symbols[])+1,FALSE)=
       VLOOKUP(Transactions[[#This Row],[Account]],Accounts[],COLUMN(Accounts[Currency])-COLUMN(Accounts[])+1,FALSE),
     Transactions[[#This Row],[OrigCashImpact]],
     0
)</f>
        <v>0</v>
      </c>
      <c r="O14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1040331.36</v>
      </c>
      <c r="P14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71" s="41">
        <f>ROW()</f>
        <v>1471</v>
      </c>
      <c r="S14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71" s="166">
        <f>IF(INDEX(TransTypes[],Transactions[[#This Row],[TTR]],TT_COL_GLFlag)=1,Transactions[[#This Row],[CalCashImpact]]+Transactions[[#This Row],[CostImpact]],0)</f>
        <v>0</v>
      </c>
      <c r="W1471" s="167">
        <f>Transactions[[#This Row],[Amount]]*INDEX(TransTypes[],Transactions[[#This Row],[TTR]],TT_COL_AmntSign)</f>
        <v>168492.86</v>
      </c>
      <c r="X1471" s="167">
        <f>IF(INDEX(TransTypes[],Transactions[[#This Row],[TTR]],TT_COL_LONGORSHORT)="S",
      IF( OR(INDEX(TransTypes[],Transactions[[#This Row],[TTR]],TT_COL_GLFlag)=1, INDEX(TransTypes[], Transactions[[#This Row],[TTR]], TT_COL_ShareTransferFlag)=1),
            Transactions[[#This Row],[CostImpact]]*-1,
            Transactions[[#This Row],[CalCashImpact]]
      ),
     0
)</f>
        <v>0</v>
      </c>
      <c r="Y1471" s="168" t="str">
        <f>VLOOKUP(Transactions[[#This Row],[Symbol]],Symbols[], COLUMN(Symbols[Currency])-COLUMN(Symbols[])+1,FALSE)</f>
        <v>HKD</v>
      </c>
    </row>
    <row r="1472" spans="1:25">
      <c r="A1472" s="155" t="s">
        <v>82</v>
      </c>
      <c r="B1472" s="156">
        <v>42811</v>
      </c>
      <c r="C1472" s="155" t="s">
        <v>113</v>
      </c>
      <c r="D1472" s="155"/>
      <c r="E1472" s="155" t="s">
        <v>268</v>
      </c>
      <c r="F1472" s="157">
        <v>20000</v>
      </c>
      <c r="G1472" s="158">
        <v>8.39</v>
      </c>
      <c r="H1472" s="157">
        <v>692.86</v>
      </c>
      <c r="I1472" s="157"/>
      <c r="J1472" s="159">
        <v>168492.86</v>
      </c>
      <c r="K1472" s="6" t="s">
        <v>641</v>
      </c>
      <c r="L1472" s="20">
        <f>IF(ISNA(MATCH(Transactions[[#This Row],[TransType]],TransTypes[TransType],0)),1,MATCH(Transactions[[#This Row],[TransType]],TransTypes[TransType],0))</f>
        <v>2</v>
      </c>
      <c r="M1472" s="160">
        <f>IF( AND( INDEX(TransTypes[],Transactions[[#This Row],[TTR]],TT_COL_GLFlag)=1, INDEX(TransTypes[],Transactions[[#This Row],[TTR]],TT_COL_LONGORSHORT)="S" ),
      Transactions[[#This Row],[PL]],
      IF(INDEX(TransTypes[],Transactions[[#This Row],[TTR]],TT_COL_LONGORSHORT)="S",0,Transactions[[#This Row],[CalCashImpact]])
)</f>
        <v>-168492.86</v>
      </c>
      <c r="N1472" s="161">
        <f>IF(VLOOKUP(Transactions[[#This Row],[Symbol]],Symbols[],COLUMN(Symbols[Currency])-COLUMN(Symbols[])+1,FALSE)=
       VLOOKUP(Transactions[[#This Row],[Account]],Accounts[],COLUMN(Accounts[Currency])-COLUMN(Accounts[])+1,FALSE),
     Transactions[[#This Row],[OrigCashImpact]],
     0
)</f>
        <v>0</v>
      </c>
      <c r="O14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1040331.36</v>
      </c>
      <c r="P14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4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472" s="41">
        <f>ROW()</f>
        <v>1472</v>
      </c>
      <c r="S14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168492.86</v>
      </c>
      <c r="T14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168492.86</v>
      </c>
      <c r="U14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472" s="166">
        <f>IF(INDEX(TransTypes[],Transactions[[#This Row],[TTR]],TT_COL_GLFlag)=1,Transactions[[#This Row],[CalCashImpact]]+Transactions[[#This Row],[CostImpact]],0)</f>
        <v>0</v>
      </c>
      <c r="W1472" s="167">
        <f>Transactions[[#This Row],[Amount]]*INDEX(TransTypes[],Transactions[[#This Row],[TTR]],TT_COL_AmntSign)</f>
        <v>-168492.86</v>
      </c>
      <c r="X1472" s="167">
        <f>IF(INDEX(TransTypes[],Transactions[[#This Row],[TTR]],TT_COL_LONGORSHORT)="S",
      IF( OR(INDEX(TransTypes[],Transactions[[#This Row],[TTR]],TT_COL_GLFlag)=1, INDEX(TransTypes[], Transactions[[#This Row],[TTR]], TT_COL_ShareTransferFlag)=1),
            Transactions[[#This Row],[CostImpact]]*-1,
            Transactions[[#This Row],[CalCashImpact]]
      ),
     0
)</f>
        <v>0</v>
      </c>
      <c r="Y1472" s="168" t="str">
        <f>VLOOKUP(Transactions[[#This Row],[Symbol]],Symbols[], COLUMN(Symbols[Currency])-COLUMN(Symbols[])+1,FALSE)</f>
        <v>HKD</v>
      </c>
    </row>
    <row r="1473" spans="1:25">
      <c r="A1473" s="155" t="s">
        <v>82</v>
      </c>
      <c r="B1473" s="156">
        <v>42815</v>
      </c>
      <c r="C1473" s="155" t="s">
        <v>115</v>
      </c>
      <c r="D1473" s="155"/>
      <c r="E1473" s="155" t="s">
        <v>482</v>
      </c>
      <c r="F1473" s="157">
        <v>2000</v>
      </c>
      <c r="G1473" s="158">
        <v>30.29</v>
      </c>
      <c r="H1473" s="157">
        <v>84.91</v>
      </c>
      <c r="I1473" s="157"/>
      <c r="J1473" s="159">
        <v>60495.09</v>
      </c>
      <c r="K1473" s="6" t="s">
        <v>641</v>
      </c>
      <c r="L1473" s="20">
        <f>IF(ISNA(MATCH(Transactions[[#This Row],[TransType]],TransTypes[TransType],0)),1,MATCH(Transactions[[#This Row],[TransType]],TransTypes[TransType],0))</f>
        <v>3</v>
      </c>
      <c r="M1473" s="160">
        <f>IF( AND( INDEX(TransTypes[],Transactions[[#This Row],[TTR]],TT_COL_GLFlag)=1, INDEX(TransTypes[],Transactions[[#This Row],[TTR]],TT_COL_LONGORSHORT)="S" ),
      Transactions[[#This Row],[PL]],
      IF(INDEX(TransTypes[],Transactions[[#This Row],[TTR]],TT_COL_LONGORSHORT)="S",0,Transactions[[#This Row],[CalCashImpact]])
)</f>
        <v>60495.09</v>
      </c>
      <c r="N1473" s="161">
        <f>IF(VLOOKUP(Transactions[[#This Row],[Symbol]],Symbols[],COLUMN(Symbols[Currency])-COLUMN(Symbols[])+1,FALSE)=
       VLOOKUP(Transactions[[#This Row],[Account]],Accounts[],COLUMN(Accounts[Currency])-COLUMN(Accounts[])+1,FALSE),
     Transactions[[#This Row],[OrigCashImpact]],
     0
)</f>
        <v>60495.09</v>
      </c>
      <c r="O14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1100826.4500000002</v>
      </c>
      <c r="P14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v>
      </c>
      <c r="R1473" s="41">
        <f>ROW()</f>
        <v>1473</v>
      </c>
      <c r="S14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-53183.264500000005</v>
      </c>
      <c r="T14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372282.85150000005</v>
      </c>
      <c r="U14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16000</v>
      </c>
      <c r="V1473" s="166">
        <f>IF(INDEX(TransTypes[],Transactions[[#This Row],[TTR]],TT_COL_GLFlag)=1,Transactions[[#This Row],[CalCashImpact]]+Transactions[[#This Row],[CostImpact]],0)</f>
        <v>7311.8254999999917</v>
      </c>
      <c r="W1473" s="167">
        <f>Transactions[[#This Row],[Amount]]*INDEX(TransTypes[],Transactions[[#This Row],[TTR]],TT_COL_AmntSign)</f>
        <v>60495.09</v>
      </c>
      <c r="X1473" s="167">
        <f>IF(INDEX(TransTypes[],Transactions[[#This Row],[TTR]],TT_COL_LONGORSHORT)="S",
      IF( OR(INDEX(TransTypes[],Transactions[[#This Row],[TTR]],TT_COL_GLFlag)=1, INDEX(TransTypes[], Transactions[[#This Row],[TTR]], TT_COL_ShareTransferFlag)=1),
            Transactions[[#This Row],[CostImpact]]*-1,
            Transactions[[#This Row],[CalCashImpact]]
      ),
     0
)</f>
        <v>0</v>
      </c>
      <c r="Y1473" s="168" t="str">
        <f>VLOOKUP(Transactions[[#This Row],[Symbol]],Symbols[], COLUMN(Symbols[Currency])-COLUMN(Symbols[])+1,FALSE)</f>
        <v>CNY</v>
      </c>
    </row>
    <row r="1474" spans="1:25">
      <c r="A1474" s="155" t="s">
        <v>82</v>
      </c>
      <c r="B1474" s="156">
        <v>42815</v>
      </c>
      <c r="C1474" s="155" t="s">
        <v>115</v>
      </c>
      <c r="D1474" s="155"/>
      <c r="E1474" s="155" t="s">
        <v>715</v>
      </c>
      <c r="F1474" s="157">
        <v>416000</v>
      </c>
      <c r="G1474" s="158">
        <v>0.38800000000000001</v>
      </c>
      <c r="H1474" s="157">
        <v>64.56</v>
      </c>
      <c r="I1474" s="157"/>
      <c r="J1474" s="159">
        <v>161343.44</v>
      </c>
      <c r="K1474" s="6" t="s">
        <v>641</v>
      </c>
      <c r="L1474" s="20">
        <f>IF(ISNA(MATCH(Transactions[[#This Row],[TransType]],TransTypes[TransType],0)),1,MATCH(Transactions[[#This Row],[TransType]],TransTypes[TransType],0))</f>
        <v>3</v>
      </c>
      <c r="M1474" s="160">
        <f>IF( AND( INDEX(TransTypes[],Transactions[[#This Row],[TTR]],TT_COL_GLFlag)=1, INDEX(TransTypes[],Transactions[[#This Row],[TTR]],TT_COL_LONGORSHORT)="S" ),
      Transactions[[#This Row],[PL]],
      IF(INDEX(TransTypes[],Transactions[[#This Row],[TTR]],TT_COL_LONGORSHORT)="S",0,Transactions[[#This Row],[CalCashImpact]])
)</f>
        <v>161343.44</v>
      </c>
      <c r="N1474" s="161">
        <f>IF(VLOOKUP(Transactions[[#This Row],[Symbol]],Symbols[],COLUMN(Symbols[Currency])-COLUMN(Symbols[])+1,FALSE)=
       VLOOKUP(Transactions[[#This Row],[Account]],Accounts[],COLUMN(Accounts[Currency])-COLUMN(Accounts[])+1,FALSE),
     Transactions[[#This Row],[OrigCashImpact]],
     0
)</f>
        <v>161343.44</v>
      </c>
      <c r="O14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1262169.8900000001</v>
      </c>
      <c r="P14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-416000</v>
      </c>
      <c r="Q14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74" s="41">
        <f>ROW()</f>
        <v>1474</v>
      </c>
      <c r="S14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-157727.06400000004</v>
      </c>
      <c r="T14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416000</v>
      </c>
      <c r="V1474" s="166">
        <f>IF(INDEX(TransTypes[],Transactions[[#This Row],[TTR]],TT_COL_GLFlag)=1,Transactions[[#This Row],[CalCashImpact]]+Transactions[[#This Row],[CostImpact]],0)</f>
        <v>3616.3759999999602</v>
      </c>
      <c r="W1474" s="167">
        <f>Transactions[[#This Row],[Amount]]*INDEX(TransTypes[],Transactions[[#This Row],[TTR]],TT_COL_AmntSign)</f>
        <v>161343.44</v>
      </c>
      <c r="X1474" s="167">
        <f>IF(INDEX(TransTypes[],Transactions[[#This Row],[TTR]],TT_COL_LONGORSHORT)="S",
      IF( OR(INDEX(TransTypes[],Transactions[[#This Row],[TTR]],TT_COL_GLFlag)=1, INDEX(TransTypes[], Transactions[[#This Row],[TTR]], TT_COL_ShareTransferFlag)=1),
            Transactions[[#This Row],[CostImpact]]*-1,
            Transactions[[#This Row],[CalCashImpact]]
      ),
     0
)</f>
        <v>0</v>
      </c>
      <c r="Y1474" s="168" t="str">
        <f>VLOOKUP(Transactions[[#This Row],[Symbol]],Symbols[], COLUMN(Symbols[Currency])-COLUMN(Symbols[])+1,FALSE)</f>
        <v>CNY</v>
      </c>
    </row>
    <row r="1475" spans="1:25">
      <c r="A1475" s="155" t="s">
        <v>82</v>
      </c>
      <c r="B1475" s="156">
        <v>42815</v>
      </c>
      <c r="C1475" s="155" t="s">
        <v>115</v>
      </c>
      <c r="D1475" s="155"/>
      <c r="E1475" s="155" t="s">
        <v>464</v>
      </c>
      <c r="F1475" s="157">
        <v>200</v>
      </c>
      <c r="G1475" s="158">
        <v>388.08</v>
      </c>
      <c r="H1475" s="157">
        <v>110.23</v>
      </c>
      <c r="I1475" s="157"/>
      <c r="J1475" s="159">
        <v>77505.77</v>
      </c>
      <c r="K1475" s="6" t="s">
        <v>641</v>
      </c>
      <c r="L1475" s="20">
        <f>IF(ISNA(MATCH(Transactions[[#This Row],[TransType]],TransTypes[TransType],0)),1,MATCH(Transactions[[#This Row],[TransType]],TransTypes[TransType],0))</f>
        <v>3</v>
      </c>
      <c r="M1475" s="160">
        <f>IF( AND( INDEX(TransTypes[],Transactions[[#This Row],[TTR]],TT_COL_GLFlag)=1, INDEX(TransTypes[],Transactions[[#This Row],[TTR]],TT_COL_LONGORSHORT)="S" ),
      Transactions[[#This Row],[PL]],
      IF(INDEX(TransTypes[],Transactions[[#This Row],[TTR]],TT_COL_LONGORSHORT)="S",0,Transactions[[#This Row],[CalCashImpact]])
)</f>
        <v>77505.77</v>
      </c>
      <c r="N1475" s="161">
        <f>IF(VLOOKUP(Transactions[[#This Row],[Symbol]],Symbols[],COLUMN(Symbols[Currency])-COLUMN(Symbols[])+1,FALSE)=
       VLOOKUP(Transactions[[#This Row],[Account]],Accounts[],COLUMN(Accounts[Currency])-COLUMN(Accounts[])+1,FALSE),
     Transactions[[#This Row],[OrigCashImpact]],
     0
)</f>
        <v>77505.77</v>
      </c>
      <c r="O14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1339675.6600000001</v>
      </c>
      <c r="P14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4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v>
      </c>
      <c r="R1475" s="41">
        <f>ROW()</f>
        <v>1475</v>
      </c>
      <c r="S14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-64076.97782800001</v>
      </c>
      <c r="T14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192230.93348400001</v>
      </c>
      <c r="U14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475" s="166">
        <f>IF(INDEX(TransTypes[],Transactions[[#This Row],[TTR]],TT_COL_GLFlag)=1,Transactions[[#This Row],[CalCashImpact]]+Transactions[[#This Row],[CostImpact]],0)</f>
        <v>13428.792171999994</v>
      </c>
      <c r="W1475" s="167">
        <f>Transactions[[#This Row],[Amount]]*INDEX(TransTypes[],Transactions[[#This Row],[TTR]],TT_COL_AmntSign)</f>
        <v>77505.77</v>
      </c>
      <c r="X1475" s="167">
        <f>IF(INDEX(TransTypes[],Transactions[[#This Row],[TTR]],TT_COL_LONGORSHORT)="S",
      IF( OR(INDEX(TransTypes[],Transactions[[#This Row],[TTR]],TT_COL_GLFlag)=1, INDEX(TransTypes[], Transactions[[#This Row],[TTR]], TT_COL_ShareTransferFlag)=1),
            Transactions[[#This Row],[CostImpact]]*-1,
            Transactions[[#This Row],[CalCashImpact]]
      ),
     0
)</f>
        <v>0</v>
      </c>
      <c r="Y1475" s="168" t="str">
        <f>VLOOKUP(Transactions[[#This Row],[Symbol]],Symbols[], COLUMN(Symbols[Currency])-COLUMN(Symbols[])+1,FALSE)</f>
        <v>CNY</v>
      </c>
    </row>
    <row r="1476" spans="1:25">
      <c r="A1476" s="155" t="s">
        <v>82</v>
      </c>
      <c r="B1476" s="156">
        <v>42815</v>
      </c>
      <c r="C1476" s="155" t="s">
        <v>115</v>
      </c>
      <c r="D1476" s="155"/>
      <c r="E1476" s="155" t="s">
        <v>727</v>
      </c>
      <c r="F1476" s="157">
        <v>500</v>
      </c>
      <c r="G1476" s="158">
        <v>185.99299999999999</v>
      </c>
      <c r="H1476" s="157">
        <v>130.19999999999999</v>
      </c>
      <c r="I1476" s="157"/>
      <c r="J1476" s="159">
        <v>92866.3</v>
      </c>
      <c r="K1476" s="6" t="s">
        <v>641</v>
      </c>
      <c r="L1476" s="20">
        <f>IF(ISNA(MATCH(Transactions[[#This Row],[TransType]],TransTypes[TransType],0)),1,MATCH(Transactions[[#This Row],[TransType]],TransTypes[TransType],0))</f>
        <v>3</v>
      </c>
      <c r="M1476" s="160">
        <f>IF( AND( INDEX(TransTypes[],Transactions[[#This Row],[TTR]],TT_COL_GLFlag)=1, INDEX(TransTypes[],Transactions[[#This Row],[TTR]],TT_COL_LONGORSHORT)="S" ),
      Transactions[[#This Row],[PL]],
      IF(INDEX(TransTypes[],Transactions[[#This Row],[TTR]],TT_COL_LONGORSHORT)="S",0,Transactions[[#This Row],[CalCashImpact]])
)</f>
        <v>92866.3</v>
      </c>
      <c r="N1476" s="161">
        <f>IF(VLOOKUP(Transactions[[#This Row],[Symbol]],Symbols[],COLUMN(Symbols[Currency])-COLUMN(Symbols[])+1,FALSE)=
       VLOOKUP(Transactions[[#This Row],[Account]],Accounts[],COLUMN(Accounts[Currency])-COLUMN(Accounts[])+1,FALSE),
     Transactions[[#This Row],[OrigCashImpact]],
     0
)</f>
        <v>92866.3</v>
      </c>
      <c r="O14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1432541.96</v>
      </c>
      <c r="P14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4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76" s="41">
        <f>ROW()</f>
        <v>1476</v>
      </c>
      <c r="S14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-27175</v>
      </c>
      <c r="T14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476" s="166">
        <f>IF(INDEX(TransTypes[],Transactions[[#This Row],[TTR]],TT_COL_GLFlag)=1,Transactions[[#This Row],[CalCashImpact]]+Transactions[[#This Row],[CostImpact]],0)</f>
        <v>65691.3</v>
      </c>
      <c r="W1476" s="167">
        <f>Transactions[[#This Row],[Amount]]*INDEX(TransTypes[],Transactions[[#This Row],[TTR]],TT_COL_AmntSign)</f>
        <v>92866.3</v>
      </c>
      <c r="X1476" s="167">
        <f>IF(INDEX(TransTypes[],Transactions[[#This Row],[TTR]],TT_COL_LONGORSHORT)="S",
      IF( OR(INDEX(TransTypes[],Transactions[[#This Row],[TTR]],TT_COL_GLFlag)=1, INDEX(TransTypes[], Transactions[[#This Row],[TTR]], TT_COL_ShareTransferFlag)=1),
            Transactions[[#This Row],[CostImpact]]*-1,
            Transactions[[#This Row],[CalCashImpact]]
      ),
     0
)</f>
        <v>0</v>
      </c>
      <c r="Y1476" s="168" t="str">
        <f>VLOOKUP(Transactions[[#This Row],[Symbol]],Symbols[], COLUMN(Symbols[Currency])-COLUMN(Symbols[])+1,FALSE)</f>
        <v>CNY</v>
      </c>
    </row>
    <row r="1477" spans="1:25">
      <c r="A1477" s="155" t="s">
        <v>82</v>
      </c>
      <c r="B1477" s="156">
        <v>42815</v>
      </c>
      <c r="C1477" s="155" t="s">
        <v>113</v>
      </c>
      <c r="D1477" s="155"/>
      <c r="E1477" s="155" t="s">
        <v>684</v>
      </c>
      <c r="F1477" s="157">
        <v>4000</v>
      </c>
      <c r="G1477" s="158">
        <v>24.33</v>
      </c>
      <c r="H1477" s="157">
        <v>40.869999999999997</v>
      </c>
      <c r="I1477" s="157"/>
      <c r="J1477" s="159">
        <v>97360.87</v>
      </c>
      <c r="K1477" s="6" t="s">
        <v>641</v>
      </c>
      <c r="L1477" s="20">
        <f>IF(ISNA(MATCH(Transactions[[#This Row],[TransType]],TransTypes[TransType],0)),1,MATCH(Transactions[[#This Row],[TransType]],TransTypes[TransType],0))</f>
        <v>2</v>
      </c>
      <c r="M1477" s="160">
        <f>IF( AND( INDEX(TransTypes[],Transactions[[#This Row],[TTR]],TT_COL_GLFlag)=1, INDEX(TransTypes[],Transactions[[#This Row],[TTR]],TT_COL_LONGORSHORT)="S" ),
      Transactions[[#This Row],[PL]],
      IF(INDEX(TransTypes[],Transactions[[#This Row],[TTR]],TT_COL_LONGORSHORT)="S",0,Transactions[[#This Row],[CalCashImpact]])
)</f>
        <v>-97360.87</v>
      </c>
      <c r="N1477" s="161">
        <f>IF(VLOOKUP(Transactions[[#This Row],[Symbol]],Symbols[],COLUMN(Symbols[Currency])-COLUMN(Symbols[])+1,FALSE)=
       VLOOKUP(Transactions[[#This Row],[Account]],Accounts[],COLUMN(Accounts[Currency])-COLUMN(Accounts[])+1,FALSE),
     Transactions[[#This Row],[OrigCashImpact]],
     0
)</f>
        <v>-97360.87</v>
      </c>
      <c r="O14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1335181.0900000001</v>
      </c>
      <c r="P14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4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477" s="41">
        <f>ROW()</f>
        <v>1477</v>
      </c>
      <c r="S14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97360.87</v>
      </c>
      <c r="T14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285524.02807999996</v>
      </c>
      <c r="U14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477" s="166">
        <f>IF(INDEX(TransTypes[],Transactions[[#This Row],[TTR]],TT_COL_GLFlag)=1,Transactions[[#This Row],[CalCashImpact]]+Transactions[[#This Row],[CostImpact]],0)</f>
        <v>0</v>
      </c>
      <c r="W1477" s="167">
        <f>Transactions[[#This Row],[Amount]]*INDEX(TransTypes[],Transactions[[#This Row],[TTR]],TT_COL_AmntSign)</f>
        <v>-97360.87</v>
      </c>
      <c r="X1477" s="167">
        <f>IF(INDEX(TransTypes[],Transactions[[#This Row],[TTR]],TT_COL_LONGORSHORT)="S",
      IF( OR(INDEX(TransTypes[],Transactions[[#This Row],[TTR]],TT_COL_GLFlag)=1, INDEX(TransTypes[], Transactions[[#This Row],[TTR]], TT_COL_ShareTransferFlag)=1),
            Transactions[[#This Row],[CostImpact]]*-1,
            Transactions[[#This Row],[CalCashImpact]]
      ),
     0
)</f>
        <v>0</v>
      </c>
      <c r="Y1477" s="168" t="str">
        <f>VLOOKUP(Transactions[[#This Row],[Symbol]],Symbols[], COLUMN(Symbols[Currency])-COLUMN(Symbols[])+1,FALSE)</f>
        <v>CNY</v>
      </c>
    </row>
    <row r="1478" spans="1:25">
      <c r="A1478" s="155" t="s">
        <v>82</v>
      </c>
      <c r="B1478" s="156">
        <v>42817</v>
      </c>
      <c r="C1478" s="155" t="s">
        <v>119</v>
      </c>
      <c r="D1478" s="155"/>
      <c r="E1478" s="155" t="s">
        <v>211</v>
      </c>
      <c r="F1478" s="157"/>
      <c r="G1478" s="158"/>
      <c r="H1478" s="157"/>
      <c r="I1478" s="157"/>
      <c r="J1478" s="159">
        <v>160105.74</v>
      </c>
      <c r="K1478" s="6" t="s">
        <v>731</v>
      </c>
      <c r="L1478" s="20">
        <f>IF(ISNA(MATCH(Transactions[[#This Row],[TransType]],TransTypes[TransType],0)),1,MATCH(Transactions[[#This Row],[TransType]],TransTypes[TransType],0))</f>
        <v>5</v>
      </c>
      <c r="M1478" s="160">
        <f>IF( AND( INDEX(TransTypes[],Transactions[[#This Row],[TTR]],TT_COL_GLFlag)=1, INDEX(TransTypes[],Transactions[[#This Row],[TTR]],TT_COL_LONGORSHORT)="S" ),
      Transactions[[#This Row],[PL]],
      IF(INDEX(TransTypes[],Transactions[[#This Row],[TTR]],TT_COL_LONGORSHORT)="S",0,Transactions[[#This Row],[CalCashImpact]])
)</f>
        <v>-160105.74</v>
      </c>
      <c r="N1478" s="161">
        <f>IF(VLOOKUP(Transactions[[#This Row],[Symbol]],Symbols[],COLUMN(Symbols[Currency])-COLUMN(Symbols[])+1,FALSE)=
       VLOOKUP(Transactions[[#This Row],[Account]],Accounts[],COLUMN(Accounts[Currency])-COLUMN(Accounts[])+1,FALSE),
     Transactions[[#This Row],[OrigCashImpact]],
     0
)</f>
        <v>-160105.74</v>
      </c>
      <c r="O14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1175075.3500000003</v>
      </c>
      <c r="P14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78" s="41">
        <f>ROW()</f>
        <v>1478</v>
      </c>
      <c r="S14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78" s="166">
        <f>IF(INDEX(TransTypes[],Transactions[[#This Row],[TTR]],TT_COL_GLFlag)=1,Transactions[[#This Row],[CalCashImpact]]+Transactions[[#This Row],[CostImpact]],0)</f>
        <v>0</v>
      </c>
      <c r="W1478" s="167">
        <f>Transactions[[#This Row],[Amount]]*INDEX(TransTypes[],Transactions[[#This Row],[TTR]],TT_COL_AmntSign)</f>
        <v>-160105.74</v>
      </c>
      <c r="X1478" s="167">
        <f>IF(INDEX(TransTypes[],Transactions[[#This Row],[TTR]],TT_COL_LONGORSHORT)="S",
      IF( OR(INDEX(TransTypes[],Transactions[[#This Row],[TTR]],TT_COL_GLFlag)=1, INDEX(TransTypes[], Transactions[[#This Row],[TTR]], TT_COL_ShareTransferFlag)=1),
            Transactions[[#This Row],[CostImpact]]*-1,
            Transactions[[#This Row],[CalCashImpact]]
      ),
     0
)</f>
        <v>0</v>
      </c>
      <c r="Y1478" s="168" t="str">
        <f>VLOOKUP(Transactions[[#This Row],[Symbol]],Symbols[], COLUMN(Symbols[Currency])-COLUMN(Symbols[])+1,FALSE)</f>
        <v>CNY</v>
      </c>
    </row>
    <row r="1479" spans="1:25">
      <c r="A1479" s="155" t="s">
        <v>82</v>
      </c>
      <c r="B1479" s="156">
        <v>42817</v>
      </c>
      <c r="C1479" s="155" t="s">
        <v>113</v>
      </c>
      <c r="D1479" s="155"/>
      <c r="E1479" s="155" t="s">
        <v>268</v>
      </c>
      <c r="F1479" s="157">
        <v>20000</v>
      </c>
      <c r="G1479" s="158">
        <v>9.0139999999999993</v>
      </c>
      <c r="H1479" s="157">
        <v>763.25</v>
      </c>
      <c r="I1479" s="157"/>
      <c r="J1479" s="159">
        <v>181043.25</v>
      </c>
      <c r="K1479" s="6" t="s">
        <v>641</v>
      </c>
      <c r="L1479" s="20">
        <f>IF(ISNA(MATCH(Transactions[[#This Row],[TransType]],TransTypes[TransType],0)),1,MATCH(Transactions[[#This Row],[TransType]],TransTypes[TransType],0))</f>
        <v>2</v>
      </c>
      <c r="M1479" s="160">
        <f>IF( AND( INDEX(TransTypes[],Transactions[[#This Row],[TTR]],TT_COL_GLFlag)=1, INDEX(TransTypes[],Transactions[[#This Row],[TTR]],TT_COL_LONGORSHORT)="S" ),
      Transactions[[#This Row],[PL]],
      IF(INDEX(TransTypes[],Transactions[[#This Row],[TTR]],TT_COL_LONGORSHORT)="S",0,Transactions[[#This Row],[CalCashImpact]])
)</f>
        <v>-181043.25</v>
      </c>
      <c r="N1479" s="161">
        <f>IF(VLOOKUP(Transactions[[#This Row],[Symbol]],Symbols[],COLUMN(Symbols[Currency])-COLUMN(Symbols[])+1,FALSE)=
       VLOOKUP(Transactions[[#This Row],[Account]],Accounts[],COLUMN(Accounts[Currency])-COLUMN(Accounts[])+1,FALSE),
     Transactions[[#This Row],[OrigCashImpact]],
     0
)</f>
        <v>0</v>
      </c>
      <c r="O14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1175075.3500000003</v>
      </c>
      <c r="P14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4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40000</v>
      </c>
      <c r="R1479" s="41">
        <f>ROW()</f>
        <v>1479</v>
      </c>
      <c r="S14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181043.25</v>
      </c>
      <c r="T14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349536.11</v>
      </c>
      <c r="U14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40000</v>
      </c>
      <c r="V1479" s="166">
        <f>IF(INDEX(TransTypes[],Transactions[[#This Row],[TTR]],TT_COL_GLFlag)=1,Transactions[[#This Row],[CalCashImpact]]+Transactions[[#This Row],[CostImpact]],0)</f>
        <v>0</v>
      </c>
      <c r="W1479" s="167">
        <f>Transactions[[#This Row],[Amount]]*INDEX(TransTypes[],Transactions[[#This Row],[TTR]],TT_COL_AmntSign)</f>
        <v>-181043.25</v>
      </c>
      <c r="X1479" s="167">
        <f>IF(INDEX(TransTypes[],Transactions[[#This Row],[TTR]],TT_COL_LONGORSHORT)="S",
      IF( OR(INDEX(TransTypes[],Transactions[[#This Row],[TTR]],TT_COL_GLFlag)=1, INDEX(TransTypes[], Transactions[[#This Row],[TTR]], TT_COL_ShareTransferFlag)=1),
            Transactions[[#This Row],[CostImpact]]*-1,
            Transactions[[#This Row],[CalCashImpact]]
      ),
     0
)</f>
        <v>0</v>
      </c>
      <c r="Y1479" s="168" t="str">
        <f>VLOOKUP(Transactions[[#This Row],[Symbol]],Symbols[], COLUMN(Symbols[Currency])-COLUMN(Symbols[])+1,FALSE)</f>
        <v>HKD</v>
      </c>
    </row>
    <row r="1480" spans="1:25">
      <c r="A1480" s="155" t="s">
        <v>82</v>
      </c>
      <c r="B1480" s="156">
        <v>42818</v>
      </c>
      <c r="C1480" s="155" t="s">
        <v>113</v>
      </c>
      <c r="D1480" s="155"/>
      <c r="E1480" s="155" t="s">
        <v>732</v>
      </c>
      <c r="F1480" s="157">
        <v>7000</v>
      </c>
      <c r="G1480" s="158">
        <v>27.343</v>
      </c>
      <c r="H1480" s="157">
        <v>76.56</v>
      </c>
      <c r="I1480" s="157"/>
      <c r="J1480" s="159">
        <v>191477.56</v>
      </c>
      <c r="K1480" s="6" t="s">
        <v>641</v>
      </c>
      <c r="L1480" s="20">
        <f>IF(ISNA(MATCH(Transactions[[#This Row],[TransType]],TransTypes[TransType],0)),1,MATCH(Transactions[[#This Row],[TransType]],TransTypes[TransType],0))</f>
        <v>2</v>
      </c>
      <c r="M1480" s="160">
        <f>IF( AND( INDEX(TransTypes[],Transactions[[#This Row],[TTR]],TT_COL_GLFlag)=1, INDEX(TransTypes[],Transactions[[#This Row],[TTR]],TT_COL_LONGORSHORT)="S" ),
      Transactions[[#This Row],[PL]],
      IF(INDEX(TransTypes[],Transactions[[#This Row],[TTR]],TT_COL_LONGORSHORT)="S",0,Transactions[[#This Row],[CalCashImpact]])
)</f>
        <v>-191477.56</v>
      </c>
      <c r="N1480" s="161">
        <f>IF(VLOOKUP(Transactions[[#This Row],[Symbol]],Symbols[],COLUMN(Symbols[Currency])-COLUMN(Symbols[])+1,FALSE)=
       VLOOKUP(Transactions[[#This Row],[Account]],Accounts[],COLUMN(Accounts[Currency])-COLUMN(Accounts[])+1,FALSE),
     Transactions[[#This Row],[OrigCashImpact]],
     0
)</f>
        <v>-191477.56</v>
      </c>
      <c r="O14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983597.79000000027</v>
      </c>
      <c r="P14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14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480" s="41">
        <f>ROW()</f>
        <v>1480</v>
      </c>
      <c r="S14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191477.56</v>
      </c>
      <c r="T14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191477.56</v>
      </c>
      <c r="U14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480" s="166">
        <f>IF(INDEX(TransTypes[],Transactions[[#This Row],[TTR]],TT_COL_GLFlag)=1,Transactions[[#This Row],[CalCashImpact]]+Transactions[[#This Row],[CostImpact]],0)</f>
        <v>0</v>
      </c>
      <c r="W1480" s="167">
        <f>Transactions[[#This Row],[Amount]]*INDEX(TransTypes[],Transactions[[#This Row],[TTR]],TT_COL_AmntSign)</f>
        <v>-191477.56</v>
      </c>
      <c r="X1480" s="167">
        <f>IF(INDEX(TransTypes[],Transactions[[#This Row],[TTR]],TT_COL_LONGORSHORT)="S",
      IF( OR(INDEX(TransTypes[],Transactions[[#This Row],[TTR]],TT_COL_GLFlag)=1, INDEX(TransTypes[], Transactions[[#This Row],[TTR]], TT_COL_ShareTransferFlag)=1),
            Transactions[[#This Row],[CostImpact]]*-1,
            Transactions[[#This Row],[CalCashImpact]]
      ),
     0
)</f>
        <v>0</v>
      </c>
      <c r="Y1480" s="168" t="str">
        <f>VLOOKUP(Transactions[[#This Row],[Symbol]],Symbols[], COLUMN(Symbols[Currency])-COLUMN(Symbols[])+1,FALSE)</f>
        <v>CNY</v>
      </c>
    </row>
    <row r="1481" spans="1:25">
      <c r="A1481" s="155" t="s">
        <v>82</v>
      </c>
      <c r="B1481" s="156">
        <v>42821</v>
      </c>
      <c r="C1481" s="155" t="s">
        <v>115</v>
      </c>
      <c r="D1481" s="155"/>
      <c r="E1481" s="155" t="s">
        <v>710</v>
      </c>
      <c r="F1481" s="157">
        <v>2600</v>
      </c>
      <c r="G1481" s="158">
        <v>28.3</v>
      </c>
      <c r="H1481" s="157">
        <v>103.01</v>
      </c>
      <c r="I1481" s="157"/>
      <c r="J1481" s="159">
        <v>73476.990000000005</v>
      </c>
      <c r="K1481" s="6" t="s">
        <v>641</v>
      </c>
      <c r="L1481" s="20">
        <f>IF(ISNA(MATCH(Transactions[[#This Row],[TransType]],TransTypes[TransType],0)),1,MATCH(Transactions[[#This Row],[TransType]],TransTypes[TransType],0))</f>
        <v>3</v>
      </c>
      <c r="M1481" s="160">
        <f>IF( AND( INDEX(TransTypes[],Transactions[[#This Row],[TTR]],TT_COL_GLFlag)=1, INDEX(TransTypes[],Transactions[[#This Row],[TTR]],TT_COL_LONGORSHORT)="S" ),
      Transactions[[#This Row],[PL]],
      IF(INDEX(TransTypes[],Transactions[[#This Row],[TTR]],TT_COL_LONGORSHORT)="S",0,Transactions[[#This Row],[CalCashImpact]])
)</f>
        <v>73476.990000000005</v>
      </c>
      <c r="N1481" s="161">
        <f>IF(VLOOKUP(Transactions[[#This Row],[Symbol]],Symbols[],COLUMN(Symbols[Currency])-COLUMN(Symbols[])+1,FALSE)=
       VLOOKUP(Transactions[[#This Row],[Account]],Accounts[],COLUMN(Accounts[Currency])-COLUMN(Accounts[])+1,FALSE),
     Transactions[[#This Row],[OrigCashImpact]],
     0
)</f>
        <v>73476.990000000005</v>
      </c>
      <c r="O14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1057074.7800000003</v>
      </c>
      <c r="P14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-2600</v>
      </c>
      <c r="Q14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5400</v>
      </c>
      <c r="R1481" s="41">
        <f>ROW()</f>
        <v>1481</v>
      </c>
      <c r="S14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-57474.467957936511</v>
      </c>
      <c r="T14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119370.04883571429</v>
      </c>
      <c r="U14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481" s="166">
        <f>IF(INDEX(TransTypes[],Transactions[[#This Row],[TTR]],TT_COL_GLFlag)=1,Transactions[[#This Row],[CalCashImpact]]+Transactions[[#This Row],[CostImpact]],0)</f>
        <v>16002.522042063494</v>
      </c>
      <c r="W1481" s="167">
        <f>Transactions[[#This Row],[Amount]]*INDEX(TransTypes[],Transactions[[#This Row],[TTR]],TT_COL_AmntSign)</f>
        <v>73476.990000000005</v>
      </c>
      <c r="X1481" s="167">
        <f>IF(INDEX(TransTypes[],Transactions[[#This Row],[TTR]],TT_COL_LONGORSHORT)="S",
      IF( OR(INDEX(TransTypes[],Transactions[[#This Row],[TTR]],TT_COL_GLFlag)=1, INDEX(TransTypes[], Transactions[[#This Row],[TTR]], TT_COL_ShareTransferFlag)=1),
            Transactions[[#This Row],[CostImpact]]*-1,
            Transactions[[#This Row],[CalCashImpact]]
      ),
     0
)</f>
        <v>0</v>
      </c>
      <c r="Y1481" s="168" t="str">
        <f>VLOOKUP(Transactions[[#This Row],[Symbol]],Symbols[], COLUMN(Symbols[Currency])-COLUMN(Symbols[])+1,FALSE)</f>
        <v>CNY</v>
      </c>
    </row>
    <row r="1482" spans="1:25">
      <c r="A1482" s="155" t="s">
        <v>82</v>
      </c>
      <c r="B1482" s="156">
        <v>42821</v>
      </c>
      <c r="C1482" s="155" t="s">
        <v>115</v>
      </c>
      <c r="D1482" s="155"/>
      <c r="E1482" s="155" t="s">
        <v>471</v>
      </c>
      <c r="F1482" s="157">
        <v>2000</v>
      </c>
      <c r="G1482" s="158">
        <v>20.57</v>
      </c>
      <c r="H1482" s="157">
        <v>57.59</v>
      </c>
      <c r="I1482" s="157"/>
      <c r="J1482" s="159">
        <v>41082.410000000003</v>
      </c>
      <c r="K1482" s="6" t="s">
        <v>641</v>
      </c>
      <c r="L1482" s="20">
        <f>IF(ISNA(MATCH(Transactions[[#This Row],[TransType]],TransTypes[TransType],0)),1,MATCH(Transactions[[#This Row],[TransType]],TransTypes[TransType],0))</f>
        <v>3</v>
      </c>
      <c r="M1482" s="160">
        <f>IF( AND( INDEX(TransTypes[],Transactions[[#This Row],[TTR]],TT_COL_GLFlag)=1, INDEX(TransTypes[],Transactions[[#This Row],[TTR]],TT_COL_LONGORSHORT)="S" ),
      Transactions[[#This Row],[PL]],
      IF(INDEX(TransTypes[],Transactions[[#This Row],[TTR]],TT_COL_LONGORSHORT)="S",0,Transactions[[#This Row],[CalCashImpact]])
)</f>
        <v>41082.410000000003</v>
      </c>
      <c r="N1482" s="161">
        <f>IF(VLOOKUP(Transactions[[#This Row],[Symbol]],Symbols[],COLUMN(Symbols[Currency])-COLUMN(Symbols[])+1,FALSE)=
       VLOOKUP(Transactions[[#This Row],[Account]],Accounts[],COLUMN(Accounts[Currency])-COLUMN(Accounts[])+1,FALSE),
     Transactions[[#This Row],[OrigCashImpact]],
     0
)</f>
        <v>41082.410000000003</v>
      </c>
      <c r="O14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1098157.1900000002</v>
      </c>
      <c r="P14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482" s="41">
        <f>ROW()</f>
        <v>1482</v>
      </c>
      <c r="S14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-38325.324000000001</v>
      </c>
      <c r="T14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153301.296</v>
      </c>
      <c r="U14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82" s="166">
        <f>IF(INDEX(TransTypes[],Transactions[[#This Row],[TTR]],TT_COL_GLFlag)=1,Transactions[[#This Row],[CalCashImpact]]+Transactions[[#This Row],[CostImpact]],0)</f>
        <v>2757.086000000003</v>
      </c>
      <c r="W1482" s="167">
        <f>Transactions[[#This Row],[Amount]]*INDEX(TransTypes[],Transactions[[#This Row],[TTR]],TT_COL_AmntSign)</f>
        <v>41082.410000000003</v>
      </c>
      <c r="X1482" s="167">
        <f>IF(INDEX(TransTypes[],Transactions[[#This Row],[TTR]],TT_COL_LONGORSHORT)="S",
      IF( OR(INDEX(TransTypes[],Transactions[[#This Row],[TTR]],TT_COL_GLFlag)=1, INDEX(TransTypes[], Transactions[[#This Row],[TTR]], TT_COL_ShareTransferFlag)=1),
            Transactions[[#This Row],[CostImpact]]*-1,
            Transactions[[#This Row],[CalCashImpact]]
      ),
     0
)</f>
        <v>0</v>
      </c>
      <c r="Y1482" s="168" t="str">
        <f>VLOOKUP(Transactions[[#This Row],[Symbol]],Symbols[], COLUMN(Symbols[Currency])-COLUMN(Symbols[])+1,FALSE)</f>
        <v>CNY</v>
      </c>
    </row>
    <row r="1483" spans="1:25">
      <c r="A1483" s="155" t="s">
        <v>82</v>
      </c>
      <c r="B1483" s="156">
        <v>42821</v>
      </c>
      <c r="C1483" s="155" t="s">
        <v>115</v>
      </c>
      <c r="D1483" s="155"/>
      <c r="E1483" s="155" t="s">
        <v>704</v>
      </c>
      <c r="F1483" s="157">
        <v>2500</v>
      </c>
      <c r="G1483" s="158">
        <v>22.7</v>
      </c>
      <c r="H1483" s="157">
        <v>79.45</v>
      </c>
      <c r="I1483" s="157"/>
      <c r="J1483" s="159">
        <v>56670.55</v>
      </c>
      <c r="K1483" s="6" t="s">
        <v>641</v>
      </c>
      <c r="L1483" s="20">
        <f>IF(ISNA(MATCH(Transactions[[#This Row],[TransType]],TransTypes[TransType],0)),1,MATCH(Transactions[[#This Row],[TransType]],TransTypes[TransType],0))</f>
        <v>3</v>
      </c>
      <c r="M1483" s="160">
        <f>IF( AND( INDEX(TransTypes[],Transactions[[#This Row],[TTR]],TT_COL_GLFlag)=1, INDEX(TransTypes[],Transactions[[#This Row],[TTR]],TT_COL_LONGORSHORT)="S" ),
      Transactions[[#This Row],[PL]],
      IF(INDEX(TransTypes[],Transactions[[#This Row],[TTR]],TT_COL_LONGORSHORT)="S",0,Transactions[[#This Row],[CalCashImpact]])
)</f>
        <v>56670.55</v>
      </c>
      <c r="N1483" s="161">
        <f>IF(VLOOKUP(Transactions[[#This Row],[Symbol]],Symbols[],COLUMN(Symbols[Currency])-COLUMN(Symbols[])+1,FALSE)=
       VLOOKUP(Transactions[[#This Row],[Account]],Accounts[],COLUMN(Accounts[Currency])-COLUMN(Accounts[])+1,FALSE),
     Transactions[[#This Row],[OrigCashImpact]],
     0
)</f>
        <v>56670.55</v>
      </c>
      <c r="O14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1154827.7400000002</v>
      </c>
      <c r="P14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-2500</v>
      </c>
      <c r="Q14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10300</v>
      </c>
      <c r="R1483" s="41">
        <f>ROW()</f>
        <v>1483</v>
      </c>
      <c r="S14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-54375.892698317301</v>
      </c>
      <c r="T14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224028.67791706731</v>
      </c>
      <c r="U14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12800</v>
      </c>
      <c r="V1483" s="166">
        <f>IF(INDEX(TransTypes[],Transactions[[#This Row],[TTR]],TT_COL_GLFlag)=1,Transactions[[#This Row],[CalCashImpact]]+Transactions[[#This Row],[CostImpact]],0)</f>
        <v>2294.6573016827024</v>
      </c>
      <c r="W1483" s="167">
        <f>Transactions[[#This Row],[Amount]]*INDEX(TransTypes[],Transactions[[#This Row],[TTR]],TT_COL_AmntSign)</f>
        <v>56670.55</v>
      </c>
      <c r="X1483" s="167">
        <f>IF(INDEX(TransTypes[],Transactions[[#This Row],[TTR]],TT_COL_LONGORSHORT)="S",
      IF( OR(INDEX(TransTypes[],Transactions[[#This Row],[TTR]],TT_COL_GLFlag)=1, INDEX(TransTypes[], Transactions[[#This Row],[TTR]], TT_COL_ShareTransferFlag)=1),
            Transactions[[#This Row],[CostImpact]]*-1,
            Transactions[[#This Row],[CalCashImpact]]
      ),
     0
)</f>
        <v>0</v>
      </c>
      <c r="Y1483" s="168" t="str">
        <f>VLOOKUP(Transactions[[#This Row],[Symbol]],Symbols[], COLUMN(Symbols[Currency])-COLUMN(Symbols[])+1,FALSE)</f>
        <v>CNY</v>
      </c>
    </row>
    <row r="1484" spans="1:25">
      <c r="A1484" s="155" t="s">
        <v>82</v>
      </c>
      <c r="B1484" s="156">
        <v>42821</v>
      </c>
      <c r="C1484" s="155" t="s">
        <v>115</v>
      </c>
      <c r="D1484" s="155"/>
      <c r="E1484" s="155" t="s">
        <v>726</v>
      </c>
      <c r="F1484" s="157">
        <v>500</v>
      </c>
      <c r="G1484" s="158">
        <v>87.15</v>
      </c>
      <c r="H1484" s="157">
        <v>61.01</v>
      </c>
      <c r="I1484" s="157"/>
      <c r="J1484" s="159">
        <v>43513.99</v>
      </c>
      <c r="K1484" s="6" t="s">
        <v>641</v>
      </c>
      <c r="L1484" s="20">
        <f>IF(ISNA(MATCH(Transactions[[#This Row],[TransType]],TransTypes[TransType],0)),1,MATCH(Transactions[[#This Row],[TransType]],TransTypes[TransType],0))</f>
        <v>3</v>
      </c>
      <c r="M1484" s="160">
        <f>IF( AND( INDEX(TransTypes[],Transactions[[#This Row],[TTR]],TT_COL_GLFlag)=1, INDEX(TransTypes[],Transactions[[#This Row],[TTR]],TT_COL_LONGORSHORT)="S" ),
      Transactions[[#This Row],[PL]],
      IF(INDEX(TransTypes[],Transactions[[#This Row],[TTR]],TT_COL_LONGORSHORT)="S",0,Transactions[[#This Row],[CalCashImpact]])
)</f>
        <v>43513.99</v>
      </c>
      <c r="N1484" s="161">
        <f>IF(VLOOKUP(Transactions[[#This Row],[Symbol]],Symbols[],COLUMN(Symbols[Currency])-COLUMN(Symbols[])+1,FALSE)=
       VLOOKUP(Transactions[[#This Row],[Account]],Accounts[],COLUMN(Accounts[Currency])-COLUMN(Accounts[])+1,FALSE),
     Transactions[[#This Row],[OrigCashImpact]],
     0
)</f>
        <v>43513.99</v>
      </c>
      <c r="O14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1198341.7300000002</v>
      </c>
      <c r="P14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4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84" s="41">
        <f>ROW()</f>
        <v>1484</v>
      </c>
      <c r="S14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-5490</v>
      </c>
      <c r="T14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484" s="166">
        <f>IF(INDEX(TransTypes[],Transactions[[#This Row],[TTR]],TT_COL_GLFlag)=1,Transactions[[#This Row],[CalCashImpact]]+Transactions[[#This Row],[CostImpact]],0)</f>
        <v>38023.99</v>
      </c>
      <c r="W1484" s="167">
        <f>Transactions[[#This Row],[Amount]]*INDEX(TransTypes[],Transactions[[#This Row],[TTR]],TT_COL_AmntSign)</f>
        <v>43513.99</v>
      </c>
      <c r="X1484" s="167">
        <f>IF(INDEX(TransTypes[],Transactions[[#This Row],[TTR]],TT_COL_LONGORSHORT)="S",
      IF( OR(INDEX(TransTypes[],Transactions[[#This Row],[TTR]],TT_COL_GLFlag)=1, INDEX(TransTypes[], Transactions[[#This Row],[TTR]], TT_COL_ShareTransferFlag)=1),
            Transactions[[#This Row],[CostImpact]]*-1,
            Transactions[[#This Row],[CalCashImpact]]
      ),
     0
)</f>
        <v>0</v>
      </c>
      <c r="Y1484" s="168" t="str">
        <f>VLOOKUP(Transactions[[#This Row],[Symbol]],Symbols[], COLUMN(Symbols[Currency])-COLUMN(Symbols[])+1,FALSE)</f>
        <v>CNY</v>
      </c>
    </row>
    <row r="1485" spans="1:25">
      <c r="A1485" s="155" t="s">
        <v>82</v>
      </c>
      <c r="B1485" s="156">
        <v>42821</v>
      </c>
      <c r="C1485" s="155" t="s">
        <v>115</v>
      </c>
      <c r="D1485" s="155"/>
      <c r="E1485" s="155" t="s">
        <v>732</v>
      </c>
      <c r="F1485" s="157">
        <v>1700</v>
      </c>
      <c r="G1485" s="158">
        <v>27.44</v>
      </c>
      <c r="H1485" s="157">
        <v>66.239999999999995</v>
      </c>
      <c r="I1485" s="157"/>
      <c r="J1485" s="159">
        <v>46581.760000000002</v>
      </c>
      <c r="K1485" s="6" t="s">
        <v>641</v>
      </c>
      <c r="L1485" s="20">
        <f>IF(ISNA(MATCH(Transactions[[#This Row],[TransType]],TransTypes[TransType],0)),1,MATCH(Transactions[[#This Row],[TransType]],TransTypes[TransType],0))</f>
        <v>3</v>
      </c>
      <c r="M1485" s="160">
        <f>IF( AND( INDEX(TransTypes[],Transactions[[#This Row],[TTR]],TT_COL_GLFlag)=1, INDEX(TransTypes[],Transactions[[#This Row],[TTR]],TT_COL_LONGORSHORT)="S" ),
      Transactions[[#This Row],[PL]],
      IF(INDEX(TransTypes[],Transactions[[#This Row],[TTR]],TT_COL_LONGORSHORT)="S",0,Transactions[[#This Row],[CalCashImpact]])
)</f>
        <v>46581.760000000002</v>
      </c>
      <c r="N1485" s="161">
        <f>IF(VLOOKUP(Transactions[[#This Row],[Symbol]],Symbols[],COLUMN(Symbols[Currency])-COLUMN(Symbols[])+1,FALSE)=
       VLOOKUP(Transactions[[#This Row],[Account]],Accounts[],COLUMN(Accounts[Currency])-COLUMN(Accounts[])+1,FALSE),
     Transactions[[#This Row],[OrigCashImpact]],
     0
)</f>
        <v>46581.760000000002</v>
      </c>
      <c r="O14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1244923.4900000002</v>
      </c>
      <c r="P14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-1700</v>
      </c>
      <c r="Q14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5300</v>
      </c>
      <c r="R1485" s="41">
        <f>ROW()</f>
        <v>1485</v>
      </c>
      <c r="S14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-46501.693142857141</v>
      </c>
      <c r="T14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144975.86685714286</v>
      </c>
      <c r="U14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485" s="166">
        <f>IF(INDEX(TransTypes[],Transactions[[#This Row],[TTR]],TT_COL_GLFlag)=1,Transactions[[#This Row],[CalCashImpact]]+Transactions[[#This Row],[CostImpact]],0)</f>
        <v>80.066857142861409</v>
      </c>
      <c r="W1485" s="167">
        <f>Transactions[[#This Row],[Amount]]*INDEX(TransTypes[],Transactions[[#This Row],[TTR]],TT_COL_AmntSign)</f>
        <v>46581.760000000002</v>
      </c>
      <c r="X1485" s="167">
        <f>IF(INDEX(TransTypes[],Transactions[[#This Row],[TTR]],TT_COL_LONGORSHORT)="S",
      IF( OR(INDEX(TransTypes[],Transactions[[#This Row],[TTR]],TT_COL_GLFlag)=1, INDEX(TransTypes[], Transactions[[#This Row],[TTR]], TT_COL_ShareTransferFlag)=1),
            Transactions[[#This Row],[CostImpact]]*-1,
            Transactions[[#This Row],[CalCashImpact]]
      ),
     0
)</f>
        <v>0</v>
      </c>
      <c r="Y1485" s="168" t="str">
        <f>VLOOKUP(Transactions[[#This Row],[Symbol]],Symbols[], COLUMN(Symbols[Currency])-COLUMN(Symbols[])+1,FALSE)</f>
        <v>CNY</v>
      </c>
    </row>
    <row r="1486" spans="1:25">
      <c r="A1486" s="155" t="s">
        <v>82</v>
      </c>
      <c r="B1486" s="156">
        <v>42821</v>
      </c>
      <c r="C1486" s="155" t="s">
        <v>115</v>
      </c>
      <c r="D1486" s="155"/>
      <c r="E1486" s="155" t="s">
        <v>268</v>
      </c>
      <c r="F1486" s="157">
        <v>30000</v>
      </c>
      <c r="G1486" s="158">
        <v>7.99</v>
      </c>
      <c r="H1486" s="157">
        <v>991.92</v>
      </c>
      <c r="I1486" s="157"/>
      <c r="J1486" s="159">
        <v>238708.08</v>
      </c>
      <c r="K1486" s="6" t="s">
        <v>641</v>
      </c>
      <c r="L1486" s="20">
        <f>IF(ISNA(MATCH(Transactions[[#This Row],[TransType]],TransTypes[TransType],0)),1,MATCH(Transactions[[#This Row],[TransType]],TransTypes[TransType],0))</f>
        <v>3</v>
      </c>
      <c r="M1486" s="160">
        <f>IF( AND( INDEX(TransTypes[],Transactions[[#This Row],[TTR]],TT_COL_GLFlag)=1, INDEX(TransTypes[],Transactions[[#This Row],[TTR]],TT_COL_LONGORSHORT)="S" ),
      Transactions[[#This Row],[PL]],
      IF(INDEX(TransTypes[],Transactions[[#This Row],[TTR]],TT_COL_LONGORSHORT)="S",0,Transactions[[#This Row],[CalCashImpact]])
)</f>
        <v>238708.08</v>
      </c>
      <c r="N1486" s="161">
        <f>IF(VLOOKUP(Transactions[[#This Row],[Symbol]],Symbols[],COLUMN(Symbols[Currency])-COLUMN(Symbols[])+1,FALSE)=
       VLOOKUP(Transactions[[#This Row],[Account]],Accounts[],COLUMN(Accounts[Currency])-COLUMN(Accounts[])+1,FALSE),
     Transactions[[#This Row],[OrigCashImpact]],
     0
)</f>
        <v>0</v>
      </c>
      <c r="O14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1244923.4900000002</v>
      </c>
      <c r="P14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-30000</v>
      </c>
      <c r="Q14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486" s="41">
        <f>ROW()</f>
        <v>1486</v>
      </c>
      <c r="S14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-262152.08249999996</v>
      </c>
      <c r="T14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87384.027500000026</v>
      </c>
      <c r="U14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40000</v>
      </c>
      <c r="V1486" s="166">
        <f>IF(INDEX(TransTypes[],Transactions[[#This Row],[TTR]],TT_COL_GLFlag)=1,Transactions[[#This Row],[CalCashImpact]]+Transactions[[#This Row],[CostImpact]],0)</f>
        <v>-23444.002499999973</v>
      </c>
      <c r="W1486" s="167">
        <f>Transactions[[#This Row],[Amount]]*INDEX(TransTypes[],Transactions[[#This Row],[TTR]],TT_COL_AmntSign)</f>
        <v>238708.08</v>
      </c>
      <c r="X1486" s="167">
        <f>IF(INDEX(TransTypes[],Transactions[[#This Row],[TTR]],TT_COL_LONGORSHORT)="S",
      IF( OR(INDEX(TransTypes[],Transactions[[#This Row],[TTR]],TT_COL_GLFlag)=1, INDEX(TransTypes[], Transactions[[#This Row],[TTR]], TT_COL_ShareTransferFlag)=1),
            Transactions[[#This Row],[CostImpact]]*-1,
            Transactions[[#This Row],[CalCashImpact]]
      ),
     0
)</f>
        <v>0</v>
      </c>
      <c r="Y1486" s="168" t="str">
        <f>VLOOKUP(Transactions[[#This Row],[Symbol]],Symbols[], COLUMN(Symbols[Currency])-COLUMN(Symbols[])+1,FALSE)</f>
        <v>HKD</v>
      </c>
    </row>
    <row r="1487" spans="1:25">
      <c r="A1487" s="155" t="s">
        <v>82</v>
      </c>
      <c r="B1487" s="156">
        <v>42821</v>
      </c>
      <c r="C1487" s="155" t="s">
        <v>115</v>
      </c>
      <c r="D1487" s="155"/>
      <c r="E1487" s="155" t="s">
        <v>258</v>
      </c>
      <c r="F1487" s="157">
        <v>5000</v>
      </c>
      <c r="G1487" s="158">
        <v>9.57</v>
      </c>
      <c r="H1487" s="157">
        <v>197.73</v>
      </c>
      <c r="I1487" s="157"/>
      <c r="J1487" s="159">
        <v>47652.27</v>
      </c>
      <c r="K1487" s="6" t="s">
        <v>641</v>
      </c>
      <c r="L1487" s="20">
        <f>IF(ISNA(MATCH(Transactions[[#This Row],[TransType]],TransTypes[TransType],0)),1,MATCH(Transactions[[#This Row],[TransType]],TransTypes[TransType],0))</f>
        <v>3</v>
      </c>
      <c r="M1487" s="160">
        <f>IF( AND( INDEX(TransTypes[],Transactions[[#This Row],[TTR]],TT_COL_GLFlag)=1, INDEX(TransTypes[],Transactions[[#This Row],[TTR]],TT_COL_LONGORSHORT)="S" ),
      Transactions[[#This Row],[PL]],
      IF(INDEX(TransTypes[],Transactions[[#This Row],[TTR]],TT_COL_LONGORSHORT)="S",0,Transactions[[#This Row],[CalCashImpact]])
)</f>
        <v>47652.27</v>
      </c>
      <c r="N1487" s="161">
        <f>IF(VLOOKUP(Transactions[[#This Row],[Symbol]],Symbols[],COLUMN(Symbols[Currency])-COLUMN(Symbols[])+1,FALSE)=
       VLOOKUP(Transactions[[#This Row],[Account]],Accounts[],COLUMN(Accounts[Currency])-COLUMN(Accounts[])+1,FALSE),
     Transactions[[#This Row],[OrigCashImpact]],
     0
)</f>
        <v>0</v>
      </c>
      <c r="O14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1244923.4900000002</v>
      </c>
      <c r="P14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4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v>
      </c>
      <c r="R1487" s="41">
        <f>ROW()</f>
        <v>1487</v>
      </c>
      <c r="S14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-32984.821666666663</v>
      </c>
      <c r="T14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164924.10833333334</v>
      </c>
      <c r="U14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v>
      </c>
      <c r="V1487" s="166">
        <f>IF(INDEX(TransTypes[],Transactions[[#This Row],[TTR]],TT_COL_GLFlag)=1,Transactions[[#This Row],[CalCashImpact]]+Transactions[[#This Row],[CostImpact]],0)</f>
        <v>14667.448333333334</v>
      </c>
      <c r="W1487" s="167">
        <f>Transactions[[#This Row],[Amount]]*INDEX(TransTypes[],Transactions[[#This Row],[TTR]],TT_COL_AmntSign)</f>
        <v>47652.27</v>
      </c>
      <c r="X1487" s="167">
        <f>IF(INDEX(TransTypes[],Transactions[[#This Row],[TTR]],TT_COL_LONGORSHORT)="S",
      IF( OR(INDEX(TransTypes[],Transactions[[#This Row],[TTR]],TT_COL_GLFlag)=1, INDEX(TransTypes[], Transactions[[#This Row],[TTR]], TT_COL_ShareTransferFlag)=1),
            Transactions[[#This Row],[CostImpact]]*-1,
            Transactions[[#This Row],[CalCashImpact]]
      ),
     0
)</f>
        <v>0</v>
      </c>
      <c r="Y1487" s="168" t="str">
        <f>VLOOKUP(Transactions[[#This Row],[Symbol]],Symbols[], COLUMN(Symbols[Currency])-COLUMN(Symbols[])+1,FALSE)</f>
        <v>HKD</v>
      </c>
    </row>
    <row r="1488" spans="1:25">
      <c r="A1488" s="155" t="s">
        <v>82</v>
      </c>
      <c r="B1488" s="156">
        <v>42821</v>
      </c>
      <c r="C1488" s="155" t="s">
        <v>156</v>
      </c>
      <c r="D1488" s="155"/>
      <c r="E1488" s="155" t="s">
        <v>210</v>
      </c>
      <c r="F1488" s="157">
        <v>93206.69</v>
      </c>
      <c r="G1488" s="158">
        <f>Transactions[[#This Row],[Amount]]/Transactions[[#This Row],[Qty]]</f>
        <v>1.1299306948889614</v>
      </c>
      <c r="H1488" s="157"/>
      <c r="I1488" s="157"/>
      <c r="J1488" s="159">
        <v>105317.1</v>
      </c>
      <c r="K1488" s="6" t="s">
        <v>733</v>
      </c>
      <c r="L1488" s="20">
        <f>IF(ISNA(MATCH(Transactions[[#This Row],[TransType]],TransTypes[TransType],0)),1,MATCH(Transactions[[#This Row],[TransType]],TransTypes[TransType],0))</f>
        <v>17</v>
      </c>
      <c r="M1488" s="160">
        <f>IF( AND( INDEX(TransTypes[],Transactions[[#This Row],[TTR]],TT_COL_GLFlag)=1, INDEX(TransTypes[],Transactions[[#This Row],[TTR]],TT_COL_LONGORSHORT)="S" ),
      Transactions[[#This Row],[PL]],
      IF(INDEX(TransTypes[],Transactions[[#This Row],[TTR]],TT_COL_LONGORSHORT)="S",0,Transactions[[#This Row],[CalCashImpact]])
)</f>
        <v>-105317.1</v>
      </c>
      <c r="N1488" s="161">
        <f>IF(VLOOKUP(Transactions[[#This Row],[Symbol]],Symbols[],COLUMN(Symbols[Currency])-COLUMN(Symbols[])+1,FALSE)=
       VLOOKUP(Transactions[[#This Row],[Account]],Accounts[],COLUMN(Accounts[Currency])-COLUMN(Accounts[])+1,FALSE),
     Transactions[[#This Row],[OrigCashImpact]],
     0
)</f>
        <v>0</v>
      </c>
      <c r="O14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1244923.4900000002</v>
      </c>
      <c r="P14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88" s="41">
        <f>ROW()</f>
        <v>1488</v>
      </c>
      <c r="S14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88" s="166">
        <f>IF(INDEX(TransTypes[],Transactions[[#This Row],[TTR]],TT_COL_GLFlag)=1,Transactions[[#This Row],[CalCashImpact]]+Transactions[[#This Row],[CostImpact]],0)</f>
        <v>0</v>
      </c>
      <c r="W1488" s="167">
        <f>Transactions[[#This Row],[Amount]]*INDEX(TransTypes[],Transactions[[#This Row],[TTR]],TT_COL_AmntSign)</f>
        <v>-105317.1</v>
      </c>
      <c r="X1488" s="167">
        <f>IF(INDEX(TransTypes[],Transactions[[#This Row],[TTR]],TT_COL_LONGORSHORT)="S",
      IF( OR(INDEX(TransTypes[],Transactions[[#This Row],[TTR]],TT_COL_GLFlag)=1, INDEX(TransTypes[], Transactions[[#This Row],[TTR]], TT_COL_ShareTransferFlag)=1),
            Transactions[[#This Row],[CostImpact]]*-1,
            Transactions[[#This Row],[CalCashImpact]]
      ),
     0
)</f>
        <v>0</v>
      </c>
      <c r="Y1488" s="168" t="str">
        <f>VLOOKUP(Transactions[[#This Row],[Symbol]],Symbols[], COLUMN(Symbols[Currency])-COLUMN(Symbols[])+1,FALSE)</f>
        <v>HKD</v>
      </c>
    </row>
    <row r="1489" spans="1:25">
      <c r="A1489" s="155" t="s">
        <v>82</v>
      </c>
      <c r="B1489" s="156">
        <v>42821</v>
      </c>
      <c r="C1489" s="155" t="s">
        <v>239</v>
      </c>
      <c r="D1489" s="155"/>
      <c r="E1489" s="155" t="s">
        <v>211</v>
      </c>
      <c r="F1489" s="157">
        <v>93206.69</v>
      </c>
      <c r="G1489" s="158">
        <v>1</v>
      </c>
      <c r="H1489" s="157"/>
      <c r="I1489" s="157"/>
      <c r="J1489" s="159">
        <v>93206.69</v>
      </c>
      <c r="K1489" s="6" t="s">
        <v>734</v>
      </c>
      <c r="L1489" s="20">
        <f>IF(ISNA(MATCH(Transactions[[#This Row],[TransType]],TransTypes[TransType],0)),1,MATCH(Transactions[[#This Row],[TransType]],TransTypes[TransType],0))</f>
        <v>18</v>
      </c>
      <c r="M1489" s="160">
        <f>IF( AND( INDEX(TransTypes[],Transactions[[#This Row],[TTR]],TT_COL_GLFlag)=1, INDEX(TransTypes[],Transactions[[#This Row],[TTR]],TT_COL_LONGORSHORT)="S" ),
      Transactions[[#This Row],[PL]],
      IF(INDEX(TransTypes[],Transactions[[#This Row],[TTR]],TT_COL_LONGORSHORT)="S",0,Transactions[[#This Row],[CalCashImpact]])
)</f>
        <v>93206.69</v>
      </c>
      <c r="N1489" s="161">
        <f>IF(VLOOKUP(Transactions[[#This Row],[Symbol]],Symbols[],COLUMN(Symbols[Currency])-COLUMN(Symbols[])+1,FALSE)=
       VLOOKUP(Transactions[[#This Row],[Account]],Accounts[],COLUMN(Accounts[Currency])-COLUMN(Accounts[])+1,FALSE),
     Transactions[[#This Row],[OrigCashImpact]],
     0
)</f>
        <v>93206.69</v>
      </c>
      <c r="O14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1338130.1800000002</v>
      </c>
      <c r="P14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4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89" s="41">
        <f>ROW()</f>
        <v>1489</v>
      </c>
      <c r="S14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4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489" s="166">
        <f>IF(INDEX(TransTypes[],Transactions[[#This Row],[TTR]],TT_COL_GLFlag)=1,Transactions[[#This Row],[CalCashImpact]]+Transactions[[#This Row],[CostImpact]],0)</f>
        <v>0</v>
      </c>
      <c r="W1489" s="167">
        <f>Transactions[[#This Row],[Amount]]*INDEX(TransTypes[],Transactions[[#This Row],[TTR]],TT_COL_AmntSign)</f>
        <v>93206.69</v>
      </c>
      <c r="X1489" s="167">
        <f>IF(INDEX(TransTypes[],Transactions[[#This Row],[TTR]],TT_COL_LONGORSHORT)="S",
      IF( OR(INDEX(TransTypes[],Transactions[[#This Row],[TTR]],TT_COL_GLFlag)=1, INDEX(TransTypes[], Transactions[[#This Row],[TTR]], TT_COL_ShareTransferFlag)=1),
            Transactions[[#This Row],[CostImpact]]*-1,
            Transactions[[#This Row],[CalCashImpact]]
      ),
     0
)</f>
        <v>0</v>
      </c>
      <c r="Y1489" s="168" t="str">
        <f>VLOOKUP(Transactions[[#This Row],[Symbol]],Symbols[], COLUMN(Symbols[Currency])-COLUMN(Symbols[])+1,FALSE)</f>
        <v>CNY</v>
      </c>
    </row>
    <row r="1490" spans="1:25">
      <c r="A1490" s="155" t="s">
        <v>82</v>
      </c>
      <c r="B1490" s="156">
        <v>42822</v>
      </c>
      <c r="C1490" s="155" t="s">
        <v>113</v>
      </c>
      <c r="D1490" s="155"/>
      <c r="E1490" s="155" t="s">
        <v>735</v>
      </c>
      <c r="F1490" s="157">
        <v>1000</v>
      </c>
      <c r="G1490" s="158">
        <v>2.29</v>
      </c>
      <c r="H1490" s="157">
        <v>0</v>
      </c>
      <c r="I1490" s="157"/>
      <c r="J1490" s="159">
        <v>2290</v>
      </c>
      <c r="K1490" s="6" t="s">
        <v>641</v>
      </c>
      <c r="L1490" s="20">
        <f>IF(ISNA(MATCH(Transactions[[#This Row],[TransType]],TransTypes[TransType],0)),1,MATCH(Transactions[[#This Row],[TransType]],TransTypes[TransType],0))</f>
        <v>2</v>
      </c>
      <c r="M1490" s="160">
        <f>IF( AND( INDEX(TransTypes[],Transactions[[#This Row],[TTR]],TT_COL_GLFlag)=1, INDEX(TransTypes[],Transactions[[#This Row],[TTR]],TT_COL_LONGORSHORT)="S" ),
      Transactions[[#This Row],[PL]],
      IF(INDEX(TransTypes[],Transactions[[#This Row],[TTR]],TT_COL_LONGORSHORT)="S",0,Transactions[[#This Row],[CalCashImpact]])
)</f>
        <v>-2290</v>
      </c>
      <c r="N1490" s="161">
        <f>IF(VLOOKUP(Transactions[[#This Row],[Symbol]],Symbols[],COLUMN(Symbols[Currency])-COLUMN(Symbols[])+1,FALSE)=
       VLOOKUP(Transactions[[#This Row],[Account]],Accounts[],COLUMN(Accounts[Currency])-COLUMN(Accounts[])+1,FALSE),
     Transactions[[#This Row],[OrigCashImpact]],
     0
)</f>
        <v>-2290</v>
      </c>
      <c r="O14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1335840.1800000002</v>
      </c>
      <c r="P14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490" s="41">
        <f>ROW()</f>
        <v>1490</v>
      </c>
      <c r="S14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2290</v>
      </c>
      <c r="T14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2290</v>
      </c>
      <c r="U14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490" s="166">
        <f>IF(INDEX(TransTypes[],Transactions[[#This Row],[TTR]],TT_COL_GLFlag)=1,Transactions[[#This Row],[CalCashImpact]]+Transactions[[#This Row],[CostImpact]],0)</f>
        <v>0</v>
      </c>
      <c r="W1490" s="167">
        <f>Transactions[[#This Row],[Amount]]*INDEX(TransTypes[],Transactions[[#This Row],[TTR]],TT_COL_AmntSign)</f>
        <v>-2290</v>
      </c>
      <c r="X1490" s="167">
        <f>IF(INDEX(TransTypes[],Transactions[[#This Row],[TTR]],TT_COL_LONGORSHORT)="S",
      IF( OR(INDEX(TransTypes[],Transactions[[#This Row],[TTR]],TT_COL_GLFlag)=1, INDEX(TransTypes[], Transactions[[#This Row],[TTR]], TT_COL_ShareTransferFlag)=1),
            Transactions[[#This Row],[CostImpact]]*-1,
            Transactions[[#This Row],[CalCashImpact]]
      ),
     0
)</f>
        <v>0</v>
      </c>
      <c r="Y1490" s="168" t="str">
        <f>VLOOKUP(Transactions[[#This Row],[Symbol]],Symbols[], COLUMN(Symbols[Currency])-COLUMN(Symbols[])+1,FALSE)</f>
        <v>CNY</v>
      </c>
    </row>
    <row r="1491" spans="1:25">
      <c r="A1491" s="155" t="s">
        <v>82</v>
      </c>
      <c r="B1491" s="156">
        <v>42823</v>
      </c>
      <c r="C1491" s="155" t="s">
        <v>113</v>
      </c>
      <c r="D1491" s="155"/>
      <c r="E1491" s="155" t="s">
        <v>493</v>
      </c>
      <c r="F1491" s="157">
        <v>5000</v>
      </c>
      <c r="G1491" s="158">
        <v>46.35</v>
      </c>
      <c r="H1491" s="157">
        <v>92.7</v>
      </c>
      <c r="I1491" s="157"/>
      <c r="J1491" s="159">
        <v>231842.7</v>
      </c>
      <c r="K1491" s="6" t="s">
        <v>641</v>
      </c>
      <c r="L1491" s="20">
        <f>IF(ISNA(MATCH(Transactions[[#This Row],[TransType]],TransTypes[TransType],0)),1,MATCH(Transactions[[#This Row],[TransType]],TransTypes[TransType],0))</f>
        <v>2</v>
      </c>
      <c r="M1491" s="160">
        <f>IF( AND( INDEX(TransTypes[],Transactions[[#This Row],[TTR]],TT_COL_GLFlag)=1, INDEX(TransTypes[],Transactions[[#This Row],[TTR]],TT_COL_LONGORSHORT)="S" ),
      Transactions[[#This Row],[PL]],
      IF(INDEX(TransTypes[],Transactions[[#This Row],[TTR]],TT_COL_LONGORSHORT)="S",0,Transactions[[#This Row],[CalCashImpact]])
)</f>
        <v>-231842.7</v>
      </c>
      <c r="N1491" s="161">
        <f>IF(VLOOKUP(Transactions[[#This Row],[Symbol]],Symbols[],COLUMN(Symbols[Currency])-COLUMN(Symbols[])+1,FALSE)=
       VLOOKUP(Transactions[[#This Row],[Account]],Accounts[],COLUMN(Accounts[Currency])-COLUMN(Accounts[])+1,FALSE),
     Transactions[[#This Row],[OrigCashImpact]],
     0
)</f>
        <v>-231842.7</v>
      </c>
      <c r="O14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1103997.4800000002</v>
      </c>
      <c r="P14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4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491" s="41">
        <f>ROW()</f>
        <v>1491</v>
      </c>
      <c r="S14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231842.7</v>
      </c>
      <c r="T14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231842.7</v>
      </c>
      <c r="U14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491" s="166">
        <f>IF(INDEX(TransTypes[],Transactions[[#This Row],[TTR]],TT_COL_GLFlag)=1,Transactions[[#This Row],[CalCashImpact]]+Transactions[[#This Row],[CostImpact]],0)</f>
        <v>0</v>
      </c>
      <c r="W1491" s="167">
        <f>Transactions[[#This Row],[Amount]]*INDEX(TransTypes[],Transactions[[#This Row],[TTR]],TT_COL_AmntSign)</f>
        <v>-231842.7</v>
      </c>
      <c r="X1491" s="167">
        <f>IF(INDEX(TransTypes[],Transactions[[#This Row],[TTR]],TT_COL_LONGORSHORT)="S",
      IF( OR(INDEX(TransTypes[],Transactions[[#This Row],[TTR]],TT_COL_GLFlag)=1, INDEX(TransTypes[], Transactions[[#This Row],[TTR]], TT_COL_ShareTransferFlag)=1),
            Transactions[[#This Row],[CostImpact]]*-1,
            Transactions[[#This Row],[CalCashImpact]]
      ),
     0
)</f>
        <v>0</v>
      </c>
      <c r="Y1491" s="168" t="str">
        <f>VLOOKUP(Transactions[[#This Row],[Symbol]],Symbols[], COLUMN(Symbols[Currency])-COLUMN(Symbols[])+1,FALSE)</f>
        <v>CNY</v>
      </c>
    </row>
    <row r="1492" spans="1:25">
      <c r="A1492" s="155" t="s">
        <v>82</v>
      </c>
      <c r="B1492" s="156">
        <v>42823</v>
      </c>
      <c r="C1492" s="155" t="s">
        <v>115</v>
      </c>
      <c r="D1492" s="155"/>
      <c r="E1492" s="155" t="s">
        <v>675</v>
      </c>
      <c r="F1492" s="157">
        <v>76000</v>
      </c>
      <c r="G1492" s="158">
        <v>1.3380000000000001</v>
      </c>
      <c r="H1492" s="157">
        <v>40.68</v>
      </c>
      <c r="I1492" s="157"/>
      <c r="J1492" s="159">
        <v>101647.32</v>
      </c>
      <c r="K1492" s="6" t="s">
        <v>641</v>
      </c>
      <c r="L1492" s="20">
        <f>IF(ISNA(MATCH(Transactions[[#This Row],[TransType]],TransTypes[TransType],0)),1,MATCH(Transactions[[#This Row],[TransType]],TransTypes[TransType],0))</f>
        <v>3</v>
      </c>
      <c r="M1492" s="160">
        <f>IF( AND( INDEX(TransTypes[],Transactions[[#This Row],[TTR]],TT_COL_GLFlag)=1, INDEX(TransTypes[],Transactions[[#This Row],[TTR]],TT_COL_LONGORSHORT)="S" ),
      Transactions[[#This Row],[PL]],
      IF(INDEX(TransTypes[],Transactions[[#This Row],[TTR]],TT_COL_LONGORSHORT)="S",0,Transactions[[#This Row],[CalCashImpact]])
)</f>
        <v>101647.32</v>
      </c>
      <c r="N1492" s="161">
        <f>IF(VLOOKUP(Transactions[[#This Row],[Symbol]],Symbols[],COLUMN(Symbols[Currency])-COLUMN(Symbols[])+1,FALSE)=
       VLOOKUP(Transactions[[#This Row],[Account]],Accounts[],COLUMN(Accounts[Currency])-COLUMN(Accounts[])+1,FALSE),
     Transactions[[#This Row],[OrigCashImpact]],
     0
)</f>
        <v>101647.32</v>
      </c>
      <c r="O14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1205644.8000000003</v>
      </c>
      <c r="P14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-76000</v>
      </c>
      <c r="Q14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92" s="41">
        <f>ROW()</f>
        <v>1492</v>
      </c>
      <c r="S14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-97842.716022522509</v>
      </c>
      <c r="T14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76000</v>
      </c>
      <c r="V1492" s="166">
        <f>IF(INDEX(TransTypes[],Transactions[[#This Row],[TTR]],TT_COL_GLFlag)=1,Transactions[[#This Row],[CalCashImpact]]+Transactions[[#This Row],[CostImpact]],0)</f>
        <v>3804.6039774774981</v>
      </c>
      <c r="W1492" s="167">
        <f>Transactions[[#This Row],[Amount]]*INDEX(TransTypes[],Transactions[[#This Row],[TTR]],TT_COL_AmntSign)</f>
        <v>101647.32</v>
      </c>
      <c r="X1492" s="167">
        <f>IF(INDEX(TransTypes[],Transactions[[#This Row],[TTR]],TT_COL_LONGORSHORT)="S",
      IF( OR(INDEX(TransTypes[],Transactions[[#This Row],[TTR]],TT_COL_GLFlag)=1, INDEX(TransTypes[], Transactions[[#This Row],[TTR]], TT_COL_ShareTransferFlag)=1),
            Transactions[[#This Row],[CostImpact]]*-1,
            Transactions[[#This Row],[CalCashImpact]]
      ),
     0
)</f>
        <v>0</v>
      </c>
      <c r="Y1492" s="168" t="str">
        <f>VLOOKUP(Transactions[[#This Row],[Symbol]],Symbols[], COLUMN(Symbols[Currency])-COLUMN(Symbols[])+1,FALSE)</f>
        <v>CNY</v>
      </c>
    </row>
    <row r="1493" spans="1:25">
      <c r="A1493" s="155" t="s">
        <v>82</v>
      </c>
      <c r="B1493" s="156">
        <v>42823</v>
      </c>
      <c r="C1493" s="155" t="s">
        <v>113</v>
      </c>
      <c r="D1493" s="155"/>
      <c r="E1493" s="155" t="s">
        <v>732</v>
      </c>
      <c r="F1493" s="157">
        <v>5000</v>
      </c>
      <c r="G1493" s="158">
        <v>26.66</v>
      </c>
      <c r="H1493" s="157">
        <v>55.99</v>
      </c>
      <c r="I1493" s="157"/>
      <c r="J1493" s="159">
        <v>133355.99</v>
      </c>
      <c r="K1493" s="6" t="s">
        <v>641</v>
      </c>
      <c r="L1493" s="20">
        <f>IF(ISNA(MATCH(Transactions[[#This Row],[TransType]],TransTypes[TransType],0)),1,MATCH(Transactions[[#This Row],[TransType]],TransTypes[TransType],0))</f>
        <v>2</v>
      </c>
      <c r="M1493" s="160">
        <f>IF( AND( INDEX(TransTypes[],Transactions[[#This Row],[TTR]],TT_COL_GLFlag)=1, INDEX(TransTypes[],Transactions[[#This Row],[TTR]],TT_COL_LONGORSHORT)="S" ),
      Transactions[[#This Row],[PL]],
      IF(INDEX(TransTypes[],Transactions[[#This Row],[TTR]],TT_COL_LONGORSHORT)="S",0,Transactions[[#This Row],[CalCashImpact]])
)</f>
        <v>-133355.99</v>
      </c>
      <c r="N1493" s="161">
        <f>IF(VLOOKUP(Transactions[[#This Row],[Symbol]],Symbols[],COLUMN(Symbols[Currency])-COLUMN(Symbols[])+1,FALSE)=
       VLOOKUP(Transactions[[#This Row],[Account]],Accounts[],COLUMN(Accounts[Currency])-COLUMN(Accounts[])+1,FALSE),
     Transactions[[#This Row],[OrigCashImpact]],
     0
)</f>
        <v>-133355.99</v>
      </c>
      <c r="O14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1072288.81</v>
      </c>
      <c r="P14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4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10300</v>
      </c>
      <c r="R1493" s="41">
        <f>ROW()</f>
        <v>1493</v>
      </c>
      <c r="S14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133355.99</v>
      </c>
      <c r="T14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278331.85685714288</v>
      </c>
      <c r="U14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10300</v>
      </c>
      <c r="V1493" s="166">
        <f>IF(INDEX(TransTypes[],Transactions[[#This Row],[TTR]],TT_COL_GLFlag)=1,Transactions[[#This Row],[CalCashImpact]]+Transactions[[#This Row],[CostImpact]],0)</f>
        <v>0</v>
      </c>
      <c r="W1493" s="167">
        <f>Transactions[[#This Row],[Amount]]*INDEX(TransTypes[],Transactions[[#This Row],[TTR]],TT_COL_AmntSign)</f>
        <v>-133355.99</v>
      </c>
      <c r="X1493" s="167">
        <f>IF(INDEX(TransTypes[],Transactions[[#This Row],[TTR]],TT_COL_LONGORSHORT)="S",
      IF( OR(INDEX(TransTypes[],Transactions[[#This Row],[TTR]],TT_COL_GLFlag)=1, INDEX(TransTypes[], Transactions[[#This Row],[TTR]], TT_COL_ShareTransferFlag)=1),
            Transactions[[#This Row],[CostImpact]]*-1,
            Transactions[[#This Row],[CalCashImpact]]
      ),
     0
)</f>
        <v>0</v>
      </c>
      <c r="Y1493" s="168" t="str">
        <f>VLOOKUP(Transactions[[#This Row],[Symbol]],Symbols[], COLUMN(Symbols[Currency])-COLUMN(Symbols[])+1,FALSE)</f>
        <v>CNY</v>
      </c>
    </row>
    <row r="1494" spans="1:25">
      <c r="A1494" s="155" t="s">
        <v>82</v>
      </c>
      <c r="B1494" s="156">
        <v>42823</v>
      </c>
      <c r="C1494" s="155" t="s">
        <v>113</v>
      </c>
      <c r="D1494" s="155"/>
      <c r="E1494" s="155" t="s">
        <v>736</v>
      </c>
      <c r="F1494" s="157">
        <v>10000</v>
      </c>
      <c r="G1494" s="158">
        <v>25.55</v>
      </c>
      <c r="H1494" s="157">
        <v>107.31</v>
      </c>
      <c r="I1494" s="157"/>
      <c r="J1494" s="159">
        <v>255607.31</v>
      </c>
      <c r="K1494" s="6" t="s">
        <v>641</v>
      </c>
      <c r="L1494" s="20">
        <f>IF(ISNA(MATCH(Transactions[[#This Row],[TransType]],TransTypes[TransType],0)),1,MATCH(Transactions[[#This Row],[TransType]],TransTypes[TransType],0))</f>
        <v>2</v>
      </c>
      <c r="M1494" s="160">
        <f>IF( AND( INDEX(TransTypes[],Transactions[[#This Row],[TTR]],TT_COL_GLFlag)=1, INDEX(TransTypes[],Transactions[[#This Row],[TTR]],TT_COL_LONGORSHORT)="S" ),
      Transactions[[#This Row],[PL]],
      IF(INDEX(TransTypes[],Transactions[[#This Row],[TTR]],TT_COL_LONGORSHORT)="S",0,Transactions[[#This Row],[CalCashImpact]])
)</f>
        <v>-255607.31</v>
      </c>
      <c r="N1494" s="161">
        <f>IF(VLOOKUP(Transactions[[#This Row],[Symbol]],Symbols[],COLUMN(Symbols[Currency])-COLUMN(Symbols[])+1,FALSE)=
       VLOOKUP(Transactions[[#This Row],[Account]],Accounts[],COLUMN(Accounts[Currency])-COLUMN(Accounts[])+1,FALSE),
     Transactions[[#This Row],[OrigCashImpact]],
     0
)</f>
        <v>-255607.31</v>
      </c>
      <c r="O14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816681.50000000023</v>
      </c>
      <c r="P14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4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494" s="41">
        <f>ROW()</f>
        <v>1494</v>
      </c>
      <c r="S14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255607.31</v>
      </c>
      <c r="T14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255607.31</v>
      </c>
      <c r="U14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494" s="166">
        <f>IF(INDEX(TransTypes[],Transactions[[#This Row],[TTR]],TT_COL_GLFlag)=1,Transactions[[#This Row],[CalCashImpact]]+Transactions[[#This Row],[CostImpact]],0)</f>
        <v>0</v>
      </c>
      <c r="W1494" s="167">
        <f>Transactions[[#This Row],[Amount]]*INDEX(TransTypes[],Transactions[[#This Row],[TTR]],TT_COL_AmntSign)</f>
        <v>-255607.31</v>
      </c>
      <c r="X1494" s="167">
        <f>IF(INDEX(TransTypes[],Transactions[[#This Row],[TTR]],TT_COL_LONGORSHORT)="S",
      IF( OR(INDEX(TransTypes[],Transactions[[#This Row],[TTR]],TT_COL_GLFlag)=1, INDEX(TransTypes[], Transactions[[#This Row],[TTR]], TT_COL_ShareTransferFlag)=1),
            Transactions[[#This Row],[CostImpact]]*-1,
            Transactions[[#This Row],[CalCashImpact]]
      ),
     0
)</f>
        <v>0</v>
      </c>
      <c r="Y1494" s="168" t="str">
        <f>VLOOKUP(Transactions[[#This Row],[Symbol]],Symbols[], COLUMN(Symbols[Currency])-COLUMN(Symbols[])+1,FALSE)</f>
        <v>CNY</v>
      </c>
    </row>
    <row r="1495" spans="1:25">
      <c r="A1495" s="155" t="s">
        <v>82</v>
      </c>
      <c r="B1495" s="156">
        <v>42823</v>
      </c>
      <c r="C1495" s="155" t="s">
        <v>113</v>
      </c>
      <c r="D1495" s="155"/>
      <c r="E1495" s="155" t="s">
        <v>464</v>
      </c>
      <c r="F1495" s="157">
        <v>200</v>
      </c>
      <c r="G1495" s="158">
        <v>385.1</v>
      </c>
      <c r="H1495" s="157">
        <v>32.35</v>
      </c>
      <c r="I1495" s="157"/>
      <c r="J1495" s="159">
        <v>77052.350000000006</v>
      </c>
      <c r="K1495" s="6" t="s">
        <v>641</v>
      </c>
      <c r="L1495" s="20">
        <f>IF(ISNA(MATCH(Transactions[[#This Row],[TransType]],TransTypes[TransType],0)),1,MATCH(Transactions[[#This Row],[TransType]],TransTypes[TransType],0))</f>
        <v>2</v>
      </c>
      <c r="M1495" s="160">
        <f>IF( AND( INDEX(TransTypes[],Transactions[[#This Row],[TTR]],TT_COL_GLFlag)=1, INDEX(TransTypes[],Transactions[[#This Row],[TTR]],TT_COL_LONGORSHORT)="S" ),
      Transactions[[#This Row],[PL]],
      IF(INDEX(TransTypes[],Transactions[[#This Row],[TTR]],TT_COL_LONGORSHORT)="S",0,Transactions[[#This Row],[CalCashImpact]])
)</f>
        <v>-77052.350000000006</v>
      </c>
      <c r="N1495" s="161">
        <f>IF(VLOOKUP(Transactions[[#This Row],[Symbol]],Symbols[],COLUMN(Symbols[Currency])-COLUMN(Symbols[])+1,FALSE)=
       VLOOKUP(Transactions[[#This Row],[Account]],Accounts[],COLUMN(Accounts[Currency])-COLUMN(Accounts[])+1,FALSE),
     Transactions[[#This Row],[OrigCashImpact]],
     0
)</f>
        <v>-77052.350000000006</v>
      </c>
      <c r="O14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739629.15000000014</v>
      </c>
      <c r="P14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4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1495" s="41">
        <f>ROW()</f>
        <v>1495</v>
      </c>
      <c r="S14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77052.350000000006</v>
      </c>
      <c r="T14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269283.28348400001</v>
      </c>
      <c r="U14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495" s="166">
        <f>IF(INDEX(TransTypes[],Transactions[[#This Row],[TTR]],TT_COL_GLFlag)=1,Transactions[[#This Row],[CalCashImpact]]+Transactions[[#This Row],[CostImpact]],0)</f>
        <v>0</v>
      </c>
      <c r="W1495" s="167">
        <f>Transactions[[#This Row],[Amount]]*INDEX(TransTypes[],Transactions[[#This Row],[TTR]],TT_COL_AmntSign)</f>
        <v>-77052.350000000006</v>
      </c>
      <c r="X1495" s="167">
        <f>IF(INDEX(TransTypes[],Transactions[[#This Row],[TTR]],TT_COL_LONGORSHORT)="S",
      IF( OR(INDEX(TransTypes[],Transactions[[#This Row],[TTR]],TT_COL_GLFlag)=1, INDEX(TransTypes[], Transactions[[#This Row],[TTR]], TT_COL_ShareTransferFlag)=1),
            Transactions[[#This Row],[CostImpact]]*-1,
            Transactions[[#This Row],[CalCashImpact]]
      ),
     0
)</f>
        <v>0</v>
      </c>
      <c r="Y1495" s="168" t="str">
        <f>VLOOKUP(Transactions[[#This Row],[Symbol]],Symbols[], COLUMN(Symbols[Currency])-COLUMN(Symbols[])+1,FALSE)</f>
        <v>CNY</v>
      </c>
    </row>
    <row r="1496" spans="1:25">
      <c r="A1496" s="155" t="s">
        <v>82</v>
      </c>
      <c r="B1496" s="156">
        <v>42823</v>
      </c>
      <c r="C1496" s="155" t="s">
        <v>115</v>
      </c>
      <c r="D1496" s="155"/>
      <c r="E1496" s="155" t="s">
        <v>684</v>
      </c>
      <c r="F1496" s="157">
        <v>12000</v>
      </c>
      <c r="G1496" s="158">
        <v>24.678000000000001</v>
      </c>
      <c r="H1496" s="157">
        <v>420.51</v>
      </c>
      <c r="I1496" s="157"/>
      <c r="J1496" s="159">
        <v>295715.49</v>
      </c>
      <c r="K1496" s="6" t="s">
        <v>641</v>
      </c>
      <c r="L1496" s="20">
        <f>IF(ISNA(MATCH(Transactions[[#This Row],[TransType]],TransTypes[TransType],0)),1,MATCH(Transactions[[#This Row],[TransType]],TransTypes[TransType],0))</f>
        <v>3</v>
      </c>
      <c r="M1496" s="160">
        <f>IF( AND( INDEX(TransTypes[],Transactions[[#This Row],[TTR]],TT_COL_GLFlag)=1, INDEX(TransTypes[],Transactions[[#This Row],[TTR]],TT_COL_LONGORSHORT)="S" ),
      Transactions[[#This Row],[PL]],
      IF(INDEX(TransTypes[],Transactions[[#This Row],[TTR]],TT_COL_LONGORSHORT)="S",0,Transactions[[#This Row],[CalCashImpact]])
)</f>
        <v>295715.49</v>
      </c>
      <c r="N1496" s="161">
        <f>IF(VLOOKUP(Transactions[[#This Row],[Symbol]],Symbols[],COLUMN(Symbols[Currency])-COLUMN(Symbols[])+1,FALSE)=
       VLOOKUP(Transactions[[#This Row],[Account]],Accounts[],COLUMN(Accounts[Currency])-COLUMN(Accounts[])+1,FALSE),
     Transactions[[#This Row],[OrigCashImpact]],
     0
)</f>
        <v>295715.49</v>
      </c>
      <c r="O14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1035344.6400000001</v>
      </c>
      <c r="P14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-12000</v>
      </c>
      <c r="Q14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496" s="41">
        <f>ROW()</f>
        <v>1496</v>
      </c>
      <c r="S14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-285524.02807999996</v>
      </c>
      <c r="T14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4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496" s="166">
        <f>IF(INDEX(TransTypes[],Transactions[[#This Row],[TTR]],TT_COL_GLFlag)=1,Transactions[[#This Row],[CalCashImpact]]+Transactions[[#This Row],[CostImpact]],0)</f>
        <v>10191.461920000031</v>
      </c>
      <c r="W1496" s="167">
        <f>Transactions[[#This Row],[Amount]]*INDEX(TransTypes[],Transactions[[#This Row],[TTR]],TT_COL_AmntSign)</f>
        <v>295715.49</v>
      </c>
      <c r="X1496" s="167">
        <f>IF(INDEX(TransTypes[],Transactions[[#This Row],[TTR]],TT_COL_LONGORSHORT)="S",
      IF( OR(INDEX(TransTypes[],Transactions[[#This Row],[TTR]],TT_COL_GLFlag)=1, INDEX(TransTypes[], Transactions[[#This Row],[TTR]], TT_COL_ShareTransferFlag)=1),
            Transactions[[#This Row],[CostImpact]]*-1,
            Transactions[[#This Row],[CalCashImpact]]
      ),
     0
)</f>
        <v>0</v>
      </c>
      <c r="Y1496" s="168" t="str">
        <f>VLOOKUP(Transactions[[#This Row],[Symbol]],Symbols[], COLUMN(Symbols[Currency])-COLUMN(Symbols[])+1,FALSE)</f>
        <v>CNY</v>
      </c>
    </row>
    <row r="1497" spans="1:25">
      <c r="A1497" s="155" t="s">
        <v>82</v>
      </c>
      <c r="B1497" s="156">
        <v>42824</v>
      </c>
      <c r="C1497" s="155" t="s">
        <v>115</v>
      </c>
      <c r="D1497" s="155"/>
      <c r="E1497" s="155" t="s">
        <v>493</v>
      </c>
      <c r="F1497" s="157">
        <v>1000</v>
      </c>
      <c r="G1497" s="158">
        <v>47.04</v>
      </c>
      <c r="H1497" s="157">
        <v>65.86</v>
      </c>
      <c r="I1497" s="157"/>
      <c r="J1497" s="159">
        <v>46974.14</v>
      </c>
      <c r="K1497" s="6" t="s">
        <v>641</v>
      </c>
      <c r="L1497" s="20">
        <f>IF(ISNA(MATCH(Transactions[[#This Row],[TransType]],TransTypes[TransType],0)),1,MATCH(Transactions[[#This Row],[TransType]],TransTypes[TransType],0))</f>
        <v>3</v>
      </c>
      <c r="M1497" s="160">
        <f>IF( AND( INDEX(TransTypes[],Transactions[[#This Row],[TTR]],TT_COL_GLFlag)=1, INDEX(TransTypes[],Transactions[[#This Row],[TTR]],TT_COL_LONGORSHORT)="S" ),
      Transactions[[#This Row],[PL]],
      IF(INDEX(TransTypes[],Transactions[[#This Row],[TTR]],TT_COL_LONGORSHORT)="S",0,Transactions[[#This Row],[CalCashImpact]])
)</f>
        <v>46974.14</v>
      </c>
      <c r="N1497" s="161">
        <f>IF(VLOOKUP(Transactions[[#This Row],[Symbol]],Symbols[],COLUMN(Symbols[Currency])-COLUMN(Symbols[])+1,FALSE)=
       VLOOKUP(Transactions[[#This Row],[Account]],Accounts[],COLUMN(Accounts[Currency])-COLUMN(Accounts[])+1,FALSE),
     Transactions[[#This Row],[OrigCashImpact]],
     0
)</f>
        <v>46974.14</v>
      </c>
      <c r="O14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1082318.7800000003</v>
      </c>
      <c r="P14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4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497" s="41">
        <f>ROW()</f>
        <v>1497</v>
      </c>
      <c r="S14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-46368.54</v>
      </c>
      <c r="T14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185474.16</v>
      </c>
      <c r="U14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497" s="166">
        <f>IF(INDEX(TransTypes[],Transactions[[#This Row],[TTR]],TT_COL_GLFlag)=1,Transactions[[#This Row],[CalCashImpact]]+Transactions[[#This Row],[CostImpact]],0)</f>
        <v>605.59999999999854</v>
      </c>
      <c r="W1497" s="167">
        <f>Transactions[[#This Row],[Amount]]*INDEX(TransTypes[],Transactions[[#This Row],[TTR]],TT_COL_AmntSign)</f>
        <v>46974.14</v>
      </c>
      <c r="X1497" s="167">
        <f>IF(INDEX(TransTypes[],Transactions[[#This Row],[TTR]],TT_COL_LONGORSHORT)="S",
      IF( OR(INDEX(TransTypes[],Transactions[[#This Row],[TTR]],TT_COL_GLFlag)=1, INDEX(TransTypes[], Transactions[[#This Row],[TTR]], TT_COL_ShareTransferFlag)=1),
            Transactions[[#This Row],[CostImpact]]*-1,
            Transactions[[#This Row],[CalCashImpact]]
      ),
     0
)</f>
        <v>0</v>
      </c>
      <c r="Y1497" s="168" t="str">
        <f>VLOOKUP(Transactions[[#This Row],[Symbol]],Symbols[], COLUMN(Symbols[Currency])-COLUMN(Symbols[])+1,FALSE)</f>
        <v>CNY</v>
      </c>
    </row>
    <row r="1498" spans="1:25">
      <c r="A1498" s="155" t="s">
        <v>82</v>
      </c>
      <c r="B1498" s="156">
        <v>42824</v>
      </c>
      <c r="C1498" s="155" t="s">
        <v>115</v>
      </c>
      <c r="D1498" s="155"/>
      <c r="E1498" s="155" t="s">
        <v>471</v>
      </c>
      <c r="F1498" s="157">
        <v>2000</v>
      </c>
      <c r="G1498" s="158">
        <v>20.2</v>
      </c>
      <c r="H1498" s="157">
        <v>56.56</v>
      </c>
      <c r="I1498" s="157"/>
      <c r="J1498" s="159">
        <v>40343.440000000002</v>
      </c>
      <c r="K1498" s="6" t="s">
        <v>641</v>
      </c>
      <c r="L1498" s="20">
        <f>IF(ISNA(MATCH(Transactions[[#This Row],[TransType]],TransTypes[TransType],0)),1,MATCH(Transactions[[#This Row],[TransType]],TransTypes[TransType],0))</f>
        <v>3</v>
      </c>
      <c r="M1498" s="160">
        <f>IF( AND( INDEX(TransTypes[],Transactions[[#This Row],[TTR]],TT_COL_GLFlag)=1, INDEX(TransTypes[],Transactions[[#This Row],[TTR]],TT_COL_LONGORSHORT)="S" ),
      Transactions[[#This Row],[PL]],
      IF(INDEX(TransTypes[],Transactions[[#This Row],[TTR]],TT_COL_LONGORSHORT)="S",0,Transactions[[#This Row],[CalCashImpact]])
)</f>
        <v>40343.440000000002</v>
      </c>
      <c r="N1498" s="161">
        <f>IF(VLOOKUP(Transactions[[#This Row],[Symbol]],Symbols[],COLUMN(Symbols[Currency])-COLUMN(Symbols[])+1,FALSE)=
       VLOOKUP(Transactions[[#This Row],[Account]],Accounts[],COLUMN(Accounts[Currency])-COLUMN(Accounts[])+1,FALSE),
     Transactions[[#This Row],[OrigCashImpact]],
     0
)</f>
        <v>40343.440000000002</v>
      </c>
      <c r="O14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1122662.2200000002</v>
      </c>
      <c r="P14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498" s="41">
        <f>ROW()</f>
        <v>1498</v>
      </c>
      <c r="S14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-38325.324000000001</v>
      </c>
      <c r="T14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114975.97200000001</v>
      </c>
      <c r="U14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498" s="166">
        <f>IF(INDEX(TransTypes[],Transactions[[#This Row],[TTR]],TT_COL_GLFlag)=1,Transactions[[#This Row],[CalCashImpact]]+Transactions[[#This Row],[CostImpact]],0)</f>
        <v>2018.1160000000018</v>
      </c>
      <c r="W1498" s="167">
        <f>Transactions[[#This Row],[Amount]]*INDEX(TransTypes[],Transactions[[#This Row],[TTR]],TT_COL_AmntSign)</f>
        <v>40343.440000000002</v>
      </c>
      <c r="X1498" s="167">
        <f>IF(INDEX(TransTypes[],Transactions[[#This Row],[TTR]],TT_COL_LONGORSHORT)="S",
      IF( OR(INDEX(TransTypes[],Transactions[[#This Row],[TTR]],TT_COL_GLFlag)=1, INDEX(TransTypes[], Transactions[[#This Row],[TTR]], TT_COL_ShareTransferFlag)=1),
            Transactions[[#This Row],[CostImpact]]*-1,
            Transactions[[#This Row],[CalCashImpact]]
      ),
     0
)</f>
        <v>0</v>
      </c>
      <c r="Y1498" s="168" t="str">
        <f>VLOOKUP(Transactions[[#This Row],[Symbol]],Symbols[], COLUMN(Symbols[Currency])-COLUMN(Symbols[])+1,FALSE)</f>
        <v>CNY</v>
      </c>
    </row>
    <row r="1499" spans="1:25">
      <c r="A1499" s="155" t="s">
        <v>82</v>
      </c>
      <c r="B1499" s="156">
        <v>42824</v>
      </c>
      <c r="C1499" s="155" t="s">
        <v>115</v>
      </c>
      <c r="D1499" s="155"/>
      <c r="E1499" s="155" t="s">
        <v>710</v>
      </c>
      <c r="F1499" s="157">
        <v>2000</v>
      </c>
      <c r="G1499" s="158">
        <v>27.28</v>
      </c>
      <c r="H1499" s="157">
        <v>76.38</v>
      </c>
      <c r="I1499" s="157"/>
      <c r="J1499" s="159">
        <v>54483.62</v>
      </c>
      <c r="K1499" s="6" t="s">
        <v>641</v>
      </c>
      <c r="L1499" s="20">
        <f>IF(ISNA(MATCH(Transactions[[#This Row],[TransType]],TransTypes[TransType],0)),1,MATCH(Transactions[[#This Row],[TransType]],TransTypes[TransType],0))</f>
        <v>3</v>
      </c>
      <c r="M1499" s="160">
        <f>IF( AND( INDEX(TransTypes[],Transactions[[#This Row],[TTR]],TT_COL_GLFlag)=1, INDEX(TransTypes[],Transactions[[#This Row],[TTR]],TT_COL_LONGORSHORT)="S" ),
      Transactions[[#This Row],[PL]],
      IF(INDEX(TransTypes[],Transactions[[#This Row],[TTR]],TT_COL_LONGORSHORT)="S",0,Transactions[[#This Row],[CalCashImpact]])
)</f>
        <v>54483.62</v>
      </c>
      <c r="N1499" s="161">
        <f>IF(VLOOKUP(Transactions[[#This Row],[Symbol]],Symbols[],COLUMN(Symbols[Currency])-COLUMN(Symbols[])+1,FALSE)=
       VLOOKUP(Transactions[[#This Row],[Account]],Accounts[],COLUMN(Accounts[Currency])-COLUMN(Accounts[])+1,FALSE),
     Transactions[[#This Row],[OrigCashImpact]],
     0
)</f>
        <v>54483.62</v>
      </c>
      <c r="O14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1177145.8400000003</v>
      </c>
      <c r="P14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4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3400</v>
      </c>
      <c r="R1499" s="41">
        <f>ROW()</f>
        <v>1499</v>
      </c>
      <c r="S14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-44211.129198412702</v>
      </c>
      <c r="T14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75158.919637301587</v>
      </c>
      <c r="U14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5400</v>
      </c>
      <c r="V1499" s="166">
        <f>IF(INDEX(TransTypes[],Transactions[[#This Row],[TTR]],TT_COL_GLFlag)=1,Transactions[[#This Row],[CalCashImpact]]+Transactions[[#This Row],[CostImpact]],0)</f>
        <v>10272.490801587301</v>
      </c>
      <c r="W1499" s="167">
        <f>Transactions[[#This Row],[Amount]]*INDEX(TransTypes[],Transactions[[#This Row],[TTR]],TT_COL_AmntSign)</f>
        <v>54483.62</v>
      </c>
      <c r="X1499" s="167">
        <f>IF(INDEX(TransTypes[],Transactions[[#This Row],[TTR]],TT_COL_LONGORSHORT)="S",
      IF( OR(INDEX(TransTypes[],Transactions[[#This Row],[TTR]],TT_COL_GLFlag)=1, INDEX(TransTypes[], Transactions[[#This Row],[TTR]], TT_COL_ShareTransferFlag)=1),
            Transactions[[#This Row],[CostImpact]]*-1,
            Transactions[[#This Row],[CalCashImpact]]
      ),
     0
)</f>
        <v>0</v>
      </c>
      <c r="Y1499" s="168" t="str">
        <f>VLOOKUP(Transactions[[#This Row],[Symbol]],Symbols[], COLUMN(Symbols[Currency])-COLUMN(Symbols[])+1,FALSE)</f>
        <v>CNY</v>
      </c>
    </row>
    <row r="1500" spans="1:25">
      <c r="A1500" s="155" t="s">
        <v>82</v>
      </c>
      <c r="B1500" s="156">
        <v>42824</v>
      </c>
      <c r="C1500" s="155" t="s">
        <v>115</v>
      </c>
      <c r="D1500" s="155"/>
      <c r="E1500" s="155" t="s">
        <v>488</v>
      </c>
      <c r="F1500" s="157">
        <v>3000</v>
      </c>
      <c r="G1500" s="158">
        <v>22.15</v>
      </c>
      <c r="H1500" s="157">
        <v>94.36</v>
      </c>
      <c r="I1500" s="157"/>
      <c r="J1500" s="159">
        <v>66355.64</v>
      </c>
      <c r="K1500" s="6" t="s">
        <v>641</v>
      </c>
      <c r="L1500" s="20">
        <f>IF(ISNA(MATCH(Transactions[[#This Row],[TransType]],TransTypes[TransType],0)),1,MATCH(Transactions[[#This Row],[TransType]],TransTypes[TransType],0))</f>
        <v>3</v>
      </c>
      <c r="M1500" s="160">
        <f>IF( AND( INDEX(TransTypes[],Transactions[[#This Row],[TTR]],TT_COL_GLFlag)=1, INDEX(TransTypes[],Transactions[[#This Row],[TTR]],TT_COL_LONGORSHORT)="S" ),
      Transactions[[#This Row],[PL]],
      IF(INDEX(TransTypes[],Transactions[[#This Row],[TTR]],TT_COL_LONGORSHORT)="S",0,Transactions[[#This Row],[CalCashImpact]])
)</f>
        <v>66355.64</v>
      </c>
      <c r="N1500" s="161">
        <f>IF(VLOOKUP(Transactions[[#This Row],[Symbol]],Symbols[],COLUMN(Symbols[Currency])-COLUMN(Symbols[])+1,FALSE)=
       VLOOKUP(Transactions[[#This Row],[Account]],Accounts[],COLUMN(Accounts[Currency])-COLUMN(Accounts[])+1,FALSE),
     Transactions[[#This Row],[OrigCashImpact]],
     0
)</f>
        <v>66355.64</v>
      </c>
      <c r="O15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1243501.4800000002</v>
      </c>
      <c r="P15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500" s="41">
        <f>ROW()</f>
        <v>1500</v>
      </c>
      <c r="S15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-56555.141399999993</v>
      </c>
      <c r="T15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226220.5656</v>
      </c>
      <c r="U15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15000</v>
      </c>
      <c r="V1500" s="166">
        <f>IF(INDEX(TransTypes[],Transactions[[#This Row],[TTR]],TT_COL_GLFlag)=1,Transactions[[#This Row],[CalCashImpact]]+Transactions[[#This Row],[CostImpact]],0)</f>
        <v>9800.4986000000063</v>
      </c>
      <c r="W1500" s="167">
        <f>Transactions[[#This Row],[Amount]]*INDEX(TransTypes[],Transactions[[#This Row],[TTR]],TT_COL_AmntSign)</f>
        <v>66355.64</v>
      </c>
      <c r="X1500" s="167">
        <f>IF(INDEX(TransTypes[],Transactions[[#This Row],[TTR]],TT_COL_LONGORSHORT)="S",
      IF( OR(INDEX(TransTypes[],Transactions[[#This Row],[TTR]],TT_COL_GLFlag)=1, INDEX(TransTypes[], Transactions[[#This Row],[TTR]], TT_COL_ShareTransferFlag)=1),
            Transactions[[#This Row],[CostImpact]]*-1,
            Transactions[[#This Row],[CalCashImpact]]
      ),
     0
)</f>
        <v>0</v>
      </c>
      <c r="Y1500" s="168" t="str">
        <f>VLOOKUP(Transactions[[#This Row],[Symbol]],Symbols[], COLUMN(Symbols[Currency])-COLUMN(Symbols[])+1,FALSE)</f>
        <v>CNY</v>
      </c>
    </row>
    <row r="1501" spans="1:25">
      <c r="A1501" s="155" t="s">
        <v>82</v>
      </c>
      <c r="B1501" s="156">
        <v>42824</v>
      </c>
      <c r="C1501" s="155" t="s">
        <v>115</v>
      </c>
      <c r="D1501" s="155"/>
      <c r="E1501" s="155" t="s">
        <v>468</v>
      </c>
      <c r="F1501" s="157">
        <v>2000</v>
      </c>
      <c r="G1501" s="158">
        <v>36.54</v>
      </c>
      <c r="H1501" s="157">
        <v>103.77</v>
      </c>
      <c r="I1501" s="157"/>
      <c r="J1501" s="159">
        <v>72976.23</v>
      </c>
      <c r="K1501" s="6" t="s">
        <v>641</v>
      </c>
      <c r="L1501" s="20">
        <f>IF(ISNA(MATCH(Transactions[[#This Row],[TransType]],TransTypes[TransType],0)),1,MATCH(Transactions[[#This Row],[TransType]],TransTypes[TransType],0))</f>
        <v>3</v>
      </c>
      <c r="M1501" s="160">
        <f>IF( AND( INDEX(TransTypes[],Transactions[[#This Row],[TTR]],TT_COL_GLFlag)=1, INDEX(TransTypes[],Transactions[[#This Row],[TTR]],TT_COL_LONGORSHORT)="S" ),
      Transactions[[#This Row],[PL]],
      IF(INDEX(TransTypes[],Transactions[[#This Row],[TTR]],TT_COL_LONGORSHORT)="S",0,Transactions[[#This Row],[CalCashImpact]])
)</f>
        <v>72976.23</v>
      </c>
      <c r="N1501" s="161">
        <f>IF(VLOOKUP(Transactions[[#This Row],[Symbol]],Symbols[],COLUMN(Symbols[Currency])-COLUMN(Symbols[])+1,FALSE)=
       VLOOKUP(Transactions[[#This Row],[Account]],Accounts[],COLUMN(Accounts[Currency])-COLUMN(Accounts[])+1,FALSE),
     Transactions[[#This Row],[OrigCashImpact]],
     0
)</f>
        <v>72976.23</v>
      </c>
      <c r="O15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1316477.7100000002</v>
      </c>
      <c r="P15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501" s="41">
        <f>ROW()</f>
        <v>1501</v>
      </c>
      <c r="S15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-72916.494285714274</v>
      </c>
      <c r="T15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182291.23571428569</v>
      </c>
      <c r="U15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501" s="166">
        <f>IF(INDEX(TransTypes[],Transactions[[#This Row],[TTR]],TT_COL_GLFlag)=1,Transactions[[#This Row],[CalCashImpact]]+Transactions[[#This Row],[CostImpact]],0)</f>
        <v>59.73571428572177</v>
      </c>
      <c r="W1501" s="167">
        <f>Transactions[[#This Row],[Amount]]*INDEX(TransTypes[],Transactions[[#This Row],[TTR]],TT_COL_AmntSign)</f>
        <v>72976.23</v>
      </c>
      <c r="X1501" s="167">
        <f>IF(INDEX(TransTypes[],Transactions[[#This Row],[TTR]],TT_COL_LONGORSHORT)="S",
      IF( OR(INDEX(TransTypes[],Transactions[[#This Row],[TTR]],TT_COL_GLFlag)=1, INDEX(TransTypes[], Transactions[[#This Row],[TTR]], TT_COL_ShareTransferFlag)=1),
            Transactions[[#This Row],[CostImpact]]*-1,
            Transactions[[#This Row],[CalCashImpact]]
      ),
     0
)</f>
        <v>0</v>
      </c>
      <c r="Y1501" s="168" t="str">
        <f>VLOOKUP(Transactions[[#This Row],[Symbol]],Symbols[], COLUMN(Symbols[Currency])-COLUMN(Symbols[])+1,FALSE)</f>
        <v>CNY</v>
      </c>
    </row>
    <row r="1502" spans="1:25">
      <c r="A1502" s="155" t="s">
        <v>82</v>
      </c>
      <c r="B1502" s="156">
        <v>42824</v>
      </c>
      <c r="C1502" s="155" t="s">
        <v>115</v>
      </c>
      <c r="D1502" s="155"/>
      <c r="E1502" s="155" t="s">
        <v>736</v>
      </c>
      <c r="F1502" s="157">
        <v>5000</v>
      </c>
      <c r="G1502" s="158">
        <v>24.346</v>
      </c>
      <c r="H1502" s="157">
        <v>172.87</v>
      </c>
      <c r="I1502" s="157"/>
      <c r="J1502" s="159">
        <v>121557.13</v>
      </c>
      <c r="K1502" s="6" t="s">
        <v>641</v>
      </c>
      <c r="L1502" s="20">
        <f>IF(ISNA(MATCH(Transactions[[#This Row],[TransType]],TransTypes[TransType],0)),1,MATCH(Transactions[[#This Row],[TransType]],TransTypes[TransType],0))</f>
        <v>3</v>
      </c>
      <c r="M1502" s="160">
        <f>IF( AND( INDEX(TransTypes[],Transactions[[#This Row],[TTR]],TT_COL_GLFlag)=1, INDEX(TransTypes[],Transactions[[#This Row],[TTR]],TT_COL_LONGORSHORT)="S" ),
      Transactions[[#This Row],[PL]],
      IF(INDEX(TransTypes[],Transactions[[#This Row],[TTR]],TT_COL_LONGORSHORT)="S",0,Transactions[[#This Row],[CalCashImpact]])
)</f>
        <v>121557.13</v>
      </c>
      <c r="N1502" s="161">
        <f>IF(VLOOKUP(Transactions[[#This Row],[Symbol]],Symbols[],COLUMN(Symbols[Currency])-COLUMN(Symbols[])+1,FALSE)=
       VLOOKUP(Transactions[[#This Row],[Account]],Accounts[],COLUMN(Accounts[Currency])-COLUMN(Accounts[])+1,FALSE),
     Transactions[[#This Row],[OrigCashImpact]],
     0
)</f>
        <v>121557.13</v>
      </c>
      <c r="O15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1438034.8400000003</v>
      </c>
      <c r="P15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5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502" s="41">
        <f>ROW()</f>
        <v>1502</v>
      </c>
      <c r="S15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-127803.655</v>
      </c>
      <c r="T15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127803.655</v>
      </c>
      <c r="U15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502" s="166">
        <f>IF(INDEX(TransTypes[],Transactions[[#This Row],[TTR]],TT_COL_GLFlag)=1,Transactions[[#This Row],[CalCashImpact]]+Transactions[[#This Row],[CostImpact]],0)</f>
        <v>-6246.5249999999942</v>
      </c>
      <c r="W1502" s="167">
        <f>Transactions[[#This Row],[Amount]]*INDEX(TransTypes[],Transactions[[#This Row],[TTR]],TT_COL_AmntSign)</f>
        <v>121557.13</v>
      </c>
      <c r="X1502" s="167">
        <f>IF(INDEX(TransTypes[],Transactions[[#This Row],[TTR]],TT_COL_LONGORSHORT)="S",
      IF( OR(INDEX(TransTypes[],Transactions[[#This Row],[TTR]],TT_COL_GLFlag)=1, INDEX(TransTypes[], Transactions[[#This Row],[TTR]], TT_COL_ShareTransferFlag)=1),
            Transactions[[#This Row],[CostImpact]]*-1,
            Transactions[[#This Row],[CalCashImpact]]
      ),
     0
)</f>
        <v>0</v>
      </c>
      <c r="Y1502" s="168" t="str">
        <f>VLOOKUP(Transactions[[#This Row],[Symbol]],Symbols[], COLUMN(Symbols[Currency])-COLUMN(Symbols[])+1,FALSE)</f>
        <v>CNY</v>
      </c>
    </row>
    <row r="1503" spans="1:25">
      <c r="A1503" s="155" t="s">
        <v>82</v>
      </c>
      <c r="B1503" s="156">
        <v>42824</v>
      </c>
      <c r="C1503" s="155" t="s">
        <v>115</v>
      </c>
      <c r="D1503" s="155"/>
      <c r="E1503" s="155" t="s">
        <v>732</v>
      </c>
      <c r="F1503" s="157">
        <v>5100</v>
      </c>
      <c r="G1503" s="158">
        <v>26.263000000000002</v>
      </c>
      <c r="H1503" s="157">
        <v>190.21</v>
      </c>
      <c r="I1503" s="157"/>
      <c r="J1503" s="159">
        <v>133751.09</v>
      </c>
      <c r="K1503" s="6" t="s">
        <v>641</v>
      </c>
      <c r="L1503" s="20">
        <f>IF(ISNA(MATCH(Transactions[[#This Row],[TransType]],TransTypes[TransType],0)),1,MATCH(Transactions[[#This Row],[TransType]],TransTypes[TransType],0))</f>
        <v>3</v>
      </c>
      <c r="M1503" s="160">
        <f>IF( AND( INDEX(TransTypes[],Transactions[[#This Row],[TTR]],TT_COL_GLFlag)=1, INDEX(TransTypes[],Transactions[[#This Row],[TTR]],TT_COL_LONGORSHORT)="S" ),
      Transactions[[#This Row],[PL]],
      IF(INDEX(TransTypes[],Transactions[[#This Row],[TTR]],TT_COL_LONGORSHORT)="S",0,Transactions[[#This Row],[CalCashImpact]])
)</f>
        <v>133751.09</v>
      </c>
      <c r="N1503" s="161">
        <f>IF(VLOOKUP(Transactions[[#This Row],[Symbol]],Symbols[],COLUMN(Symbols[Currency])-COLUMN(Symbols[])+1,FALSE)=
       VLOOKUP(Transactions[[#This Row],[Account]],Accounts[],COLUMN(Accounts[Currency])-COLUMN(Accounts[])+1,FALSE),
     Transactions[[#This Row],[OrigCashImpact]],
     0
)</f>
        <v>133751.09</v>
      </c>
      <c r="O15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1571785.9300000002</v>
      </c>
      <c r="P15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-5100</v>
      </c>
      <c r="Q15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5200</v>
      </c>
      <c r="R1503" s="41">
        <f>ROW()</f>
        <v>1503</v>
      </c>
      <c r="S15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-137814.80290984744</v>
      </c>
      <c r="T15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140517.05394729544</v>
      </c>
      <c r="U15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10300</v>
      </c>
      <c r="V1503" s="166">
        <f>IF(INDEX(TransTypes[],Transactions[[#This Row],[TTR]],TT_COL_GLFlag)=1,Transactions[[#This Row],[CalCashImpact]]+Transactions[[#This Row],[CostImpact]],0)</f>
        <v>-4063.7129098474397</v>
      </c>
      <c r="W1503" s="167">
        <f>Transactions[[#This Row],[Amount]]*INDEX(TransTypes[],Transactions[[#This Row],[TTR]],TT_COL_AmntSign)</f>
        <v>133751.09</v>
      </c>
      <c r="X1503" s="167">
        <f>IF(INDEX(TransTypes[],Transactions[[#This Row],[TTR]],TT_COL_LONGORSHORT)="S",
      IF( OR(INDEX(TransTypes[],Transactions[[#This Row],[TTR]],TT_COL_GLFlag)=1, INDEX(TransTypes[], Transactions[[#This Row],[TTR]], TT_COL_ShareTransferFlag)=1),
            Transactions[[#This Row],[CostImpact]]*-1,
            Transactions[[#This Row],[CalCashImpact]]
      ),
     0
)</f>
        <v>0</v>
      </c>
      <c r="Y1503" s="168" t="str">
        <f>VLOOKUP(Transactions[[#This Row],[Symbol]],Symbols[], COLUMN(Symbols[Currency])-COLUMN(Symbols[])+1,FALSE)</f>
        <v>CNY</v>
      </c>
    </row>
    <row r="1504" spans="1:25">
      <c r="A1504" s="155" t="s">
        <v>82</v>
      </c>
      <c r="B1504" s="156">
        <v>42830</v>
      </c>
      <c r="C1504" s="155" t="s">
        <v>113</v>
      </c>
      <c r="D1504" s="155"/>
      <c r="E1504" s="155" t="s">
        <v>480</v>
      </c>
      <c r="F1504" s="157">
        <v>1000</v>
      </c>
      <c r="G1504" s="158">
        <v>54.45</v>
      </c>
      <c r="H1504" s="157">
        <v>22.87</v>
      </c>
      <c r="I1504" s="157"/>
      <c r="J1504" s="159">
        <v>54472.87</v>
      </c>
      <c r="K1504" s="6" t="s">
        <v>641</v>
      </c>
      <c r="L1504" s="20">
        <f>IF(ISNA(MATCH(Transactions[[#This Row],[TransType]],TransTypes[TransType],0)),1,MATCH(Transactions[[#This Row],[TransType]],TransTypes[TransType],0))</f>
        <v>2</v>
      </c>
      <c r="M1504" s="160">
        <f>IF( AND( INDEX(TransTypes[],Transactions[[#This Row],[TTR]],TT_COL_GLFlag)=1, INDEX(TransTypes[],Transactions[[#This Row],[TTR]],TT_COL_LONGORSHORT)="S" ),
      Transactions[[#This Row],[PL]],
      IF(INDEX(TransTypes[],Transactions[[#This Row],[TTR]],TT_COL_LONGORSHORT)="S",0,Transactions[[#This Row],[CalCashImpact]])
)</f>
        <v>-54472.87</v>
      </c>
      <c r="N1504" s="161">
        <f>IF(VLOOKUP(Transactions[[#This Row],[Symbol]],Symbols[],COLUMN(Symbols[Currency])-COLUMN(Symbols[])+1,FALSE)=
       VLOOKUP(Transactions[[#This Row],[Account]],Accounts[],COLUMN(Accounts[Currency])-COLUMN(Accounts[])+1,FALSE),
     Transactions[[#This Row],[OrigCashImpact]],
     0
)</f>
        <v>-54472.87</v>
      </c>
      <c r="O15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1517313.0600000003</v>
      </c>
      <c r="P15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5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4100</v>
      </c>
      <c r="R1504" s="41">
        <f>ROW()</f>
        <v>1504</v>
      </c>
      <c r="S15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54472.87</v>
      </c>
      <c r="T15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207674.86224999998</v>
      </c>
      <c r="U15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4100</v>
      </c>
      <c r="V1504" s="166">
        <f>IF(INDEX(TransTypes[],Transactions[[#This Row],[TTR]],TT_COL_GLFlag)=1,Transactions[[#This Row],[CalCashImpact]]+Transactions[[#This Row],[CostImpact]],0)</f>
        <v>0</v>
      </c>
      <c r="W1504" s="167">
        <f>Transactions[[#This Row],[Amount]]*INDEX(TransTypes[],Transactions[[#This Row],[TTR]],TT_COL_AmntSign)</f>
        <v>-54472.87</v>
      </c>
      <c r="X1504" s="167">
        <f>IF(INDEX(TransTypes[],Transactions[[#This Row],[TTR]],TT_COL_LONGORSHORT)="S",
      IF( OR(INDEX(TransTypes[],Transactions[[#This Row],[TTR]],TT_COL_GLFlag)=1, INDEX(TransTypes[], Transactions[[#This Row],[TTR]], TT_COL_ShareTransferFlag)=1),
            Transactions[[#This Row],[CostImpact]]*-1,
            Transactions[[#This Row],[CalCashImpact]]
      ),
     0
)</f>
        <v>0</v>
      </c>
      <c r="Y1504" s="168" t="str">
        <f>VLOOKUP(Transactions[[#This Row],[Symbol]],Symbols[], COLUMN(Symbols[Currency])-COLUMN(Symbols[])+1,FALSE)</f>
        <v>CNY</v>
      </c>
    </row>
    <row r="1505" spans="1:25">
      <c r="A1505" s="155" t="s">
        <v>82</v>
      </c>
      <c r="B1505" s="156">
        <v>42831</v>
      </c>
      <c r="C1505" s="155" t="s">
        <v>115</v>
      </c>
      <c r="D1505" s="155"/>
      <c r="E1505" s="155" t="s">
        <v>712</v>
      </c>
      <c r="F1505" s="157">
        <v>240000</v>
      </c>
      <c r="G1505" s="158">
        <v>0.94299999999999995</v>
      </c>
      <c r="H1505" s="157">
        <v>90.55</v>
      </c>
      <c r="I1505" s="157"/>
      <c r="J1505" s="159">
        <v>226229.45</v>
      </c>
      <c r="K1505" s="6" t="s">
        <v>641</v>
      </c>
      <c r="L1505" s="20">
        <f>IF(ISNA(MATCH(Transactions[[#This Row],[TransType]],TransTypes[TransType],0)),1,MATCH(Transactions[[#This Row],[TransType]],TransTypes[TransType],0))</f>
        <v>3</v>
      </c>
      <c r="M1505" s="160">
        <f>IF( AND( INDEX(TransTypes[],Transactions[[#This Row],[TTR]],TT_COL_GLFlag)=1, INDEX(TransTypes[],Transactions[[#This Row],[TTR]],TT_COL_LONGORSHORT)="S" ),
      Transactions[[#This Row],[PL]],
      IF(INDEX(TransTypes[],Transactions[[#This Row],[TTR]],TT_COL_LONGORSHORT)="S",0,Transactions[[#This Row],[CalCashImpact]])
)</f>
        <v>226229.45</v>
      </c>
      <c r="N1505" s="161">
        <f>IF(VLOOKUP(Transactions[[#This Row],[Symbol]],Symbols[],COLUMN(Symbols[Currency])-COLUMN(Symbols[])+1,FALSE)=
       VLOOKUP(Transactions[[#This Row],[Account]],Accounts[],COLUMN(Accounts[Currency])-COLUMN(Accounts[])+1,FALSE),
     Transactions[[#This Row],[OrigCashImpact]],
     0
)</f>
        <v>226229.45</v>
      </c>
      <c r="O15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1743542.5100000002</v>
      </c>
      <c r="P15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-240000</v>
      </c>
      <c r="Q15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05" s="41">
        <f>ROW()</f>
        <v>1505</v>
      </c>
      <c r="S15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-196036.05961114768</v>
      </c>
      <c r="T15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240000</v>
      </c>
      <c r="V1505" s="166">
        <f>IF(INDEX(TransTypes[],Transactions[[#This Row],[TTR]],TT_COL_GLFlag)=1,Transactions[[#This Row],[CalCashImpact]]+Transactions[[#This Row],[CostImpact]],0)</f>
        <v>30193.390388852335</v>
      </c>
      <c r="W1505" s="167">
        <f>Transactions[[#This Row],[Amount]]*INDEX(TransTypes[],Transactions[[#This Row],[TTR]],TT_COL_AmntSign)</f>
        <v>226229.45</v>
      </c>
      <c r="X1505" s="167">
        <f>IF(INDEX(TransTypes[],Transactions[[#This Row],[TTR]],TT_COL_LONGORSHORT)="S",
      IF( OR(INDEX(TransTypes[],Transactions[[#This Row],[TTR]],TT_COL_GLFlag)=1, INDEX(TransTypes[], Transactions[[#This Row],[TTR]], TT_COL_ShareTransferFlag)=1),
            Transactions[[#This Row],[CostImpact]]*-1,
            Transactions[[#This Row],[CalCashImpact]]
      ),
     0
)</f>
        <v>0</v>
      </c>
      <c r="Y1505" s="168" t="str">
        <f>VLOOKUP(Transactions[[#This Row],[Symbol]],Symbols[], COLUMN(Symbols[Currency])-COLUMN(Symbols[])+1,FALSE)</f>
        <v>CNY</v>
      </c>
    </row>
    <row r="1506" spans="1:25">
      <c r="A1506" s="155" t="s">
        <v>82</v>
      </c>
      <c r="B1506" s="156">
        <v>42831</v>
      </c>
      <c r="C1506" s="155" t="s">
        <v>113</v>
      </c>
      <c r="D1506" s="155"/>
      <c r="E1506" s="155" t="s">
        <v>684</v>
      </c>
      <c r="F1506" s="157">
        <v>10000</v>
      </c>
      <c r="G1506" s="158">
        <v>25.59</v>
      </c>
      <c r="H1506" s="157">
        <v>107.48</v>
      </c>
      <c r="I1506" s="157"/>
      <c r="J1506" s="159">
        <v>256007.48</v>
      </c>
      <c r="K1506" s="6" t="s">
        <v>641</v>
      </c>
      <c r="L1506" s="20">
        <f>IF(ISNA(MATCH(Transactions[[#This Row],[TransType]],TransTypes[TransType],0)),1,MATCH(Transactions[[#This Row],[TransType]],TransTypes[TransType],0))</f>
        <v>2</v>
      </c>
      <c r="M1506" s="160">
        <f>IF( AND( INDEX(TransTypes[],Transactions[[#This Row],[TTR]],TT_COL_GLFlag)=1, INDEX(TransTypes[],Transactions[[#This Row],[TTR]],TT_COL_LONGORSHORT)="S" ),
      Transactions[[#This Row],[PL]],
      IF(INDEX(TransTypes[],Transactions[[#This Row],[TTR]],TT_COL_LONGORSHORT)="S",0,Transactions[[#This Row],[CalCashImpact]])
)</f>
        <v>-256007.48</v>
      </c>
      <c r="N1506" s="161">
        <f>IF(VLOOKUP(Transactions[[#This Row],[Symbol]],Symbols[],COLUMN(Symbols[Currency])-COLUMN(Symbols[])+1,FALSE)=
       VLOOKUP(Transactions[[#This Row],[Account]],Accounts[],COLUMN(Accounts[Currency])-COLUMN(Accounts[])+1,FALSE),
     Transactions[[#This Row],[OrigCashImpact]],
     0
)</f>
        <v>-256007.48</v>
      </c>
      <c r="O15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1487535.0300000003</v>
      </c>
      <c r="P15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5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506" s="41">
        <f>ROW()</f>
        <v>1506</v>
      </c>
      <c r="S15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256007.48</v>
      </c>
      <c r="T15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256007.48</v>
      </c>
      <c r="U15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506" s="166">
        <f>IF(INDEX(TransTypes[],Transactions[[#This Row],[TTR]],TT_COL_GLFlag)=1,Transactions[[#This Row],[CalCashImpact]]+Transactions[[#This Row],[CostImpact]],0)</f>
        <v>0</v>
      </c>
      <c r="W1506" s="167">
        <f>Transactions[[#This Row],[Amount]]*INDEX(TransTypes[],Transactions[[#This Row],[TTR]],TT_COL_AmntSign)</f>
        <v>-256007.48</v>
      </c>
      <c r="X1506" s="167">
        <f>IF(INDEX(TransTypes[],Transactions[[#This Row],[TTR]],TT_COL_LONGORSHORT)="S",
      IF( OR(INDEX(TransTypes[],Transactions[[#This Row],[TTR]],TT_COL_GLFlag)=1, INDEX(TransTypes[], Transactions[[#This Row],[TTR]], TT_COL_ShareTransferFlag)=1),
            Transactions[[#This Row],[CostImpact]]*-1,
            Transactions[[#This Row],[CalCashImpact]]
      ),
     0
)</f>
        <v>0</v>
      </c>
      <c r="Y1506" s="168" t="str">
        <f>VLOOKUP(Transactions[[#This Row],[Symbol]],Symbols[], COLUMN(Symbols[Currency])-COLUMN(Symbols[])+1,FALSE)</f>
        <v>CNY</v>
      </c>
    </row>
    <row r="1507" spans="1:25">
      <c r="A1507" s="155" t="s">
        <v>82</v>
      </c>
      <c r="B1507" s="156">
        <v>42831</v>
      </c>
      <c r="C1507" s="155" t="s">
        <v>113</v>
      </c>
      <c r="D1507" s="155"/>
      <c r="E1507" s="155" t="s">
        <v>480</v>
      </c>
      <c r="F1507" s="157">
        <v>2000</v>
      </c>
      <c r="G1507" s="158">
        <v>54.53</v>
      </c>
      <c r="H1507" s="157">
        <v>45.8</v>
      </c>
      <c r="I1507" s="157"/>
      <c r="J1507" s="159">
        <v>109105.8</v>
      </c>
      <c r="K1507" s="6" t="s">
        <v>641</v>
      </c>
      <c r="L1507" s="20">
        <f>IF(ISNA(MATCH(Transactions[[#This Row],[TransType]],TransTypes[TransType],0)),1,MATCH(Transactions[[#This Row],[TransType]],TransTypes[TransType],0))</f>
        <v>2</v>
      </c>
      <c r="M1507" s="160">
        <f>IF( AND( INDEX(TransTypes[],Transactions[[#This Row],[TTR]],TT_COL_GLFlag)=1, INDEX(TransTypes[],Transactions[[#This Row],[TTR]],TT_COL_LONGORSHORT)="S" ),
      Transactions[[#This Row],[PL]],
      IF(INDEX(TransTypes[],Transactions[[#This Row],[TTR]],TT_COL_LONGORSHORT)="S",0,Transactions[[#This Row],[CalCashImpact]])
)</f>
        <v>-109105.8</v>
      </c>
      <c r="N1507" s="161">
        <f>IF(VLOOKUP(Transactions[[#This Row],[Symbol]],Symbols[],COLUMN(Symbols[Currency])-COLUMN(Symbols[])+1,FALSE)=
       VLOOKUP(Transactions[[#This Row],[Account]],Accounts[],COLUMN(Accounts[Currency])-COLUMN(Accounts[])+1,FALSE),
     Transactions[[#This Row],[OrigCashImpact]],
     0
)</f>
        <v>-109105.8</v>
      </c>
      <c r="O15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1378429.2300000002</v>
      </c>
      <c r="P15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6100</v>
      </c>
      <c r="R1507" s="41">
        <f>ROW()</f>
        <v>1507</v>
      </c>
      <c r="S15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109105.8</v>
      </c>
      <c r="T15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316780.66224999999</v>
      </c>
      <c r="U15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6100</v>
      </c>
      <c r="V1507" s="166">
        <f>IF(INDEX(TransTypes[],Transactions[[#This Row],[TTR]],TT_COL_GLFlag)=1,Transactions[[#This Row],[CalCashImpact]]+Transactions[[#This Row],[CostImpact]],0)</f>
        <v>0</v>
      </c>
      <c r="W1507" s="167">
        <f>Transactions[[#This Row],[Amount]]*INDEX(TransTypes[],Transactions[[#This Row],[TTR]],TT_COL_AmntSign)</f>
        <v>-109105.8</v>
      </c>
      <c r="X1507" s="167">
        <f>IF(INDEX(TransTypes[],Transactions[[#This Row],[TTR]],TT_COL_LONGORSHORT)="S",
      IF( OR(INDEX(TransTypes[],Transactions[[#This Row],[TTR]],TT_COL_GLFlag)=1, INDEX(TransTypes[], Transactions[[#This Row],[TTR]], TT_COL_ShareTransferFlag)=1),
            Transactions[[#This Row],[CostImpact]]*-1,
            Transactions[[#This Row],[CalCashImpact]]
      ),
     0
)</f>
        <v>0</v>
      </c>
      <c r="Y1507" s="168" t="str">
        <f>VLOOKUP(Transactions[[#This Row],[Symbol]],Symbols[], COLUMN(Symbols[Currency])-COLUMN(Symbols[])+1,FALSE)</f>
        <v>CNY</v>
      </c>
    </row>
    <row r="1508" spans="1:25">
      <c r="A1508" s="155" t="s">
        <v>82</v>
      </c>
      <c r="B1508" s="156">
        <v>42831</v>
      </c>
      <c r="C1508" s="155" t="s">
        <v>115</v>
      </c>
      <c r="D1508" s="155"/>
      <c r="E1508" s="155" t="s">
        <v>665</v>
      </c>
      <c r="F1508" s="157">
        <v>60000</v>
      </c>
      <c r="G1508" s="158">
        <v>1.1279999999999999</v>
      </c>
      <c r="H1508" s="157">
        <v>27.07</v>
      </c>
      <c r="I1508" s="157"/>
      <c r="J1508" s="159">
        <v>67652.929999999993</v>
      </c>
      <c r="K1508" s="6" t="s">
        <v>641</v>
      </c>
      <c r="L1508" s="20">
        <f>IF(ISNA(MATCH(Transactions[[#This Row],[TransType]],TransTypes[TransType],0)),1,MATCH(Transactions[[#This Row],[TransType]],TransTypes[TransType],0))</f>
        <v>3</v>
      </c>
      <c r="M1508" s="160">
        <f>IF( AND( INDEX(TransTypes[],Transactions[[#This Row],[TTR]],TT_COL_GLFlag)=1, INDEX(TransTypes[],Transactions[[#This Row],[TTR]],TT_COL_LONGORSHORT)="S" ),
      Transactions[[#This Row],[PL]],
      IF(INDEX(TransTypes[],Transactions[[#This Row],[TTR]],TT_COL_LONGORSHORT)="S",0,Transactions[[#This Row],[CalCashImpact]])
)</f>
        <v>67652.929999999993</v>
      </c>
      <c r="N1508" s="161">
        <f>IF(VLOOKUP(Transactions[[#This Row],[Symbol]],Symbols[],COLUMN(Symbols[Currency])-COLUMN(Symbols[])+1,FALSE)=
       VLOOKUP(Transactions[[#This Row],[Account]],Accounts[],COLUMN(Accounts[Currency])-COLUMN(Accounts[])+1,FALSE),
     Transactions[[#This Row],[OrigCashImpact]],
     0
)</f>
        <v>67652.929999999993</v>
      </c>
      <c r="O15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1446082.1600000001</v>
      </c>
      <c r="P15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-60000</v>
      </c>
      <c r="Q15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180000</v>
      </c>
      <c r="R1508" s="41">
        <f>ROW()</f>
        <v>1508</v>
      </c>
      <c r="S15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-59529.511911760885</v>
      </c>
      <c r="T15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178588.53573528264</v>
      </c>
      <c r="U15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240000</v>
      </c>
      <c r="V1508" s="166">
        <f>IF(INDEX(TransTypes[],Transactions[[#This Row],[TTR]],TT_COL_GLFlag)=1,Transactions[[#This Row],[CalCashImpact]]+Transactions[[#This Row],[CostImpact]],0)</f>
        <v>8123.4180882391083</v>
      </c>
      <c r="W1508" s="167">
        <f>Transactions[[#This Row],[Amount]]*INDEX(TransTypes[],Transactions[[#This Row],[TTR]],TT_COL_AmntSign)</f>
        <v>67652.929999999993</v>
      </c>
      <c r="X1508" s="167">
        <f>IF(INDEX(TransTypes[],Transactions[[#This Row],[TTR]],TT_COL_LONGORSHORT)="S",
      IF( OR(INDEX(TransTypes[],Transactions[[#This Row],[TTR]],TT_COL_GLFlag)=1, INDEX(TransTypes[], Transactions[[#This Row],[TTR]], TT_COL_ShareTransferFlag)=1),
            Transactions[[#This Row],[CostImpact]]*-1,
            Transactions[[#This Row],[CalCashImpact]]
      ),
     0
)</f>
        <v>0</v>
      </c>
      <c r="Y1508" s="168" t="str">
        <f>VLOOKUP(Transactions[[#This Row],[Symbol]],Symbols[], COLUMN(Symbols[Currency])-COLUMN(Symbols[])+1,FALSE)</f>
        <v>CNY</v>
      </c>
    </row>
    <row r="1509" spans="1:25">
      <c r="A1509" s="155" t="s">
        <v>82</v>
      </c>
      <c r="B1509" s="156">
        <v>42835</v>
      </c>
      <c r="C1509" s="155" t="s">
        <v>156</v>
      </c>
      <c r="D1509" s="155"/>
      <c r="E1509" s="155" t="s">
        <v>211</v>
      </c>
      <c r="F1509" s="157">
        <v>310436.38</v>
      </c>
      <c r="G1509" s="158">
        <f>Transactions[[#This Row],[Amount]]/Transactions[[#This Row],[Qty]]</f>
        <v>0.88626993395554987</v>
      </c>
      <c r="H1509" s="157"/>
      <c r="I1509" s="157"/>
      <c r="J1509" s="159">
        <v>275130.43</v>
      </c>
      <c r="K1509" s="6" t="s">
        <v>737</v>
      </c>
      <c r="L1509" s="20">
        <f>IF(ISNA(MATCH(Transactions[[#This Row],[TransType]],TransTypes[TransType],0)),1,MATCH(Transactions[[#This Row],[TransType]],TransTypes[TransType],0))</f>
        <v>17</v>
      </c>
      <c r="M1509" s="160">
        <f>IF( AND( INDEX(TransTypes[],Transactions[[#This Row],[TTR]],TT_COL_GLFlag)=1, INDEX(TransTypes[],Transactions[[#This Row],[TTR]],TT_COL_LONGORSHORT)="S" ),
      Transactions[[#This Row],[PL]],
      IF(INDEX(TransTypes[],Transactions[[#This Row],[TTR]],TT_COL_LONGORSHORT)="S",0,Transactions[[#This Row],[CalCashImpact]])
)</f>
        <v>-275130.43</v>
      </c>
      <c r="N1509" s="161">
        <f>IF(VLOOKUP(Transactions[[#This Row],[Symbol]],Symbols[],COLUMN(Symbols[Currency])-COLUMN(Symbols[])+1,FALSE)=
       VLOOKUP(Transactions[[#This Row],[Account]],Accounts[],COLUMN(Accounts[Currency])-COLUMN(Accounts[])+1,FALSE),
     Transactions[[#This Row],[OrigCashImpact]],
     0
)</f>
        <v>-275130.43</v>
      </c>
      <c r="O15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1170951.7300000002</v>
      </c>
      <c r="P15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09" s="41">
        <f>ROW()</f>
        <v>1509</v>
      </c>
      <c r="S15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09" s="166">
        <f>IF(INDEX(TransTypes[],Transactions[[#This Row],[TTR]],TT_COL_GLFlag)=1,Transactions[[#This Row],[CalCashImpact]]+Transactions[[#This Row],[CostImpact]],0)</f>
        <v>0</v>
      </c>
      <c r="W1509" s="167">
        <f>Transactions[[#This Row],[Amount]]*INDEX(TransTypes[],Transactions[[#This Row],[TTR]],TT_COL_AmntSign)</f>
        <v>-275130.43</v>
      </c>
      <c r="X1509" s="167">
        <f>IF(INDEX(TransTypes[],Transactions[[#This Row],[TTR]],TT_COL_LONGORSHORT)="S",
      IF( OR(INDEX(TransTypes[],Transactions[[#This Row],[TTR]],TT_COL_GLFlag)=1, INDEX(TransTypes[], Transactions[[#This Row],[TTR]], TT_COL_ShareTransferFlag)=1),
            Transactions[[#This Row],[CostImpact]]*-1,
            Transactions[[#This Row],[CalCashImpact]]
      ),
     0
)</f>
        <v>0</v>
      </c>
      <c r="Y1509" s="168" t="str">
        <f>VLOOKUP(Transactions[[#This Row],[Symbol]],Symbols[], COLUMN(Symbols[Currency])-COLUMN(Symbols[])+1,FALSE)</f>
        <v>CNY</v>
      </c>
    </row>
    <row r="1510" spans="1:25">
      <c r="A1510" s="155" t="s">
        <v>82</v>
      </c>
      <c r="B1510" s="156">
        <v>42835</v>
      </c>
      <c r="C1510" s="155" t="s">
        <v>239</v>
      </c>
      <c r="D1510" s="155"/>
      <c r="E1510" s="155" t="s">
        <v>210</v>
      </c>
      <c r="F1510" s="157">
        <v>310436.38</v>
      </c>
      <c r="G1510" s="158">
        <v>1</v>
      </c>
      <c r="H1510" s="157"/>
      <c r="I1510" s="157"/>
      <c r="J1510" s="159">
        <v>310436.38</v>
      </c>
      <c r="K1510" s="6" t="s">
        <v>737</v>
      </c>
      <c r="L1510" s="20">
        <f>IF(ISNA(MATCH(Transactions[[#This Row],[TransType]],TransTypes[TransType],0)),1,MATCH(Transactions[[#This Row],[TransType]],TransTypes[TransType],0))</f>
        <v>18</v>
      </c>
      <c r="M1510" s="160">
        <f>IF( AND( INDEX(TransTypes[],Transactions[[#This Row],[TTR]],TT_COL_GLFlag)=1, INDEX(TransTypes[],Transactions[[#This Row],[TTR]],TT_COL_LONGORSHORT)="S" ),
      Transactions[[#This Row],[PL]],
      IF(INDEX(TransTypes[],Transactions[[#This Row],[TTR]],TT_COL_LONGORSHORT)="S",0,Transactions[[#This Row],[CalCashImpact]])
)</f>
        <v>310436.38</v>
      </c>
      <c r="N1510" s="161">
        <f>IF(VLOOKUP(Transactions[[#This Row],[Symbol]],Symbols[],COLUMN(Symbols[Currency])-COLUMN(Symbols[])+1,FALSE)=
       VLOOKUP(Transactions[[#This Row],[Account]],Accounts[],COLUMN(Accounts[Currency])-COLUMN(Accounts[])+1,FALSE),
     Transactions[[#This Row],[OrigCashImpact]],
     0
)</f>
        <v>0</v>
      </c>
      <c r="O15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1170951.7300000002</v>
      </c>
      <c r="P15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10" s="41">
        <f>ROW()</f>
        <v>1510</v>
      </c>
      <c r="S15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10" s="166">
        <f>IF(INDEX(TransTypes[],Transactions[[#This Row],[TTR]],TT_COL_GLFlag)=1,Transactions[[#This Row],[CalCashImpact]]+Transactions[[#This Row],[CostImpact]],0)</f>
        <v>0</v>
      </c>
      <c r="W1510" s="167">
        <f>Transactions[[#This Row],[Amount]]*INDEX(TransTypes[],Transactions[[#This Row],[TTR]],TT_COL_AmntSign)</f>
        <v>310436.38</v>
      </c>
      <c r="X1510" s="167">
        <f>IF(INDEX(TransTypes[],Transactions[[#This Row],[TTR]],TT_COL_LONGORSHORT)="S",
      IF( OR(INDEX(TransTypes[],Transactions[[#This Row],[TTR]],TT_COL_GLFlag)=1, INDEX(TransTypes[], Transactions[[#This Row],[TTR]], TT_COL_ShareTransferFlag)=1),
            Transactions[[#This Row],[CostImpact]]*-1,
            Transactions[[#This Row],[CalCashImpact]]
      ),
     0
)</f>
        <v>0</v>
      </c>
      <c r="Y1510" s="168" t="str">
        <f>VLOOKUP(Transactions[[#This Row],[Symbol]],Symbols[], COLUMN(Symbols[Currency])-COLUMN(Symbols[])+1,FALSE)</f>
        <v>HKD</v>
      </c>
    </row>
    <row r="1511" spans="1:25">
      <c r="A1511" s="155" t="s">
        <v>82</v>
      </c>
      <c r="B1511" s="156">
        <v>42835</v>
      </c>
      <c r="C1511" s="155" t="s">
        <v>113</v>
      </c>
      <c r="D1511" s="155"/>
      <c r="E1511" s="155" t="s">
        <v>268</v>
      </c>
      <c r="F1511" s="157">
        <v>40000</v>
      </c>
      <c r="G1511" s="158">
        <v>7.7290000000000001</v>
      </c>
      <c r="H1511" s="157">
        <v>1276.3800000000001</v>
      </c>
      <c r="I1511" s="157"/>
      <c r="J1511" s="159">
        <v>310436.38</v>
      </c>
      <c r="K1511" s="6" t="s">
        <v>641</v>
      </c>
      <c r="L1511" s="20">
        <f>IF(ISNA(MATCH(Transactions[[#This Row],[TransType]],TransTypes[TransType],0)),1,MATCH(Transactions[[#This Row],[TransType]],TransTypes[TransType],0))</f>
        <v>2</v>
      </c>
      <c r="M1511" s="160">
        <f>IF( AND( INDEX(TransTypes[],Transactions[[#This Row],[TTR]],TT_COL_GLFlag)=1, INDEX(TransTypes[],Transactions[[#This Row],[TTR]],TT_COL_LONGORSHORT)="S" ),
      Transactions[[#This Row],[PL]],
      IF(INDEX(TransTypes[],Transactions[[#This Row],[TTR]],TT_COL_LONGORSHORT)="S",0,Transactions[[#This Row],[CalCashImpact]])
)</f>
        <v>-310436.38</v>
      </c>
      <c r="N1511" s="161">
        <f>IF(VLOOKUP(Transactions[[#This Row],[Symbol]],Symbols[],COLUMN(Symbols[Currency])-COLUMN(Symbols[])+1,FALSE)=
       VLOOKUP(Transactions[[#This Row],[Account]],Accounts[],COLUMN(Accounts[Currency])-COLUMN(Accounts[])+1,FALSE),
     Transactions[[#This Row],[OrigCashImpact]],
     0
)</f>
        <v>0</v>
      </c>
      <c r="O15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1170951.7300000002</v>
      </c>
      <c r="P15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40000</v>
      </c>
      <c r="Q15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50000</v>
      </c>
      <c r="R1511" s="41">
        <f>ROW()</f>
        <v>1511</v>
      </c>
      <c r="S15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310436.38</v>
      </c>
      <c r="T15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397820.40750000003</v>
      </c>
      <c r="U15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50000</v>
      </c>
      <c r="V1511" s="166">
        <f>IF(INDEX(TransTypes[],Transactions[[#This Row],[TTR]],TT_COL_GLFlag)=1,Transactions[[#This Row],[CalCashImpact]]+Transactions[[#This Row],[CostImpact]],0)</f>
        <v>0</v>
      </c>
      <c r="W1511" s="167">
        <f>Transactions[[#This Row],[Amount]]*INDEX(TransTypes[],Transactions[[#This Row],[TTR]],TT_COL_AmntSign)</f>
        <v>-310436.38</v>
      </c>
      <c r="X1511" s="167">
        <f>IF(INDEX(TransTypes[],Transactions[[#This Row],[TTR]],TT_COL_LONGORSHORT)="S",
      IF( OR(INDEX(TransTypes[],Transactions[[#This Row],[TTR]],TT_COL_GLFlag)=1, INDEX(TransTypes[], Transactions[[#This Row],[TTR]], TT_COL_ShareTransferFlag)=1),
            Transactions[[#This Row],[CostImpact]]*-1,
            Transactions[[#This Row],[CalCashImpact]]
      ),
     0
)</f>
        <v>0</v>
      </c>
      <c r="Y1511" s="168" t="str">
        <f>VLOOKUP(Transactions[[#This Row],[Symbol]],Symbols[], COLUMN(Symbols[Currency])-COLUMN(Symbols[])+1,FALSE)</f>
        <v>HKD</v>
      </c>
    </row>
    <row r="1512" spans="1:25">
      <c r="A1512" s="155" t="s">
        <v>82</v>
      </c>
      <c r="B1512" s="156">
        <v>42838</v>
      </c>
      <c r="C1512" s="155" t="s">
        <v>112</v>
      </c>
      <c r="D1512" s="155"/>
      <c r="E1512" s="155" t="s">
        <v>211</v>
      </c>
      <c r="F1512" s="157"/>
      <c r="G1512" s="158"/>
      <c r="H1512" s="157"/>
      <c r="I1512" s="157"/>
      <c r="J1512" s="159">
        <v>178623.85</v>
      </c>
      <c r="K1512" s="6" t="s">
        <v>697</v>
      </c>
      <c r="L1512" s="20">
        <f>IF(ISNA(MATCH(Transactions[[#This Row],[TransType]],TransTypes[TransType],0)),1,MATCH(Transactions[[#This Row],[TransType]],TransTypes[TransType],0))</f>
        <v>1</v>
      </c>
      <c r="M1512" s="160">
        <f>IF( AND( INDEX(TransTypes[],Transactions[[#This Row],[TTR]],TT_COL_GLFlag)=1, INDEX(TransTypes[],Transactions[[#This Row],[TTR]],TT_COL_LONGORSHORT)="S" ),
      Transactions[[#This Row],[PL]],
      IF(INDEX(TransTypes[],Transactions[[#This Row],[TTR]],TT_COL_LONGORSHORT)="S",0,Transactions[[#This Row],[CalCashImpact]])
)</f>
        <v>178623.85</v>
      </c>
      <c r="N1512" s="161">
        <f>IF(VLOOKUP(Transactions[[#This Row],[Symbol]],Symbols[],COLUMN(Symbols[Currency])-COLUMN(Symbols[])+1,FALSE)=
       VLOOKUP(Transactions[[#This Row],[Account]],Accounts[],COLUMN(Accounts[Currency])-COLUMN(Accounts[])+1,FALSE),
     Transactions[[#This Row],[OrigCashImpact]],
     0
)</f>
        <v>178623.85</v>
      </c>
      <c r="O15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1349575.5800000003</v>
      </c>
      <c r="P15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12" s="41">
        <f>ROW()</f>
        <v>1512</v>
      </c>
      <c r="S15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12" s="166">
        <f>IF(INDEX(TransTypes[],Transactions[[#This Row],[TTR]],TT_COL_GLFlag)=1,Transactions[[#This Row],[CalCashImpact]]+Transactions[[#This Row],[CostImpact]],0)</f>
        <v>0</v>
      </c>
      <c r="W1512" s="167">
        <f>Transactions[[#This Row],[Amount]]*INDEX(TransTypes[],Transactions[[#This Row],[TTR]],TT_COL_AmntSign)</f>
        <v>178623.85</v>
      </c>
      <c r="X1512" s="167">
        <f>IF(INDEX(TransTypes[],Transactions[[#This Row],[TTR]],TT_COL_LONGORSHORT)="S",
      IF( OR(INDEX(TransTypes[],Transactions[[#This Row],[TTR]],TT_COL_GLFlag)=1, INDEX(TransTypes[], Transactions[[#This Row],[TTR]], TT_COL_ShareTransferFlag)=1),
            Transactions[[#This Row],[CostImpact]]*-1,
            Transactions[[#This Row],[CalCashImpact]]
      ),
     0
)</f>
        <v>0</v>
      </c>
      <c r="Y1512" s="168" t="str">
        <f>VLOOKUP(Transactions[[#This Row],[Symbol]],Symbols[], COLUMN(Symbols[Currency])-COLUMN(Symbols[])+1,FALSE)</f>
        <v>CNY</v>
      </c>
    </row>
    <row r="1513" spans="1:25">
      <c r="A1513" s="155" t="s">
        <v>82</v>
      </c>
      <c r="B1513" s="156">
        <v>42838</v>
      </c>
      <c r="C1513" s="155" t="s">
        <v>115</v>
      </c>
      <c r="D1513" s="155"/>
      <c r="E1513" s="155" t="s">
        <v>736</v>
      </c>
      <c r="F1513" s="157">
        <v>4500</v>
      </c>
      <c r="G1513" s="158">
        <v>25.1</v>
      </c>
      <c r="H1513" s="157">
        <v>160.38999999999999</v>
      </c>
      <c r="I1513" s="157"/>
      <c r="J1513" s="159">
        <v>112789.61</v>
      </c>
      <c r="K1513" s="6" t="s">
        <v>641</v>
      </c>
      <c r="L1513" s="20">
        <f>IF(ISNA(MATCH(Transactions[[#This Row],[TransType]],TransTypes[TransType],0)),1,MATCH(Transactions[[#This Row],[TransType]],TransTypes[TransType],0))</f>
        <v>3</v>
      </c>
      <c r="M1513" s="160">
        <f>IF( AND( INDEX(TransTypes[],Transactions[[#This Row],[TTR]],TT_COL_GLFlag)=1, INDEX(TransTypes[],Transactions[[#This Row],[TTR]],TT_COL_LONGORSHORT)="S" ),
      Transactions[[#This Row],[PL]],
      IF(INDEX(TransTypes[],Transactions[[#This Row],[TTR]],TT_COL_LONGORSHORT)="S",0,Transactions[[#This Row],[CalCashImpact]])
)</f>
        <v>112789.61</v>
      </c>
      <c r="N1513" s="161">
        <f>IF(VLOOKUP(Transactions[[#This Row],[Symbol]],Symbols[],COLUMN(Symbols[Currency])-COLUMN(Symbols[])+1,FALSE)=
       VLOOKUP(Transactions[[#This Row],[Account]],Accounts[],COLUMN(Accounts[Currency])-COLUMN(Accounts[])+1,FALSE),
     Transactions[[#This Row],[OrigCashImpact]],
     0
)</f>
        <v>112789.61</v>
      </c>
      <c r="O15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1462365.1900000002</v>
      </c>
      <c r="P15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-4500</v>
      </c>
      <c r="Q15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513" s="41">
        <f>ROW()</f>
        <v>1513</v>
      </c>
      <c r="S15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-115023.2895</v>
      </c>
      <c r="T15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12780.3655</v>
      </c>
      <c r="U15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513" s="166">
        <f>IF(INDEX(TransTypes[],Transactions[[#This Row],[TTR]],TT_COL_GLFlag)=1,Transactions[[#This Row],[CalCashImpact]]+Transactions[[#This Row],[CostImpact]],0)</f>
        <v>-2233.6794999999984</v>
      </c>
      <c r="W1513" s="167">
        <f>Transactions[[#This Row],[Amount]]*INDEX(TransTypes[],Transactions[[#This Row],[TTR]],TT_COL_AmntSign)</f>
        <v>112789.61</v>
      </c>
      <c r="X1513" s="167">
        <f>IF(INDEX(TransTypes[],Transactions[[#This Row],[TTR]],TT_COL_LONGORSHORT)="S",
      IF( OR(INDEX(TransTypes[],Transactions[[#This Row],[TTR]],TT_COL_GLFlag)=1, INDEX(TransTypes[], Transactions[[#This Row],[TTR]], TT_COL_ShareTransferFlag)=1),
            Transactions[[#This Row],[CostImpact]]*-1,
            Transactions[[#This Row],[CalCashImpact]]
      ),
     0
)</f>
        <v>0</v>
      </c>
      <c r="Y1513" s="168" t="str">
        <f>VLOOKUP(Transactions[[#This Row],[Symbol]],Symbols[], COLUMN(Symbols[Currency])-COLUMN(Symbols[])+1,FALSE)</f>
        <v>CNY</v>
      </c>
    </row>
    <row r="1514" spans="1:25">
      <c r="A1514" s="155" t="s">
        <v>82</v>
      </c>
      <c r="B1514" s="156">
        <v>42838</v>
      </c>
      <c r="C1514" s="155" t="s">
        <v>113</v>
      </c>
      <c r="D1514" s="155"/>
      <c r="E1514" s="155" t="s">
        <v>730</v>
      </c>
      <c r="F1514" s="157">
        <v>2000</v>
      </c>
      <c r="G1514" s="158">
        <v>63.11</v>
      </c>
      <c r="H1514" s="157">
        <v>50.49</v>
      </c>
      <c r="I1514" s="157"/>
      <c r="J1514" s="159">
        <v>126270.49</v>
      </c>
      <c r="K1514" s="6" t="s">
        <v>641</v>
      </c>
      <c r="L1514" s="20">
        <f>IF(ISNA(MATCH(Transactions[[#This Row],[TransType]],TransTypes[TransType],0)),1,MATCH(Transactions[[#This Row],[TransType]],TransTypes[TransType],0))</f>
        <v>2</v>
      </c>
      <c r="M1514" s="160">
        <f>IF( AND( INDEX(TransTypes[],Transactions[[#This Row],[TTR]],TT_COL_GLFlag)=1, INDEX(TransTypes[],Transactions[[#This Row],[TTR]],TT_COL_LONGORSHORT)="S" ),
      Transactions[[#This Row],[PL]],
      IF(INDEX(TransTypes[],Transactions[[#This Row],[TTR]],TT_COL_LONGORSHORT)="S",0,Transactions[[#This Row],[CalCashImpact]])
)</f>
        <v>-126270.49</v>
      </c>
      <c r="N1514" s="161">
        <f>IF(VLOOKUP(Transactions[[#This Row],[Symbol]],Symbols[],COLUMN(Symbols[Currency])-COLUMN(Symbols[])+1,FALSE)=
       VLOOKUP(Transactions[[#This Row],[Account]],Accounts[],COLUMN(Accounts[Currency])-COLUMN(Accounts[])+1,FALSE),
     Transactions[[#This Row],[OrigCashImpact]],
     0
)</f>
        <v>-126270.49</v>
      </c>
      <c r="O15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1336094.7000000002</v>
      </c>
      <c r="P15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514" s="41">
        <f>ROW()</f>
        <v>1514</v>
      </c>
      <c r="S15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126270.49</v>
      </c>
      <c r="T15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263277.27</v>
      </c>
      <c r="U15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514" s="166">
        <f>IF(INDEX(TransTypes[],Transactions[[#This Row],[TTR]],TT_COL_GLFlag)=1,Transactions[[#This Row],[CalCashImpact]]+Transactions[[#This Row],[CostImpact]],0)</f>
        <v>0</v>
      </c>
      <c r="W1514" s="167">
        <f>Transactions[[#This Row],[Amount]]*INDEX(TransTypes[],Transactions[[#This Row],[TTR]],TT_COL_AmntSign)</f>
        <v>-126270.49</v>
      </c>
      <c r="X1514" s="167">
        <f>IF(INDEX(TransTypes[],Transactions[[#This Row],[TTR]],TT_COL_LONGORSHORT)="S",
      IF( OR(INDEX(TransTypes[],Transactions[[#This Row],[TTR]],TT_COL_GLFlag)=1, INDEX(TransTypes[], Transactions[[#This Row],[TTR]], TT_COL_ShareTransferFlag)=1),
            Transactions[[#This Row],[CostImpact]]*-1,
            Transactions[[#This Row],[CalCashImpact]]
      ),
     0
)</f>
        <v>0</v>
      </c>
      <c r="Y1514" s="168" t="str">
        <f>VLOOKUP(Transactions[[#This Row],[Symbol]],Symbols[], COLUMN(Symbols[Currency])-COLUMN(Symbols[])+1,FALSE)</f>
        <v>CNY</v>
      </c>
    </row>
    <row r="1515" spans="1:25">
      <c r="A1515" s="155" t="s">
        <v>82</v>
      </c>
      <c r="B1515" s="156">
        <v>42838</v>
      </c>
      <c r="C1515" s="155" t="s">
        <v>113</v>
      </c>
      <c r="D1515" s="155"/>
      <c r="E1515" s="155" t="s">
        <v>468</v>
      </c>
      <c r="F1515" s="157">
        <v>2000</v>
      </c>
      <c r="G1515" s="158">
        <v>35.93</v>
      </c>
      <c r="H1515" s="157">
        <v>30.18</v>
      </c>
      <c r="I1515" s="157"/>
      <c r="J1515" s="159">
        <v>71890.179999999993</v>
      </c>
      <c r="K1515" s="6" t="s">
        <v>641</v>
      </c>
      <c r="L1515" s="20">
        <f>IF(ISNA(MATCH(Transactions[[#This Row],[TransType]],TransTypes[TransType],0)),1,MATCH(Transactions[[#This Row],[TransType]],TransTypes[TransType],0))</f>
        <v>2</v>
      </c>
      <c r="M1515" s="160">
        <f>IF( AND( INDEX(TransTypes[],Transactions[[#This Row],[TTR]],TT_COL_GLFlag)=1, INDEX(TransTypes[],Transactions[[#This Row],[TTR]],TT_COL_LONGORSHORT)="S" ),
      Transactions[[#This Row],[PL]],
      IF(INDEX(TransTypes[],Transactions[[#This Row],[TTR]],TT_COL_LONGORSHORT)="S",0,Transactions[[#This Row],[CalCashImpact]])
)</f>
        <v>-71890.179999999993</v>
      </c>
      <c r="N1515" s="161">
        <f>IF(VLOOKUP(Transactions[[#This Row],[Symbol]],Symbols[],COLUMN(Symbols[Currency])-COLUMN(Symbols[])+1,FALSE)=
       VLOOKUP(Transactions[[#This Row],[Account]],Accounts[],COLUMN(Accounts[Currency])-COLUMN(Accounts[])+1,FALSE),
     Transactions[[#This Row],[OrigCashImpact]],
     0
)</f>
        <v>-71890.179999999993</v>
      </c>
      <c r="O15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1264204.5200000003</v>
      </c>
      <c r="P15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515" s="41">
        <f>ROW()</f>
        <v>1515</v>
      </c>
      <c r="S15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71890.179999999993</v>
      </c>
      <c r="T15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254181.41571428569</v>
      </c>
      <c r="U15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515" s="166">
        <f>IF(INDEX(TransTypes[],Transactions[[#This Row],[TTR]],TT_COL_GLFlag)=1,Transactions[[#This Row],[CalCashImpact]]+Transactions[[#This Row],[CostImpact]],0)</f>
        <v>0</v>
      </c>
      <c r="W1515" s="167">
        <f>Transactions[[#This Row],[Amount]]*INDEX(TransTypes[],Transactions[[#This Row],[TTR]],TT_COL_AmntSign)</f>
        <v>-71890.179999999993</v>
      </c>
      <c r="X1515" s="167">
        <f>IF(INDEX(TransTypes[],Transactions[[#This Row],[TTR]],TT_COL_LONGORSHORT)="S",
      IF( OR(INDEX(TransTypes[],Transactions[[#This Row],[TTR]],TT_COL_GLFlag)=1, INDEX(TransTypes[], Transactions[[#This Row],[TTR]], TT_COL_ShareTransferFlag)=1),
            Transactions[[#This Row],[CostImpact]]*-1,
            Transactions[[#This Row],[CalCashImpact]]
      ),
     0
)</f>
        <v>0</v>
      </c>
      <c r="Y1515" s="168" t="str">
        <f>VLOOKUP(Transactions[[#This Row],[Symbol]],Symbols[], COLUMN(Symbols[Currency])-COLUMN(Symbols[])+1,FALSE)</f>
        <v>CNY</v>
      </c>
    </row>
    <row r="1516" spans="1:25">
      <c r="A1516" s="155" t="s">
        <v>82</v>
      </c>
      <c r="B1516" s="156">
        <v>42842</v>
      </c>
      <c r="C1516" s="155" t="s">
        <v>115</v>
      </c>
      <c r="D1516" s="155"/>
      <c r="E1516" s="155" t="s">
        <v>732</v>
      </c>
      <c r="F1516" s="157">
        <v>3000</v>
      </c>
      <c r="G1516" s="158">
        <v>28.34</v>
      </c>
      <c r="H1516" s="157">
        <v>120.73</v>
      </c>
      <c r="I1516" s="157"/>
      <c r="J1516" s="159">
        <v>84899.27</v>
      </c>
      <c r="K1516" s="6" t="s">
        <v>641</v>
      </c>
      <c r="L1516" s="20">
        <f>IF(ISNA(MATCH(Transactions[[#This Row],[TransType]],TransTypes[TransType],0)),1,MATCH(Transactions[[#This Row],[TransType]],TransTypes[TransType],0))</f>
        <v>3</v>
      </c>
      <c r="M1516" s="160">
        <f>IF( AND( INDEX(TransTypes[],Transactions[[#This Row],[TTR]],TT_COL_GLFlag)=1, INDEX(TransTypes[],Transactions[[#This Row],[TTR]],TT_COL_LONGORSHORT)="S" ),
      Transactions[[#This Row],[PL]],
      IF(INDEX(TransTypes[],Transactions[[#This Row],[TTR]],TT_COL_LONGORSHORT)="S",0,Transactions[[#This Row],[CalCashImpact]])
)</f>
        <v>84899.27</v>
      </c>
      <c r="N1516" s="161">
        <f>IF(VLOOKUP(Transactions[[#This Row],[Symbol]],Symbols[],COLUMN(Symbols[Currency])-COLUMN(Symbols[])+1,FALSE)=
       VLOOKUP(Transactions[[#This Row],[Account]],Accounts[],COLUMN(Accounts[Currency])-COLUMN(Accounts[])+1,FALSE),
     Transactions[[#This Row],[OrigCashImpact]],
     0
)</f>
        <v>84899.27</v>
      </c>
      <c r="O15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1349103.7900000005</v>
      </c>
      <c r="P15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2200</v>
      </c>
      <c r="R1516" s="41">
        <f>ROW()</f>
        <v>1516</v>
      </c>
      <c r="S15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-81067.53112343968</v>
      </c>
      <c r="T15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59449.522823855761</v>
      </c>
      <c r="U15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5200</v>
      </c>
      <c r="V1516" s="166">
        <f>IF(INDEX(TransTypes[],Transactions[[#This Row],[TTR]],TT_COL_GLFlag)=1,Transactions[[#This Row],[CalCashImpact]]+Transactions[[#This Row],[CostImpact]],0)</f>
        <v>3831.7388765603246</v>
      </c>
      <c r="W1516" s="167">
        <f>Transactions[[#This Row],[Amount]]*INDEX(TransTypes[],Transactions[[#This Row],[TTR]],TT_COL_AmntSign)</f>
        <v>84899.27</v>
      </c>
      <c r="X1516" s="167">
        <f>IF(INDEX(TransTypes[],Transactions[[#This Row],[TTR]],TT_COL_LONGORSHORT)="S",
      IF( OR(INDEX(TransTypes[],Transactions[[#This Row],[TTR]],TT_COL_GLFlag)=1, INDEX(TransTypes[], Transactions[[#This Row],[TTR]], TT_COL_ShareTransferFlag)=1),
            Transactions[[#This Row],[CostImpact]]*-1,
            Transactions[[#This Row],[CalCashImpact]]
      ),
     0
)</f>
        <v>0</v>
      </c>
      <c r="Y1516" s="168" t="str">
        <f>VLOOKUP(Transactions[[#This Row],[Symbol]],Symbols[], COLUMN(Symbols[Currency])-COLUMN(Symbols[])+1,FALSE)</f>
        <v>CNY</v>
      </c>
    </row>
    <row r="1517" spans="1:25">
      <c r="A1517" s="155" t="s">
        <v>82</v>
      </c>
      <c r="B1517" s="156">
        <v>42844</v>
      </c>
      <c r="C1517" s="155" t="s">
        <v>113</v>
      </c>
      <c r="D1517" s="155"/>
      <c r="E1517" s="155" t="s">
        <v>738</v>
      </c>
      <c r="F1517" s="157">
        <v>6000</v>
      </c>
      <c r="G1517" s="158">
        <v>20.48</v>
      </c>
      <c r="H1517" s="157">
        <v>49.15</v>
      </c>
      <c r="I1517" s="157"/>
      <c r="J1517" s="159">
        <v>122929.15</v>
      </c>
      <c r="K1517" s="6" t="s">
        <v>641</v>
      </c>
      <c r="L1517" s="20">
        <f>IF(ISNA(MATCH(Transactions[[#This Row],[TransType]],TransTypes[TransType],0)),1,MATCH(Transactions[[#This Row],[TransType]],TransTypes[TransType],0))</f>
        <v>2</v>
      </c>
      <c r="M1517" s="160">
        <f>IF( AND( INDEX(TransTypes[],Transactions[[#This Row],[TTR]],TT_COL_GLFlag)=1, INDEX(TransTypes[],Transactions[[#This Row],[TTR]],TT_COL_LONGORSHORT)="S" ),
      Transactions[[#This Row],[PL]],
      IF(INDEX(TransTypes[],Transactions[[#This Row],[TTR]],TT_COL_LONGORSHORT)="S",0,Transactions[[#This Row],[CalCashImpact]])
)</f>
        <v>-122929.15</v>
      </c>
      <c r="N1517" s="161">
        <f>IF(VLOOKUP(Transactions[[#This Row],[Symbol]],Symbols[],COLUMN(Symbols[Currency])-COLUMN(Symbols[])+1,FALSE)=
       VLOOKUP(Transactions[[#This Row],[Account]],Accounts[],COLUMN(Accounts[Currency])-COLUMN(Accounts[])+1,FALSE),
     Transactions[[#This Row],[OrigCashImpact]],
     0
)</f>
        <v>-122929.15</v>
      </c>
      <c r="O15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1226174.6400000006</v>
      </c>
      <c r="P15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5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517" s="41">
        <f>ROW()</f>
        <v>1517</v>
      </c>
      <c r="S15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122929.15</v>
      </c>
      <c r="T15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122929.15</v>
      </c>
      <c r="U15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517" s="166">
        <f>IF(INDEX(TransTypes[],Transactions[[#This Row],[TTR]],TT_COL_GLFlag)=1,Transactions[[#This Row],[CalCashImpact]]+Transactions[[#This Row],[CostImpact]],0)</f>
        <v>0</v>
      </c>
      <c r="W1517" s="167">
        <f>Transactions[[#This Row],[Amount]]*INDEX(TransTypes[],Transactions[[#This Row],[TTR]],TT_COL_AmntSign)</f>
        <v>-122929.15</v>
      </c>
      <c r="X1517" s="167">
        <f>IF(INDEX(TransTypes[],Transactions[[#This Row],[TTR]],TT_COL_LONGORSHORT)="S",
      IF( OR(INDEX(TransTypes[],Transactions[[#This Row],[TTR]],TT_COL_GLFlag)=1, INDEX(TransTypes[], Transactions[[#This Row],[TTR]], TT_COL_ShareTransferFlag)=1),
            Transactions[[#This Row],[CostImpact]]*-1,
            Transactions[[#This Row],[CalCashImpact]]
      ),
     0
)</f>
        <v>0</v>
      </c>
      <c r="Y1517" s="168" t="str">
        <f>VLOOKUP(Transactions[[#This Row],[Symbol]],Symbols[], COLUMN(Symbols[Currency])-COLUMN(Symbols[])+1,FALSE)</f>
        <v>CNY</v>
      </c>
    </row>
    <row r="1518" spans="1:25">
      <c r="A1518" s="155" t="s">
        <v>82</v>
      </c>
      <c r="B1518" s="156">
        <v>42844</v>
      </c>
      <c r="C1518" s="155" t="s">
        <v>115</v>
      </c>
      <c r="D1518" s="155"/>
      <c r="E1518" s="155" t="s">
        <v>493</v>
      </c>
      <c r="F1518" s="157">
        <v>2000</v>
      </c>
      <c r="G1518" s="158">
        <v>56.23</v>
      </c>
      <c r="H1518" s="157">
        <v>157.44</v>
      </c>
      <c r="I1518" s="157"/>
      <c r="J1518" s="159">
        <v>112302.56</v>
      </c>
      <c r="K1518" s="6" t="s">
        <v>641</v>
      </c>
      <c r="L1518" s="20">
        <f>IF(ISNA(MATCH(Transactions[[#This Row],[TransType]],TransTypes[TransType],0)),1,MATCH(Transactions[[#This Row],[TransType]],TransTypes[TransType],0))</f>
        <v>3</v>
      </c>
      <c r="M1518" s="160">
        <f>IF( AND( INDEX(TransTypes[],Transactions[[#This Row],[TTR]],TT_COL_GLFlag)=1, INDEX(TransTypes[],Transactions[[#This Row],[TTR]],TT_COL_LONGORSHORT)="S" ),
      Transactions[[#This Row],[PL]],
      IF(INDEX(TransTypes[],Transactions[[#This Row],[TTR]],TT_COL_LONGORSHORT)="S",0,Transactions[[#This Row],[CalCashImpact]])
)</f>
        <v>112302.56</v>
      </c>
      <c r="N1518" s="161">
        <f>IF(VLOOKUP(Transactions[[#This Row],[Symbol]],Symbols[],COLUMN(Symbols[Currency])-COLUMN(Symbols[])+1,FALSE)=
       VLOOKUP(Transactions[[#This Row],[Account]],Accounts[],COLUMN(Accounts[Currency])-COLUMN(Accounts[])+1,FALSE),
     Transactions[[#This Row],[OrigCashImpact]],
     0
)</f>
        <v>112302.56</v>
      </c>
      <c r="O15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1338477.2000000004</v>
      </c>
      <c r="P15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518" s="41">
        <f>ROW()</f>
        <v>1518</v>
      </c>
      <c r="S15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-92737.08</v>
      </c>
      <c r="T15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92737.08</v>
      </c>
      <c r="U15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518" s="166">
        <f>IF(INDEX(TransTypes[],Transactions[[#This Row],[TTR]],TT_COL_GLFlag)=1,Transactions[[#This Row],[CalCashImpact]]+Transactions[[#This Row],[CostImpact]],0)</f>
        <v>19565.479999999996</v>
      </c>
      <c r="W1518" s="167">
        <f>Transactions[[#This Row],[Amount]]*INDEX(TransTypes[],Transactions[[#This Row],[TTR]],TT_COL_AmntSign)</f>
        <v>112302.56</v>
      </c>
      <c r="X1518" s="167">
        <f>IF(INDEX(TransTypes[],Transactions[[#This Row],[TTR]],TT_COL_LONGORSHORT)="S",
      IF( OR(INDEX(TransTypes[],Transactions[[#This Row],[TTR]],TT_COL_GLFlag)=1, INDEX(TransTypes[], Transactions[[#This Row],[TTR]], TT_COL_ShareTransferFlag)=1),
            Transactions[[#This Row],[CostImpact]]*-1,
            Transactions[[#This Row],[CalCashImpact]]
      ),
     0
)</f>
        <v>0</v>
      </c>
      <c r="Y1518" s="168" t="str">
        <f>VLOOKUP(Transactions[[#This Row],[Symbol]],Symbols[], COLUMN(Symbols[Currency])-COLUMN(Symbols[])+1,FALSE)</f>
        <v>CNY</v>
      </c>
    </row>
    <row r="1519" spans="1:25">
      <c r="A1519" s="155" t="s">
        <v>82</v>
      </c>
      <c r="B1519" s="156">
        <v>42844</v>
      </c>
      <c r="C1519" s="155" t="s">
        <v>113</v>
      </c>
      <c r="D1519" s="155"/>
      <c r="E1519" s="155" t="s">
        <v>474</v>
      </c>
      <c r="F1519" s="157">
        <v>4400</v>
      </c>
      <c r="G1519" s="158">
        <v>40.69</v>
      </c>
      <c r="H1519" s="157">
        <v>71.61</v>
      </c>
      <c r="I1519" s="157"/>
      <c r="J1519" s="159">
        <v>179107.61</v>
      </c>
      <c r="K1519" s="6" t="s">
        <v>641</v>
      </c>
      <c r="L1519" s="20">
        <f>IF(ISNA(MATCH(Transactions[[#This Row],[TransType]],TransTypes[TransType],0)),1,MATCH(Transactions[[#This Row],[TransType]],TransTypes[TransType],0))</f>
        <v>2</v>
      </c>
      <c r="M1519" s="160">
        <f>IF( AND( INDEX(TransTypes[],Transactions[[#This Row],[TTR]],TT_COL_GLFlag)=1, INDEX(TransTypes[],Transactions[[#This Row],[TTR]],TT_COL_LONGORSHORT)="S" ),
      Transactions[[#This Row],[PL]],
      IF(INDEX(TransTypes[],Transactions[[#This Row],[TTR]],TT_COL_LONGORSHORT)="S",0,Transactions[[#This Row],[CalCashImpact]])
)</f>
        <v>-179107.61</v>
      </c>
      <c r="N1519" s="161">
        <f>IF(VLOOKUP(Transactions[[#This Row],[Symbol]],Symbols[],COLUMN(Symbols[Currency])-COLUMN(Symbols[])+1,FALSE)=
       VLOOKUP(Transactions[[#This Row],[Account]],Accounts[],COLUMN(Accounts[Currency])-COLUMN(Accounts[])+1,FALSE),
     Transactions[[#This Row],[OrigCashImpact]],
     0
)</f>
        <v>-179107.61</v>
      </c>
      <c r="O15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1159369.5900000005</v>
      </c>
      <c r="P15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4400</v>
      </c>
      <c r="Q15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4400</v>
      </c>
      <c r="R1519" s="41">
        <f>ROW()</f>
        <v>1519</v>
      </c>
      <c r="S15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179107.61</v>
      </c>
      <c r="T15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179107.61</v>
      </c>
      <c r="U15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4400</v>
      </c>
      <c r="V1519" s="166">
        <f>IF(INDEX(TransTypes[],Transactions[[#This Row],[TTR]],TT_COL_GLFlag)=1,Transactions[[#This Row],[CalCashImpact]]+Transactions[[#This Row],[CostImpact]],0)</f>
        <v>0</v>
      </c>
      <c r="W1519" s="167">
        <f>Transactions[[#This Row],[Amount]]*INDEX(TransTypes[],Transactions[[#This Row],[TTR]],TT_COL_AmntSign)</f>
        <v>-179107.61</v>
      </c>
      <c r="X1519" s="167">
        <f>IF(INDEX(TransTypes[],Transactions[[#This Row],[TTR]],TT_COL_LONGORSHORT)="S",
      IF( OR(INDEX(TransTypes[],Transactions[[#This Row],[TTR]],TT_COL_GLFlag)=1, INDEX(TransTypes[], Transactions[[#This Row],[TTR]], TT_COL_ShareTransferFlag)=1),
            Transactions[[#This Row],[CostImpact]]*-1,
            Transactions[[#This Row],[CalCashImpact]]
      ),
     0
)</f>
        <v>0</v>
      </c>
      <c r="Y1519" s="168" t="str">
        <f>VLOOKUP(Transactions[[#This Row],[Symbol]],Symbols[], COLUMN(Symbols[Currency])-COLUMN(Symbols[])+1,FALSE)</f>
        <v>CNY</v>
      </c>
    </row>
    <row r="1520" spans="1:25">
      <c r="A1520" s="155" t="s">
        <v>82</v>
      </c>
      <c r="B1520" s="156">
        <v>42844</v>
      </c>
      <c r="C1520" s="155" t="s">
        <v>115</v>
      </c>
      <c r="D1520" s="155"/>
      <c r="E1520" s="155" t="s">
        <v>471</v>
      </c>
      <c r="F1520" s="157">
        <v>1000</v>
      </c>
      <c r="G1520" s="158">
        <v>23.01</v>
      </c>
      <c r="H1520" s="157">
        <v>32.21</v>
      </c>
      <c r="I1520" s="157"/>
      <c r="J1520" s="159">
        <v>22977.79</v>
      </c>
      <c r="K1520" s="6" t="s">
        <v>641</v>
      </c>
      <c r="L1520" s="20">
        <f>IF(ISNA(MATCH(Transactions[[#This Row],[TransType]],TransTypes[TransType],0)),1,MATCH(Transactions[[#This Row],[TransType]],TransTypes[TransType],0))</f>
        <v>3</v>
      </c>
      <c r="M1520" s="160">
        <f>IF( AND( INDEX(TransTypes[],Transactions[[#This Row],[TTR]],TT_COL_GLFlag)=1, INDEX(TransTypes[],Transactions[[#This Row],[TTR]],TT_COL_LONGORSHORT)="S" ),
      Transactions[[#This Row],[PL]],
      IF(INDEX(TransTypes[],Transactions[[#This Row],[TTR]],TT_COL_LONGORSHORT)="S",0,Transactions[[#This Row],[CalCashImpact]])
)</f>
        <v>22977.79</v>
      </c>
      <c r="N1520" s="161">
        <f>IF(VLOOKUP(Transactions[[#This Row],[Symbol]],Symbols[],COLUMN(Symbols[Currency])-COLUMN(Symbols[])+1,FALSE)=
       VLOOKUP(Transactions[[#This Row],[Account]],Accounts[],COLUMN(Accounts[Currency])-COLUMN(Accounts[])+1,FALSE),
     Transactions[[#This Row],[OrigCashImpact]],
     0
)</f>
        <v>22977.79</v>
      </c>
      <c r="O15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1182347.3800000006</v>
      </c>
      <c r="P15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5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520" s="41">
        <f>ROW()</f>
        <v>1520</v>
      </c>
      <c r="S15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-19162.662</v>
      </c>
      <c r="T15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95813.310000000012</v>
      </c>
      <c r="U15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520" s="166">
        <f>IF(INDEX(TransTypes[],Transactions[[#This Row],[TTR]],TT_COL_GLFlag)=1,Transactions[[#This Row],[CalCashImpact]]+Transactions[[#This Row],[CostImpact]],0)</f>
        <v>3815.1280000000006</v>
      </c>
      <c r="W1520" s="167">
        <f>Transactions[[#This Row],[Amount]]*INDEX(TransTypes[],Transactions[[#This Row],[TTR]],TT_COL_AmntSign)</f>
        <v>22977.79</v>
      </c>
      <c r="X1520" s="167">
        <f>IF(INDEX(TransTypes[],Transactions[[#This Row],[TTR]],TT_COL_LONGORSHORT)="S",
      IF( OR(INDEX(TransTypes[],Transactions[[#This Row],[TTR]],TT_COL_GLFlag)=1, INDEX(TransTypes[], Transactions[[#This Row],[TTR]], TT_COL_ShareTransferFlag)=1),
            Transactions[[#This Row],[CostImpact]]*-1,
            Transactions[[#This Row],[CalCashImpact]]
      ),
     0
)</f>
        <v>0</v>
      </c>
      <c r="Y1520" s="168" t="str">
        <f>VLOOKUP(Transactions[[#This Row],[Symbol]],Symbols[], COLUMN(Symbols[Currency])-COLUMN(Symbols[])+1,FALSE)</f>
        <v>CNY</v>
      </c>
    </row>
    <row r="1521" spans="1:25">
      <c r="A1521" s="155" t="s">
        <v>82</v>
      </c>
      <c r="B1521" s="156">
        <v>42844</v>
      </c>
      <c r="C1521" s="155" t="s">
        <v>115</v>
      </c>
      <c r="D1521" s="155"/>
      <c r="E1521" s="155" t="s">
        <v>710</v>
      </c>
      <c r="F1521" s="157">
        <v>1400</v>
      </c>
      <c r="G1521" s="158">
        <v>28.64</v>
      </c>
      <c r="H1521" s="157">
        <v>56.14</v>
      </c>
      <c r="I1521" s="157"/>
      <c r="J1521" s="159">
        <v>40039.86</v>
      </c>
      <c r="K1521" s="6" t="s">
        <v>641</v>
      </c>
      <c r="L1521" s="20">
        <f>IF(ISNA(MATCH(Transactions[[#This Row],[TransType]],TransTypes[TransType],0)),1,MATCH(Transactions[[#This Row],[TransType]],TransTypes[TransType],0))</f>
        <v>3</v>
      </c>
      <c r="M1521" s="160">
        <f>IF( AND( INDEX(TransTypes[],Transactions[[#This Row],[TTR]],TT_COL_GLFlag)=1, INDEX(TransTypes[],Transactions[[#This Row],[TTR]],TT_COL_LONGORSHORT)="S" ),
      Transactions[[#This Row],[PL]],
      IF(INDEX(TransTypes[],Transactions[[#This Row],[TTR]],TT_COL_LONGORSHORT)="S",0,Transactions[[#This Row],[CalCashImpact]])
)</f>
        <v>40039.86</v>
      </c>
      <c r="N1521" s="161">
        <f>IF(VLOOKUP(Transactions[[#This Row],[Symbol]],Symbols[],COLUMN(Symbols[Currency])-COLUMN(Symbols[])+1,FALSE)=
       VLOOKUP(Transactions[[#This Row],[Account]],Accounts[],COLUMN(Accounts[Currency])-COLUMN(Accounts[])+1,FALSE),
     Transactions[[#This Row],[OrigCashImpact]],
     0
)</f>
        <v>40039.86</v>
      </c>
      <c r="O15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1222387.2400000005</v>
      </c>
      <c r="P15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-1400</v>
      </c>
      <c r="Q15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521" s="41">
        <f>ROW()</f>
        <v>1521</v>
      </c>
      <c r="S15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-30947.790438888889</v>
      </c>
      <c r="T15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44211.129198412702</v>
      </c>
      <c r="U15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3400</v>
      </c>
      <c r="V1521" s="166">
        <f>IF(INDEX(TransTypes[],Transactions[[#This Row],[TTR]],TT_COL_GLFlag)=1,Transactions[[#This Row],[CalCashImpact]]+Transactions[[#This Row],[CostImpact]],0)</f>
        <v>9092.0695611111114</v>
      </c>
      <c r="W1521" s="167">
        <f>Transactions[[#This Row],[Amount]]*INDEX(TransTypes[],Transactions[[#This Row],[TTR]],TT_COL_AmntSign)</f>
        <v>40039.86</v>
      </c>
      <c r="X1521" s="167">
        <f>IF(INDEX(TransTypes[],Transactions[[#This Row],[TTR]],TT_COL_LONGORSHORT)="S",
      IF( OR(INDEX(TransTypes[],Transactions[[#This Row],[TTR]],TT_COL_GLFlag)=1, INDEX(TransTypes[], Transactions[[#This Row],[TTR]], TT_COL_ShareTransferFlag)=1),
            Transactions[[#This Row],[CostImpact]]*-1,
            Transactions[[#This Row],[CalCashImpact]]
      ),
     0
)</f>
        <v>0</v>
      </c>
      <c r="Y1521" s="168" t="str">
        <f>VLOOKUP(Transactions[[#This Row],[Symbol]],Symbols[], COLUMN(Symbols[Currency])-COLUMN(Symbols[])+1,FALSE)</f>
        <v>CNY</v>
      </c>
    </row>
    <row r="1522" spans="1:25">
      <c r="A1522" s="155" t="s">
        <v>82</v>
      </c>
      <c r="B1522" s="156">
        <v>42844</v>
      </c>
      <c r="C1522" s="155" t="s">
        <v>115</v>
      </c>
      <c r="D1522" s="155"/>
      <c r="E1522" s="155" t="s">
        <v>704</v>
      </c>
      <c r="F1522" s="157">
        <v>2300</v>
      </c>
      <c r="G1522" s="158">
        <v>22.53</v>
      </c>
      <c r="H1522" s="157">
        <v>72.56</v>
      </c>
      <c r="I1522" s="157"/>
      <c r="J1522" s="159">
        <v>51746.44</v>
      </c>
      <c r="K1522" s="6" t="s">
        <v>641</v>
      </c>
      <c r="L1522" s="20">
        <f>IF(ISNA(MATCH(Transactions[[#This Row],[TransType]],TransTypes[TransType],0)),1,MATCH(Transactions[[#This Row],[TransType]],TransTypes[TransType],0))</f>
        <v>3</v>
      </c>
      <c r="M1522" s="160">
        <f>IF( AND( INDEX(TransTypes[],Transactions[[#This Row],[TTR]],TT_COL_GLFlag)=1, INDEX(TransTypes[],Transactions[[#This Row],[TTR]],TT_COL_LONGORSHORT)="S" ),
      Transactions[[#This Row],[PL]],
      IF(INDEX(TransTypes[],Transactions[[#This Row],[TTR]],TT_COL_LONGORSHORT)="S",0,Transactions[[#This Row],[CalCashImpact]])
)</f>
        <v>51746.44</v>
      </c>
      <c r="N1522" s="161">
        <f>IF(VLOOKUP(Transactions[[#This Row],[Symbol]],Symbols[],COLUMN(Symbols[Currency])-COLUMN(Symbols[])+1,FALSE)=
       VLOOKUP(Transactions[[#This Row],[Account]],Accounts[],COLUMN(Accounts[Currency])-COLUMN(Accounts[])+1,FALSE),
     Transactions[[#This Row],[OrigCashImpact]],
     0
)</f>
        <v>51746.44</v>
      </c>
      <c r="O15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1274133.6800000006</v>
      </c>
      <c r="P15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-2300</v>
      </c>
      <c r="Q15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522" s="41">
        <f>ROW()</f>
        <v>1522</v>
      </c>
      <c r="S15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-50025.821282451929</v>
      </c>
      <c r="T15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174002.8566346154</v>
      </c>
      <c r="U15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10300</v>
      </c>
      <c r="V1522" s="166">
        <f>IF(INDEX(TransTypes[],Transactions[[#This Row],[TTR]],TT_COL_GLFlag)=1,Transactions[[#This Row],[CalCashImpact]]+Transactions[[#This Row],[CostImpact]],0)</f>
        <v>1720.6187175480736</v>
      </c>
      <c r="W1522" s="167">
        <f>Transactions[[#This Row],[Amount]]*INDEX(TransTypes[],Transactions[[#This Row],[TTR]],TT_COL_AmntSign)</f>
        <v>51746.44</v>
      </c>
      <c r="X1522" s="167">
        <f>IF(INDEX(TransTypes[],Transactions[[#This Row],[TTR]],TT_COL_LONGORSHORT)="S",
      IF( OR(INDEX(TransTypes[],Transactions[[#This Row],[TTR]],TT_COL_GLFlag)=1, INDEX(TransTypes[], Transactions[[#This Row],[TTR]], TT_COL_ShareTransferFlag)=1),
            Transactions[[#This Row],[CostImpact]]*-1,
            Transactions[[#This Row],[CalCashImpact]]
      ),
     0
)</f>
        <v>0</v>
      </c>
      <c r="Y1522" s="168" t="str">
        <f>VLOOKUP(Transactions[[#This Row],[Symbol]],Symbols[], COLUMN(Symbols[Currency])-COLUMN(Symbols[])+1,FALSE)</f>
        <v>CNY</v>
      </c>
    </row>
    <row r="1523" spans="1:25">
      <c r="A1523" s="155" t="s">
        <v>82</v>
      </c>
      <c r="B1523" s="156">
        <v>42844</v>
      </c>
      <c r="C1523" s="155" t="s">
        <v>113</v>
      </c>
      <c r="D1523" s="155"/>
      <c r="E1523" s="155" t="s">
        <v>736</v>
      </c>
      <c r="F1523" s="157">
        <v>4500</v>
      </c>
      <c r="G1523" s="158">
        <v>24.77</v>
      </c>
      <c r="H1523" s="157">
        <v>46.82</v>
      </c>
      <c r="I1523" s="157"/>
      <c r="J1523" s="159">
        <v>111511.82</v>
      </c>
      <c r="K1523" s="6" t="s">
        <v>641</v>
      </c>
      <c r="L1523" s="20">
        <f>IF(ISNA(MATCH(Transactions[[#This Row],[TransType]],TransTypes[TransType],0)),1,MATCH(Transactions[[#This Row],[TransType]],TransTypes[TransType],0))</f>
        <v>2</v>
      </c>
      <c r="M1523" s="160">
        <f>IF( AND( INDEX(TransTypes[],Transactions[[#This Row],[TTR]],TT_COL_GLFlag)=1, INDEX(TransTypes[],Transactions[[#This Row],[TTR]],TT_COL_LONGORSHORT)="S" ),
      Transactions[[#This Row],[PL]],
      IF(INDEX(TransTypes[],Transactions[[#This Row],[TTR]],TT_COL_LONGORSHORT)="S",0,Transactions[[#This Row],[CalCashImpact]])
)</f>
        <v>-111511.82</v>
      </c>
      <c r="N1523" s="161">
        <f>IF(VLOOKUP(Transactions[[#This Row],[Symbol]],Symbols[],COLUMN(Symbols[Currency])-COLUMN(Symbols[])+1,FALSE)=
       VLOOKUP(Transactions[[#This Row],[Account]],Accounts[],COLUMN(Accounts[Currency])-COLUMN(Accounts[])+1,FALSE),
     Transactions[[#This Row],[OrigCashImpact]],
     0
)</f>
        <v>-111511.82</v>
      </c>
      <c r="O15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1162621.8600000006</v>
      </c>
      <c r="P15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4500</v>
      </c>
      <c r="Q15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523" s="41">
        <f>ROW()</f>
        <v>1523</v>
      </c>
      <c r="S15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111511.82</v>
      </c>
      <c r="T15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124292.18550000001</v>
      </c>
      <c r="U15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523" s="166">
        <f>IF(INDEX(TransTypes[],Transactions[[#This Row],[TTR]],TT_COL_GLFlag)=1,Transactions[[#This Row],[CalCashImpact]]+Transactions[[#This Row],[CostImpact]],0)</f>
        <v>0</v>
      </c>
      <c r="W1523" s="167">
        <f>Transactions[[#This Row],[Amount]]*INDEX(TransTypes[],Transactions[[#This Row],[TTR]],TT_COL_AmntSign)</f>
        <v>-111511.82</v>
      </c>
      <c r="X1523" s="167">
        <f>IF(INDEX(TransTypes[],Transactions[[#This Row],[TTR]],TT_COL_LONGORSHORT)="S",
      IF( OR(INDEX(TransTypes[],Transactions[[#This Row],[TTR]],TT_COL_GLFlag)=1, INDEX(TransTypes[], Transactions[[#This Row],[TTR]], TT_COL_ShareTransferFlag)=1),
            Transactions[[#This Row],[CostImpact]]*-1,
            Transactions[[#This Row],[CalCashImpact]]
      ),
     0
)</f>
        <v>0</v>
      </c>
      <c r="Y1523" s="168" t="str">
        <f>VLOOKUP(Transactions[[#This Row],[Symbol]],Symbols[], COLUMN(Symbols[Currency])-COLUMN(Symbols[])+1,FALSE)</f>
        <v>CNY</v>
      </c>
    </row>
    <row r="1524" spans="1:25">
      <c r="A1524" s="155" t="s">
        <v>82</v>
      </c>
      <c r="B1524" s="156">
        <v>42844</v>
      </c>
      <c r="C1524" s="155" t="s">
        <v>115</v>
      </c>
      <c r="D1524" s="155"/>
      <c r="E1524" s="155" t="s">
        <v>735</v>
      </c>
      <c r="F1524" s="157">
        <v>1000</v>
      </c>
      <c r="G1524" s="158">
        <v>10.119999999999999</v>
      </c>
      <c r="H1524" s="157">
        <v>15.33</v>
      </c>
      <c r="I1524" s="157"/>
      <c r="J1524" s="159">
        <v>10104.67</v>
      </c>
      <c r="K1524" s="6" t="s">
        <v>641</v>
      </c>
      <c r="L1524" s="20">
        <f>IF(ISNA(MATCH(Transactions[[#This Row],[TransType]],TransTypes[TransType],0)),1,MATCH(Transactions[[#This Row],[TransType]],TransTypes[TransType],0))</f>
        <v>3</v>
      </c>
      <c r="M1524" s="160">
        <f>IF( AND( INDEX(TransTypes[],Transactions[[#This Row],[TTR]],TT_COL_GLFlag)=1, INDEX(TransTypes[],Transactions[[#This Row],[TTR]],TT_COL_LONGORSHORT)="S" ),
      Transactions[[#This Row],[PL]],
      IF(INDEX(TransTypes[],Transactions[[#This Row],[TTR]],TT_COL_LONGORSHORT)="S",0,Transactions[[#This Row],[CalCashImpact]])
)</f>
        <v>10104.67</v>
      </c>
      <c r="N1524" s="161">
        <f>IF(VLOOKUP(Transactions[[#This Row],[Symbol]],Symbols[],COLUMN(Symbols[Currency])-COLUMN(Symbols[])+1,FALSE)=
       VLOOKUP(Transactions[[#This Row],[Account]],Accounts[],COLUMN(Accounts[Currency])-COLUMN(Accounts[])+1,FALSE),
     Transactions[[#This Row],[OrigCashImpact]],
     0
)</f>
        <v>10104.67</v>
      </c>
      <c r="O15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1172726.5300000005</v>
      </c>
      <c r="P15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5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24" s="41">
        <f>ROW()</f>
        <v>1524</v>
      </c>
      <c r="S15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-2290</v>
      </c>
      <c r="T15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524" s="166">
        <f>IF(INDEX(TransTypes[],Transactions[[#This Row],[TTR]],TT_COL_GLFlag)=1,Transactions[[#This Row],[CalCashImpact]]+Transactions[[#This Row],[CostImpact]],0)</f>
        <v>7814.67</v>
      </c>
      <c r="W1524" s="167">
        <f>Transactions[[#This Row],[Amount]]*INDEX(TransTypes[],Transactions[[#This Row],[TTR]],TT_COL_AmntSign)</f>
        <v>10104.67</v>
      </c>
      <c r="X1524" s="167">
        <f>IF(INDEX(TransTypes[],Transactions[[#This Row],[TTR]],TT_COL_LONGORSHORT)="S",
      IF( OR(INDEX(TransTypes[],Transactions[[#This Row],[TTR]],TT_COL_GLFlag)=1, INDEX(TransTypes[], Transactions[[#This Row],[TTR]], TT_COL_ShareTransferFlag)=1),
            Transactions[[#This Row],[CostImpact]]*-1,
            Transactions[[#This Row],[CalCashImpact]]
      ),
     0
)</f>
        <v>0</v>
      </c>
      <c r="Y1524" s="168" t="str">
        <f>VLOOKUP(Transactions[[#This Row],[Symbol]],Symbols[], COLUMN(Symbols[Currency])-COLUMN(Symbols[])+1,FALSE)</f>
        <v>CNY</v>
      </c>
    </row>
    <row r="1525" spans="1:25">
      <c r="A1525" s="155" t="s">
        <v>82</v>
      </c>
      <c r="B1525" s="156">
        <v>42844</v>
      </c>
      <c r="C1525" s="155" t="s">
        <v>115</v>
      </c>
      <c r="D1525" s="155"/>
      <c r="E1525" s="155" t="s">
        <v>258</v>
      </c>
      <c r="F1525" s="157">
        <v>5000</v>
      </c>
      <c r="G1525" s="158">
        <v>11.2</v>
      </c>
      <c r="H1525" s="157">
        <v>230.81</v>
      </c>
      <c r="I1525" s="157"/>
      <c r="J1525" s="159">
        <v>55769.19</v>
      </c>
      <c r="K1525" s="6" t="s">
        <v>641</v>
      </c>
      <c r="L1525" s="20">
        <f>IF(ISNA(MATCH(Transactions[[#This Row],[TransType]],TransTypes[TransType],0)),1,MATCH(Transactions[[#This Row],[TransType]],TransTypes[TransType],0))</f>
        <v>3</v>
      </c>
      <c r="M1525" s="160">
        <f>IF( AND( INDEX(TransTypes[],Transactions[[#This Row],[TTR]],TT_COL_GLFlag)=1, INDEX(TransTypes[],Transactions[[#This Row],[TTR]],TT_COL_LONGORSHORT)="S" ),
      Transactions[[#This Row],[PL]],
      IF(INDEX(TransTypes[],Transactions[[#This Row],[TTR]],TT_COL_LONGORSHORT)="S",0,Transactions[[#This Row],[CalCashImpact]])
)</f>
        <v>55769.19</v>
      </c>
      <c r="N1525" s="161">
        <f>IF(VLOOKUP(Transactions[[#This Row],[Symbol]],Symbols[],COLUMN(Symbols[Currency])-COLUMN(Symbols[])+1,FALSE)=
       VLOOKUP(Transactions[[#This Row],[Account]],Accounts[],COLUMN(Accounts[Currency])-COLUMN(Accounts[])+1,FALSE),
     Transactions[[#This Row],[OrigCashImpact]],
     0
)</f>
        <v>0</v>
      </c>
      <c r="O15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1172726.5300000005</v>
      </c>
      <c r="P15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5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525" s="41">
        <f>ROW()</f>
        <v>1525</v>
      </c>
      <c r="S15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-32984.821666666663</v>
      </c>
      <c r="T15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131939.28666666668</v>
      </c>
      <c r="U15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v>
      </c>
      <c r="V1525" s="166">
        <f>IF(INDEX(TransTypes[],Transactions[[#This Row],[TTR]],TT_COL_GLFlag)=1,Transactions[[#This Row],[CalCashImpact]]+Transactions[[#This Row],[CostImpact]],0)</f>
        <v>22784.368333333339</v>
      </c>
      <c r="W1525" s="167">
        <f>Transactions[[#This Row],[Amount]]*INDEX(TransTypes[],Transactions[[#This Row],[TTR]],TT_COL_AmntSign)</f>
        <v>55769.19</v>
      </c>
      <c r="X1525" s="167">
        <f>IF(INDEX(TransTypes[],Transactions[[#This Row],[TTR]],TT_COL_LONGORSHORT)="S",
      IF( OR(INDEX(TransTypes[],Transactions[[#This Row],[TTR]],TT_COL_GLFlag)=1, INDEX(TransTypes[], Transactions[[#This Row],[TTR]], TT_COL_ShareTransferFlag)=1),
            Transactions[[#This Row],[CostImpact]]*-1,
            Transactions[[#This Row],[CalCashImpact]]
      ),
     0
)</f>
        <v>0</v>
      </c>
      <c r="Y1525" s="168" t="str">
        <f>VLOOKUP(Transactions[[#This Row],[Symbol]],Symbols[], COLUMN(Symbols[Currency])-COLUMN(Symbols[])+1,FALSE)</f>
        <v>HKD</v>
      </c>
    </row>
    <row r="1526" spans="1:25">
      <c r="A1526" s="155" t="s">
        <v>82</v>
      </c>
      <c r="B1526" s="156">
        <v>42844</v>
      </c>
      <c r="C1526" s="155" t="s">
        <v>156</v>
      </c>
      <c r="D1526" s="155"/>
      <c r="E1526" s="155" t="s">
        <v>210</v>
      </c>
      <c r="F1526" s="157">
        <v>49383.06</v>
      </c>
      <c r="G1526" s="158">
        <f>Transactions[[#This Row],[Amount]]/Transactions[[#This Row],[Qty]]</f>
        <v>1.1293182317985155</v>
      </c>
      <c r="H1526" s="157"/>
      <c r="I1526" s="157"/>
      <c r="J1526" s="159">
        <v>55769.19</v>
      </c>
      <c r="K1526" s="6" t="s">
        <v>739</v>
      </c>
      <c r="L1526" s="20">
        <f>IF(ISNA(MATCH(Transactions[[#This Row],[TransType]],TransTypes[TransType],0)),1,MATCH(Transactions[[#This Row],[TransType]],TransTypes[TransType],0))</f>
        <v>17</v>
      </c>
      <c r="M1526" s="160">
        <f>IF( AND( INDEX(TransTypes[],Transactions[[#This Row],[TTR]],TT_COL_GLFlag)=1, INDEX(TransTypes[],Transactions[[#This Row],[TTR]],TT_COL_LONGORSHORT)="S" ),
      Transactions[[#This Row],[PL]],
      IF(INDEX(TransTypes[],Transactions[[#This Row],[TTR]],TT_COL_LONGORSHORT)="S",0,Transactions[[#This Row],[CalCashImpact]])
)</f>
        <v>-55769.19</v>
      </c>
      <c r="N1526" s="161">
        <f>IF(VLOOKUP(Transactions[[#This Row],[Symbol]],Symbols[],COLUMN(Symbols[Currency])-COLUMN(Symbols[])+1,FALSE)=
       VLOOKUP(Transactions[[#This Row],[Account]],Accounts[],COLUMN(Accounts[Currency])-COLUMN(Accounts[])+1,FALSE),
     Transactions[[#This Row],[OrigCashImpact]],
     0
)</f>
        <v>0</v>
      </c>
      <c r="O15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1172726.5300000005</v>
      </c>
      <c r="P15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26" s="41">
        <f>ROW()</f>
        <v>1526</v>
      </c>
      <c r="S15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26" s="166">
        <f>IF(INDEX(TransTypes[],Transactions[[#This Row],[TTR]],TT_COL_GLFlag)=1,Transactions[[#This Row],[CalCashImpact]]+Transactions[[#This Row],[CostImpact]],0)</f>
        <v>0</v>
      </c>
      <c r="W1526" s="167">
        <f>Transactions[[#This Row],[Amount]]*INDEX(TransTypes[],Transactions[[#This Row],[TTR]],TT_COL_AmntSign)</f>
        <v>-55769.19</v>
      </c>
      <c r="X1526" s="167">
        <f>IF(INDEX(TransTypes[],Transactions[[#This Row],[TTR]],TT_COL_LONGORSHORT)="S",
      IF( OR(INDEX(TransTypes[],Transactions[[#This Row],[TTR]],TT_COL_GLFlag)=1, INDEX(TransTypes[], Transactions[[#This Row],[TTR]], TT_COL_ShareTransferFlag)=1),
            Transactions[[#This Row],[CostImpact]]*-1,
            Transactions[[#This Row],[CalCashImpact]]
      ),
     0
)</f>
        <v>0</v>
      </c>
      <c r="Y1526" s="168" t="str">
        <f>VLOOKUP(Transactions[[#This Row],[Symbol]],Symbols[], COLUMN(Symbols[Currency])-COLUMN(Symbols[])+1,FALSE)</f>
        <v>HKD</v>
      </c>
    </row>
    <row r="1527" spans="1:25">
      <c r="A1527" s="155" t="s">
        <v>82</v>
      </c>
      <c r="B1527" s="156">
        <v>42844</v>
      </c>
      <c r="C1527" s="155" t="s">
        <v>239</v>
      </c>
      <c r="D1527" s="155"/>
      <c r="E1527" s="155" t="s">
        <v>211</v>
      </c>
      <c r="F1527" s="157">
        <v>49383.06</v>
      </c>
      <c r="G1527" s="158">
        <v>1</v>
      </c>
      <c r="H1527" s="157"/>
      <c r="I1527" s="157"/>
      <c r="J1527" s="159">
        <v>49383.06</v>
      </c>
      <c r="K1527" s="6" t="s">
        <v>740</v>
      </c>
      <c r="L1527" s="20">
        <f>IF(ISNA(MATCH(Transactions[[#This Row],[TransType]],TransTypes[TransType],0)),1,MATCH(Transactions[[#This Row],[TransType]],TransTypes[TransType],0))</f>
        <v>18</v>
      </c>
      <c r="M1527" s="160">
        <f>IF( AND( INDEX(TransTypes[],Transactions[[#This Row],[TTR]],TT_COL_GLFlag)=1, INDEX(TransTypes[],Transactions[[#This Row],[TTR]],TT_COL_LONGORSHORT)="S" ),
      Transactions[[#This Row],[PL]],
      IF(INDEX(TransTypes[],Transactions[[#This Row],[TTR]],TT_COL_LONGORSHORT)="S",0,Transactions[[#This Row],[CalCashImpact]])
)</f>
        <v>49383.06</v>
      </c>
      <c r="N1527" s="161">
        <f>IF(VLOOKUP(Transactions[[#This Row],[Symbol]],Symbols[],COLUMN(Symbols[Currency])-COLUMN(Symbols[])+1,FALSE)=
       VLOOKUP(Transactions[[#This Row],[Account]],Accounts[],COLUMN(Accounts[Currency])-COLUMN(Accounts[])+1,FALSE),
     Transactions[[#This Row],[OrigCashImpact]],
     0
)</f>
        <v>49383.06</v>
      </c>
      <c r="O15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1222109.5900000005</v>
      </c>
      <c r="P15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27" s="41">
        <f>ROW()</f>
        <v>1527</v>
      </c>
      <c r="S15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27" s="166">
        <f>IF(INDEX(TransTypes[],Transactions[[#This Row],[TTR]],TT_COL_GLFlag)=1,Transactions[[#This Row],[CalCashImpact]]+Transactions[[#This Row],[CostImpact]],0)</f>
        <v>0</v>
      </c>
      <c r="W1527" s="167">
        <f>Transactions[[#This Row],[Amount]]*INDEX(TransTypes[],Transactions[[#This Row],[TTR]],TT_COL_AmntSign)</f>
        <v>49383.06</v>
      </c>
      <c r="X1527" s="167">
        <f>IF(INDEX(TransTypes[],Transactions[[#This Row],[TTR]],TT_COL_LONGORSHORT)="S",
      IF( OR(INDEX(TransTypes[],Transactions[[#This Row],[TTR]],TT_COL_GLFlag)=1, INDEX(TransTypes[], Transactions[[#This Row],[TTR]], TT_COL_ShareTransferFlag)=1),
            Transactions[[#This Row],[CostImpact]]*-1,
            Transactions[[#This Row],[CalCashImpact]]
      ),
     0
)</f>
        <v>0</v>
      </c>
      <c r="Y1527" s="168" t="str">
        <f>VLOOKUP(Transactions[[#This Row],[Symbol]],Symbols[], COLUMN(Symbols[Currency])-COLUMN(Symbols[])+1,FALSE)</f>
        <v>CNY</v>
      </c>
    </row>
    <row r="1528" spans="1:25">
      <c r="A1528" s="155" t="s">
        <v>82</v>
      </c>
      <c r="B1528" s="156">
        <v>42845</v>
      </c>
      <c r="C1528" s="155" t="s">
        <v>113</v>
      </c>
      <c r="D1528" s="155"/>
      <c r="E1528" s="155" t="s">
        <v>738</v>
      </c>
      <c r="F1528" s="157">
        <v>10000</v>
      </c>
      <c r="G1528" s="158">
        <v>20.7</v>
      </c>
      <c r="H1528" s="157">
        <v>82.8</v>
      </c>
      <c r="I1528" s="157"/>
      <c r="J1528" s="159">
        <v>207082.8</v>
      </c>
      <c r="K1528" s="6" t="s">
        <v>641</v>
      </c>
      <c r="L1528" s="20">
        <f>IF(ISNA(MATCH(Transactions[[#This Row],[TransType]],TransTypes[TransType],0)),1,MATCH(Transactions[[#This Row],[TransType]],TransTypes[TransType],0))</f>
        <v>2</v>
      </c>
      <c r="M1528" s="160">
        <f>IF( AND( INDEX(TransTypes[],Transactions[[#This Row],[TTR]],TT_COL_GLFlag)=1, INDEX(TransTypes[],Transactions[[#This Row],[TTR]],TT_COL_LONGORSHORT)="S" ),
      Transactions[[#This Row],[PL]],
      IF(INDEX(TransTypes[],Transactions[[#This Row],[TTR]],TT_COL_LONGORSHORT)="S",0,Transactions[[#This Row],[CalCashImpact]])
)</f>
        <v>-207082.8</v>
      </c>
      <c r="N1528" s="161">
        <f>IF(VLOOKUP(Transactions[[#This Row],[Symbol]],Symbols[],COLUMN(Symbols[Currency])-COLUMN(Symbols[])+1,FALSE)=
       VLOOKUP(Transactions[[#This Row],[Account]],Accounts[],COLUMN(Accounts[Currency])-COLUMN(Accounts[])+1,FALSE),
     Transactions[[#This Row],[OrigCashImpact]],
     0
)</f>
        <v>-207082.8</v>
      </c>
      <c r="O15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1015026.7900000007</v>
      </c>
      <c r="P15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5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16000</v>
      </c>
      <c r="R1528" s="41">
        <f>ROW()</f>
        <v>1528</v>
      </c>
      <c r="S15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207082.8</v>
      </c>
      <c r="T15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330011.94999999995</v>
      </c>
      <c r="U15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16000</v>
      </c>
      <c r="V1528" s="166">
        <f>IF(INDEX(TransTypes[],Transactions[[#This Row],[TTR]],TT_COL_GLFlag)=1,Transactions[[#This Row],[CalCashImpact]]+Transactions[[#This Row],[CostImpact]],0)</f>
        <v>0</v>
      </c>
      <c r="W1528" s="167">
        <f>Transactions[[#This Row],[Amount]]*INDEX(TransTypes[],Transactions[[#This Row],[TTR]],TT_COL_AmntSign)</f>
        <v>-207082.8</v>
      </c>
      <c r="X1528" s="167">
        <f>IF(INDEX(TransTypes[],Transactions[[#This Row],[TTR]],TT_COL_LONGORSHORT)="S",
      IF( OR(INDEX(TransTypes[],Transactions[[#This Row],[TTR]],TT_COL_GLFlag)=1, INDEX(TransTypes[], Transactions[[#This Row],[TTR]], TT_COL_ShareTransferFlag)=1),
            Transactions[[#This Row],[CostImpact]]*-1,
            Transactions[[#This Row],[CalCashImpact]]
      ),
     0
)</f>
        <v>0</v>
      </c>
      <c r="Y1528" s="168" t="str">
        <f>VLOOKUP(Transactions[[#This Row],[Symbol]],Symbols[], COLUMN(Symbols[Currency])-COLUMN(Symbols[])+1,FALSE)</f>
        <v>CNY</v>
      </c>
    </row>
    <row r="1529" spans="1:25">
      <c r="A1529" s="155" t="s">
        <v>82</v>
      </c>
      <c r="B1529" s="156">
        <v>42845</v>
      </c>
      <c r="C1529" s="155" t="s">
        <v>113</v>
      </c>
      <c r="D1529" s="155"/>
      <c r="E1529" s="155" t="s">
        <v>468</v>
      </c>
      <c r="F1529" s="157">
        <v>6000</v>
      </c>
      <c r="G1529" s="158">
        <v>35.78</v>
      </c>
      <c r="H1529" s="157">
        <v>90.16</v>
      </c>
      <c r="I1529" s="157"/>
      <c r="J1529" s="159">
        <v>214770.16</v>
      </c>
      <c r="K1529" s="6" t="s">
        <v>641</v>
      </c>
      <c r="L1529" s="20">
        <f>IF(ISNA(MATCH(Transactions[[#This Row],[TransType]],TransTypes[TransType],0)),1,MATCH(Transactions[[#This Row],[TransType]],TransTypes[TransType],0))</f>
        <v>2</v>
      </c>
      <c r="M1529" s="160">
        <f>IF( AND( INDEX(TransTypes[],Transactions[[#This Row],[TTR]],TT_COL_GLFlag)=1, INDEX(TransTypes[],Transactions[[#This Row],[TTR]],TT_COL_LONGORSHORT)="S" ),
      Transactions[[#This Row],[PL]],
      IF(INDEX(TransTypes[],Transactions[[#This Row],[TTR]],TT_COL_LONGORSHORT)="S",0,Transactions[[#This Row],[CalCashImpact]])
)</f>
        <v>-214770.16</v>
      </c>
      <c r="N1529" s="161">
        <f>IF(VLOOKUP(Transactions[[#This Row],[Symbol]],Symbols[],COLUMN(Symbols[Currency])-COLUMN(Symbols[])+1,FALSE)=
       VLOOKUP(Transactions[[#This Row],[Account]],Accounts[],COLUMN(Accounts[Currency])-COLUMN(Accounts[])+1,FALSE),
     Transactions[[#This Row],[OrigCashImpact]],
     0
)</f>
        <v>-214770.16</v>
      </c>
      <c r="O15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800256.63000000082</v>
      </c>
      <c r="P15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5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529" s="41">
        <f>ROW()</f>
        <v>1529</v>
      </c>
      <c r="S15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214770.16</v>
      </c>
      <c r="T15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468951.57571428572</v>
      </c>
      <c r="U15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529" s="166">
        <f>IF(INDEX(TransTypes[],Transactions[[#This Row],[TTR]],TT_COL_GLFlag)=1,Transactions[[#This Row],[CalCashImpact]]+Transactions[[#This Row],[CostImpact]],0)</f>
        <v>0</v>
      </c>
      <c r="W1529" s="167">
        <f>Transactions[[#This Row],[Amount]]*INDEX(TransTypes[],Transactions[[#This Row],[TTR]],TT_COL_AmntSign)</f>
        <v>-214770.16</v>
      </c>
      <c r="X1529" s="167">
        <f>IF(INDEX(TransTypes[],Transactions[[#This Row],[TTR]],TT_COL_LONGORSHORT)="S",
      IF( OR(INDEX(TransTypes[],Transactions[[#This Row],[TTR]],TT_COL_GLFlag)=1, INDEX(TransTypes[], Transactions[[#This Row],[TTR]], TT_COL_ShareTransferFlag)=1),
            Transactions[[#This Row],[CostImpact]]*-1,
            Transactions[[#This Row],[CalCashImpact]]
      ),
     0
)</f>
        <v>0</v>
      </c>
      <c r="Y1529" s="168" t="str">
        <f>VLOOKUP(Transactions[[#This Row],[Symbol]],Symbols[], COLUMN(Symbols[Currency])-COLUMN(Symbols[])+1,FALSE)</f>
        <v>CNY</v>
      </c>
    </row>
    <row r="1530" spans="1:25">
      <c r="A1530" s="155" t="s">
        <v>82</v>
      </c>
      <c r="B1530" s="156">
        <v>42845</v>
      </c>
      <c r="C1530" s="155" t="s">
        <v>115</v>
      </c>
      <c r="D1530" s="155"/>
      <c r="E1530" s="155" t="s">
        <v>665</v>
      </c>
      <c r="F1530" s="157">
        <v>180000</v>
      </c>
      <c r="G1530" s="158">
        <v>1.0960000000000001</v>
      </c>
      <c r="H1530" s="157">
        <v>78.91</v>
      </c>
      <c r="I1530" s="157"/>
      <c r="J1530" s="159">
        <v>197201.09</v>
      </c>
      <c r="K1530" s="6" t="s">
        <v>641</v>
      </c>
      <c r="L1530" s="20">
        <f>IF(ISNA(MATCH(Transactions[[#This Row],[TransType]],TransTypes[TransType],0)),1,MATCH(Transactions[[#This Row],[TransType]],TransTypes[TransType],0))</f>
        <v>3</v>
      </c>
      <c r="M1530" s="160">
        <f>IF( AND( INDEX(TransTypes[],Transactions[[#This Row],[TTR]],TT_COL_GLFlag)=1, INDEX(TransTypes[],Transactions[[#This Row],[TTR]],TT_COL_LONGORSHORT)="S" ),
      Transactions[[#This Row],[PL]],
      IF(INDEX(TransTypes[],Transactions[[#This Row],[TTR]],TT_COL_LONGORSHORT)="S",0,Transactions[[#This Row],[CalCashImpact]])
)</f>
        <v>197201.09</v>
      </c>
      <c r="N1530" s="161">
        <f>IF(VLOOKUP(Transactions[[#This Row],[Symbol]],Symbols[],COLUMN(Symbols[Currency])-COLUMN(Symbols[])+1,FALSE)=
       VLOOKUP(Transactions[[#This Row],[Account]],Accounts[],COLUMN(Accounts[Currency])-COLUMN(Accounts[])+1,FALSE),
     Transactions[[#This Row],[OrigCashImpact]],
     0
)</f>
        <v>197201.09</v>
      </c>
      <c r="O15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997457.72000000079</v>
      </c>
      <c r="P15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-180000</v>
      </c>
      <c r="Q15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30" s="41">
        <f>ROW()</f>
        <v>1530</v>
      </c>
      <c r="S15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-178588.53573528264</v>
      </c>
      <c r="T15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180000</v>
      </c>
      <c r="V1530" s="166">
        <f>IF(INDEX(TransTypes[],Transactions[[#This Row],[TTR]],TT_COL_GLFlag)=1,Transactions[[#This Row],[CalCashImpact]]+Transactions[[#This Row],[CostImpact]],0)</f>
        <v>18612.554264717357</v>
      </c>
      <c r="W1530" s="167">
        <f>Transactions[[#This Row],[Amount]]*INDEX(TransTypes[],Transactions[[#This Row],[TTR]],TT_COL_AmntSign)</f>
        <v>197201.09</v>
      </c>
      <c r="X1530" s="167">
        <f>IF(INDEX(TransTypes[],Transactions[[#This Row],[TTR]],TT_COL_LONGORSHORT)="S",
      IF( OR(INDEX(TransTypes[],Transactions[[#This Row],[TTR]],TT_COL_GLFlag)=1, INDEX(TransTypes[], Transactions[[#This Row],[TTR]], TT_COL_ShareTransferFlag)=1),
            Transactions[[#This Row],[CostImpact]]*-1,
            Transactions[[#This Row],[CalCashImpact]]
      ),
     0
)</f>
        <v>0</v>
      </c>
      <c r="Y1530" s="168" t="str">
        <f>VLOOKUP(Transactions[[#This Row],[Symbol]],Symbols[], COLUMN(Symbols[Currency])-COLUMN(Symbols[])+1,FALSE)</f>
        <v>CNY</v>
      </c>
    </row>
    <row r="1531" spans="1:25">
      <c r="A1531" s="155" t="s">
        <v>82</v>
      </c>
      <c r="B1531" s="156">
        <v>42846</v>
      </c>
      <c r="C1531" s="155" t="s">
        <v>115</v>
      </c>
      <c r="D1531" s="155"/>
      <c r="E1531" s="155" t="s">
        <v>482</v>
      </c>
      <c r="F1531" s="157">
        <v>4000</v>
      </c>
      <c r="G1531" s="158">
        <v>32.64</v>
      </c>
      <c r="H1531" s="157">
        <v>182.78</v>
      </c>
      <c r="I1531" s="157"/>
      <c r="J1531" s="159">
        <v>130377.22</v>
      </c>
      <c r="K1531" s="6" t="s">
        <v>641</v>
      </c>
      <c r="L1531" s="20">
        <f>IF(ISNA(MATCH(Transactions[[#This Row],[TransType]],TransTypes[TransType],0)),1,MATCH(Transactions[[#This Row],[TransType]],TransTypes[TransType],0))</f>
        <v>3</v>
      </c>
      <c r="M1531" s="160">
        <f>IF( AND( INDEX(TransTypes[],Transactions[[#This Row],[TTR]],TT_COL_GLFlag)=1, INDEX(TransTypes[],Transactions[[#This Row],[TTR]],TT_COL_LONGORSHORT)="S" ),
      Transactions[[#This Row],[PL]],
      IF(INDEX(TransTypes[],Transactions[[#This Row],[TTR]],TT_COL_LONGORSHORT)="S",0,Transactions[[#This Row],[CalCashImpact]])
)</f>
        <v>130377.22</v>
      </c>
      <c r="N1531" s="161">
        <f>IF(VLOOKUP(Transactions[[#This Row],[Symbol]],Symbols[],COLUMN(Symbols[Currency])-COLUMN(Symbols[])+1,FALSE)=
       VLOOKUP(Transactions[[#This Row],[Account]],Accounts[],COLUMN(Accounts[Currency])-COLUMN(Accounts[])+1,FALSE),
     Transactions[[#This Row],[OrigCashImpact]],
     0
)</f>
        <v>130377.22</v>
      </c>
      <c r="O15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1127834.9400000006</v>
      </c>
      <c r="P15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5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531" s="41">
        <f>ROW()</f>
        <v>1531</v>
      </c>
      <c r="S15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-106366.52900000001</v>
      </c>
      <c r="T15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265916.32250000001</v>
      </c>
      <c r="U15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531" s="166">
        <f>IF(INDEX(TransTypes[],Transactions[[#This Row],[TTR]],TT_COL_GLFlag)=1,Transactions[[#This Row],[CalCashImpact]]+Transactions[[#This Row],[CostImpact]],0)</f>
        <v>24010.690999999992</v>
      </c>
      <c r="W1531" s="167">
        <f>Transactions[[#This Row],[Amount]]*INDEX(TransTypes[],Transactions[[#This Row],[TTR]],TT_COL_AmntSign)</f>
        <v>130377.22</v>
      </c>
      <c r="X1531" s="167">
        <f>IF(INDEX(TransTypes[],Transactions[[#This Row],[TTR]],TT_COL_LONGORSHORT)="S",
      IF( OR(INDEX(TransTypes[],Transactions[[#This Row],[TTR]],TT_COL_GLFlag)=1, INDEX(TransTypes[], Transactions[[#This Row],[TTR]], TT_COL_ShareTransferFlag)=1),
            Transactions[[#This Row],[CostImpact]]*-1,
            Transactions[[#This Row],[CalCashImpact]]
      ),
     0
)</f>
        <v>0</v>
      </c>
      <c r="Y1531" s="168" t="str">
        <f>VLOOKUP(Transactions[[#This Row],[Symbol]],Symbols[], COLUMN(Symbols[Currency])-COLUMN(Symbols[])+1,FALSE)</f>
        <v>CNY</v>
      </c>
    </row>
    <row r="1532" spans="1:25">
      <c r="A1532" s="155" t="s">
        <v>82</v>
      </c>
      <c r="B1532" s="156">
        <v>42846</v>
      </c>
      <c r="C1532" s="155" t="s">
        <v>115</v>
      </c>
      <c r="D1532" s="155"/>
      <c r="E1532" s="155" t="s">
        <v>493</v>
      </c>
      <c r="F1532" s="157">
        <v>1000</v>
      </c>
      <c r="G1532" s="158">
        <v>54.972000000000001</v>
      </c>
      <c r="H1532" s="157">
        <v>76.97</v>
      </c>
      <c r="I1532" s="157"/>
      <c r="J1532" s="159">
        <v>54895.03</v>
      </c>
      <c r="K1532" s="6" t="s">
        <v>641</v>
      </c>
      <c r="L1532" s="20">
        <f>IF(ISNA(MATCH(Transactions[[#This Row],[TransType]],TransTypes[TransType],0)),1,MATCH(Transactions[[#This Row],[TransType]],TransTypes[TransType],0))</f>
        <v>3</v>
      </c>
      <c r="M1532" s="160">
        <f>IF( AND( INDEX(TransTypes[],Transactions[[#This Row],[TTR]],TT_COL_GLFlag)=1, INDEX(TransTypes[],Transactions[[#This Row],[TTR]],TT_COL_LONGORSHORT)="S" ),
      Transactions[[#This Row],[PL]],
      IF(INDEX(TransTypes[],Transactions[[#This Row],[TTR]],TT_COL_LONGORSHORT)="S",0,Transactions[[#This Row],[CalCashImpact]])
)</f>
        <v>54895.03</v>
      </c>
      <c r="N1532" s="161">
        <f>IF(VLOOKUP(Transactions[[#This Row],[Symbol]],Symbols[],COLUMN(Symbols[Currency])-COLUMN(Symbols[])+1,FALSE)=
       VLOOKUP(Transactions[[#This Row],[Account]],Accounts[],COLUMN(Accounts[Currency])-COLUMN(Accounts[])+1,FALSE),
     Transactions[[#This Row],[OrigCashImpact]],
     0
)</f>
        <v>54895.03</v>
      </c>
      <c r="O15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1182729.9700000007</v>
      </c>
      <c r="P15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5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532" s="41">
        <f>ROW()</f>
        <v>1532</v>
      </c>
      <c r="S15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-46368.54</v>
      </c>
      <c r="T15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46368.54</v>
      </c>
      <c r="U15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532" s="166">
        <f>IF(INDEX(TransTypes[],Transactions[[#This Row],[TTR]],TT_COL_GLFlag)=1,Transactions[[#This Row],[CalCashImpact]]+Transactions[[#This Row],[CostImpact]],0)</f>
        <v>8526.489999999998</v>
      </c>
      <c r="W1532" s="167">
        <f>Transactions[[#This Row],[Amount]]*INDEX(TransTypes[],Transactions[[#This Row],[TTR]],TT_COL_AmntSign)</f>
        <v>54895.03</v>
      </c>
      <c r="X1532" s="167">
        <f>IF(INDEX(TransTypes[],Transactions[[#This Row],[TTR]],TT_COL_LONGORSHORT)="S",
      IF( OR(INDEX(TransTypes[],Transactions[[#This Row],[TTR]],TT_COL_GLFlag)=1, INDEX(TransTypes[], Transactions[[#This Row],[TTR]], TT_COL_ShareTransferFlag)=1),
            Transactions[[#This Row],[CostImpact]]*-1,
            Transactions[[#This Row],[CalCashImpact]]
      ),
     0
)</f>
        <v>0</v>
      </c>
      <c r="Y1532" s="168" t="str">
        <f>VLOOKUP(Transactions[[#This Row],[Symbol]],Symbols[], COLUMN(Symbols[Currency])-COLUMN(Symbols[])+1,FALSE)</f>
        <v>CNY</v>
      </c>
    </row>
    <row r="1533" spans="1:25">
      <c r="A1533" s="155" t="s">
        <v>82</v>
      </c>
      <c r="B1533" s="156">
        <v>42849</v>
      </c>
      <c r="C1533" s="155" t="s">
        <v>113</v>
      </c>
      <c r="D1533" s="155"/>
      <c r="E1533" s="155" t="s">
        <v>741</v>
      </c>
      <c r="F1533" s="157">
        <v>13000</v>
      </c>
      <c r="G1533" s="158">
        <v>17.11</v>
      </c>
      <c r="H1533" s="157">
        <v>88.97</v>
      </c>
      <c r="I1533" s="157"/>
      <c r="J1533" s="159">
        <v>222518.97</v>
      </c>
      <c r="K1533" s="6" t="s">
        <v>641</v>
      </c>
      <c r="L1533" s="20">
        <f>IF(ISNA(MATCH(Transactions[[#This Row],[TransType]],TransTypes[TransType],0)),1,MATCH(Transactions[[#This Row],[TransType]],TransTypes[TransType],0))</f>
        <v>2</v>
      </c>
      <c r="M1533" s="160">
        <f>IF( AND( INDEX(TransTypes[],Transactions[[#This Row],[TTR]],TT_COL_GLFlag)=1, INDEX(TransTypes[],Transactions[[#This Row],[TTR]],TT_COL_LONGORSHORT)="S" ),
      Transactions[[#This Row],[PL]],
      IF(INDEX(TransTypes[],Transactions[[#This Row],[TTR]],TT_COL_LONGORSHORT)="S",0,Transactions[[#This Row],[CalCashImpact]])
)</f>
        <v>-222518.97</v>
      </c>
      <c r="N1533" s="161">
        <f>IF(VLOOKUP(Transactions[[#This Row],[Symbol]],Symbols[],COLUMN(Symbols[Currency])-COLUMN(Symbols[])+1,FALSE)=
       VLOOKUP(Transactions[[#This Row],[Account]],Accounts[],COLUMN(Accounts[Currency])-COLUMN(Accounts[])+1,FALSE),
     Transactions[[#This Row],[OrigCashImpact]],
     0
)</f>
        <v>-222518.97</v>
      </c>
      <c r="O15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960211.0000000007</v>
      </c>
      <c r="P15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13000</v>
      </c>
      <c r="Q15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533" s="41">
        <f>ROW()</f>
        <v>1533</v>
      </c>
      <c r="S15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222518.97</v>
      </c>
      <c r="T15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222518.97</v>
      </c>
      <c r="U15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533" s="166">
        <f>IF(INDEX(TransTypes[],Transactions[[#This Row],[TTR]],TT_COL_GLFlag)=1,Transactions[[#This Row],[CalCashImpact]]+Transactions[[#This Row],[CostImpact]],0)</f>
        <v>0</v>
      </c>
      <c r="W1533" s="167">
        <f>Transactions[[#This Row],[Amount]]*INDEX(TransTypes[],Transactions[[#This Row],[TTR]],TT_COL_AmntSign)</f>
        <v>-222518.97</v>
      </c>
      <c r="X1533" s="167">
        <f>IF(INDEX(TransTypes[],Transactions[[#This Row],[TTR]],TT_COL_LONGORSHORT)="S",
      IF( OR(INDEX(TransTypes[],Transactions[[#This Row],[TTR]],TT_COL_GLFlag)=1, INDEX(TransTypes[], Transactions[[#This Row],[TTR]], TT_COL_ShareTransferFlag)=1),
            Transactions[[#This Row],[CostImpact]]*-1,
            Transactions[[#This Row],[CalCashImpact]]
      ),
     0
)</f>
        <v>0</v>
      </c>
      <c r="Y1533" s="168" t="str">
        <f>VLOOKUP(Transactions[[#This Row],[Symbol]],Symbols[], COLUMN(Symbols[Currency])-COLUMN(Symbols[])+1,FALSE)</f>
        <v>CNY</v>
      </c>
    </row>
    <row r="1534" spans="1:25">
      <c r="A1534" s="155" t="s">
        <v>82</v>
      </c>
      <c r="B1534" s="156">
        <v>42849</v>
      </c>
      <c r="C1534" s="155" t="s">
        <v>115</v>
      </c>
      <c r="D1534" s="155"/>
      <c r="E1534" s="155" t="s">
        <v>738</v>
      </c>
      <c r="F1534" s="157">
        <v>6000</v>
      </c>
      <c r="G1534" s="158">
        <v>20.398</v>
      </c>
      <c r="H1534" s="157">
        <v>171.34</v>
      </c>
      <c r="I1534" s="157"/>
      <c r="J1534" s="159">
        <v>122216.66</v>
      </c>
      <c r="K1534" s="6" t="s">
        <v>641</v>
      </c>
      <c r="L1534" s="20">
        <f>IF(ISNA(MATCH(Transactions[[#This Row],[TransType]],TransTypes[TransType],0)),1,MATCH(Transactions[[#This Row],[TransType]],TransTypes[TransType],0))</f>
        <v>3</v>
      </c>
      <c r="M1534" s="160">
        <f>IF( AND( INDEX(TransTypes[],Transactions[[#This Row],[TTR]],TT_COL_GLFlag)=1, INDEX(TransTypes[],Transactions[[#This Row],[TTR]],TT_COL_LONGORSHORT)="S" ),
      Transactions[[#This Row],[PL]],
      IF(INDEX(TransTypes[],Transactions[[#This Row],[TTR]],TT_COL_LONGORSHORT)="S",0,Transactions[[#This Row],[CalCashImpact]])
)</f>
        <v>122216.66</v>
      </c>
      <c r="N1534" s="161">
        <f>IF(VLOOKUP(Transactions[[#This Row],[Symbol]],Symbols[],COLUMN(Symbols[Currency])-COLUMN(Symbols[])+1,FALSE)=
       VLOOKUP(Transactions[[#This Row],[Account]],Accounts[],COLUMN(Accounts[Currency])-COLUMN(Accounts[])+1,FALSE),
     Transactions[[#This Row],[OrigCashImpact]],
     0
)</f>
        <v>122216.66</v>
      </c>
      <c r="O15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1082427.6600000006</v>
      </c>
      <c r="P15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5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534" s="41">
        <f>ROW()</f>
        <v>1534</v>
      </c>
      <c r="S15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-123754.48124999998</v>
      </c>
      <c r="T15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206257.46874999997</v>
      </c>
      <c r="U15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16000</v>
      </c>
      <c r="V1534" s="166">
        <f>IF(INDEX(TransTypes[],Transactions[[#This Row],[TTR]],TT_COL_GLFlag)=1,Transactions[[#This Row],[CalCashImpact]]+Transactions[[#This Row],[CostImpact]],0)</f>
        <v>-1537.821249999979</v>
      </c>
      <c r="W1534" s="167">
        <f>Transactions[[#This Row],[Amount]]*INDEX(TransTypes[],Transactions[[#This Row],[TTR]],TT_COL_AmntSign)</f>
        <v>122216.66</v>
      </c>
      <c r="X1534" s="167">
        <f>IF(INDEX(TransTypes[],Transactions[[#This Row],[TTR]],TT_COL_LONGORSHORT)="S",
      IF( OR(INDEX(TransTypes[],Transactions[[#This Row],[TTR]],TT_COL_GLFlag)=1, INDEX(TransTypes[], Transactions[[#This Row],[TTR]], TT_COL_ShareTransferFlag)=1),
            Transactions[[#This Row],[CostImpact]]*-1,
            Transactions[[#This Row],[CalCashImpact]]
      ),
     0
)</f>
        <v>0</v>
      </c>
      <c r="Y1534" s="168" t="str">
        <f>VLOOKUP(Transactions[[#This Row],[Symbol]],Symbols[], COLUMN(Symbols[Currency])-COLUMN(Symbols[])+1,FALSE)</f>
        <v>CNY</v>
      </c>
    </row>
    <row r="1535" spans="1:25">
      <c r="A1535" s="155" t="s">
        <v>82</v>
      </c>
      <c r="B1535" s="156">
        <v>42849</v>
      </c>
      <c r="C1535" s="155" t="s">
        <v>115</v>
      </c>
      <c r="D1535" s="155"/>
      <c r="E1535" s="155" t="s">
        <v>482</v>
      </c>
      <c r="F1535" s="157">
        <v>2000</v>
      </c>
      <c r="G1535" s="158">
        <v>32.590000000000003</v>
      </c>
      <c r="H1535" s="157">
        <v>91.25</v>
      </c>
      <c r="I1535" s="157"/>
      <c r="J1535" s="159">
        <v>65088.75</v>
      </c>
      <c r="K1535" s="6" t="s">
        <v>641</v>
      </c>
      <c r="L1535" s="20">
        <f>IF(ISNA(MATCH(Transactions[[#This Row],[TransType]],TransTypes[TransType],0)),1,MATCH(Transactions[[#This Row],[TransType]],TransTypes[TransType],0))</f>
        <v>3</v>
      </c>
      <c r="M1535" s="160">
        <f>IF( AND( INDEX(TransTypes[],Transactions[[#This Row],[TTR]],TT_COL_GLFlag)=1, INDEX(TransTypes[],Transactions[[#This Row],[TTR]],TT_COL_LONGORSHORT)="S" ),
      Transactions[[#This Row],[PL]],
      IF(INDEX(TransTypes[],Transactions[[#This Row],[TTR]],TT_COL_LONGORSHORT)="S",0,Transactions[[#This Row],[CalCashImpact]])
)</f>
        <v>65088.75</v>
      </c>
      <c r="N1535" s="161">
        <f>IF(VLOOKUP(Transactions[[#This Row],[Symbol]],Symbols[],COLUMN(Symbols[Currency])-COLUMN(Symbols[])+1,FALSE)=
       VLOOKUP(Transactions[[#This Row],[Account]],Accounts[],COLUMN(Accounts[Currency])-COLUMN(Accounts[])+1,FALSE),
     Transactions[[#This Row],[OrigCashImpact]],
     0
)</f>
        <v>65088.75</v>
      </c>
      <c r="O15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1147516.4100000006</v>
      </c>
      <c r="P15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535" s="41">
        <f>ROW()</f>
        <v>1535</v>
      </c>
      <c r="S15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-53183.264499999997</v>
      </c>
      <c r="T15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212733.05800000002</v>
      </c>
      <c r="U15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535" s="166">
        <f>IF(INDEX(TransTypes[],Transactions[[#This Row],[TTR]],TT_COL_GLFlag)=1,Transactions[[#This Row],[CalCashImpact]]+Transactions[[#This Row],[CostImpact]],0)</f>
        <v>11905.485500000003</v>
      </c>
      <c r="W1535" s="167">
        <f>Transactions[[#This Row],[Amount]]*INDEX(TransTypes[],Transactions[[#This Row],[TTR]],TT_COL_AmntSign)</f>
        <v>65088.75</v>
      </c>
      <c r="X1535" s="167">
        <f>IF(INDEX(TransTypes[],Transactions[[#This Row],[TTR]],TT_COL_LONGORSHORT)="S",
      IF( OR(INDEX(TransTypes[],Transactions[[#This Row],[TTR]],TT_COL_GLFlag)=1, INDEX(TransTypes[], Transactions[[#This Row],[TTR]], TT_COL_ShareTransferFlag)=1),
            Transactions[[#This Row],[CostImpact]]*-1,
            Transactions[[#This Row],[CalCashImpact]]
      ),
     0
)</f>
        <v>0</v>
      </c>
      <c r="Y1535" s="168" t="str">
        <f>VLOOKUP(Transactions[[#This Row],[Symbol]],Symbols[], COLUMN(Symbols[Currency])-COLUMN(Symbols[])+1,FALSE)</f>
        <v>CNY</v>
      </c>
    </row>
    <row r="1536" spans="1:25">
      <c r="A1536" s="155" t="s">
        <v>82</v>
      </c>
      <c r="B1536" s="156">
        <v>42849</v>
      </c>
      <c r="C1536" s="155" t="s">
        <v>113</v>
      </c>
      <c r="D1536" s="155"/>
      <c r="E1536" s="155" t="s">
        <v>730</v>
      </c>
      <c r="F1536" s="157">
        <v>2000</v>
      </c>
      <c r="G1536" s="158">
        <v>57.01</v>
      </c>
      <c r="H1536" s="157">
        <v>45.61</v>
      </c>
      <c r="I1536" s="157"/>
      <c r="J1536" s="159">
        <v>114065.61</v>
      </c>
      <c r="K1536" s="6" t="s">
        <v>641</v>
      </c>
      <c r="L1536" s="20">
        <f>IF(ISNA(MATCH(Transactions[[#This Row],[TransType]],TransTypes[TransType],0)),1,MATCH(Transactions[[#This Row],[TransType]],TransTypes[TransType],0))</f>
        <v>2</v>
      </c>
      <c r="M1536" s="160">
        <f>IF( AND( INDEX(TransTypes[],Transactions[[#This Row],[TTR]],TT_COL_GLFlag)=1, INDEX(TransTypes[],Transactions[[#This Row],[TTR]],TT_COL_LONGORSHORT)="S" ),
      Transactions[[#This Row],[PL]],
      IF(INDEX(TransTypes[],Transactions[[#This Row],[TTR]],TT_COL_LONGORSHORT)="S",0,Transactions[[#This Row],[CalCashImpact]])
)</f>
        <v>-114065.61</v>
      </c>
      <c r="N1536" s="161">
        <f>IF(VLOOKUP(Transactions[[#This Row],[Symbol]],Symbols[],COLUMN(Symbols[Currency])-COLUMN(Symbols[])+1,FALSE)=
       VLOOKUP(Transactions[[#This Row],[Account]],Accounts[],COLUMN(Accounts[Currency])-COLUMN(Accounts[])+1,FALSE),
     Transactions[[#This Row],[OrigCashImpact]],
     0
)</f>
        <v>-114065.61</v>
      </c>
      <c r="O15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1033450.8000000007</v>
      </c>
      <c r="P15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536" s="41">
        <f>ROW()</f>
        <v>1536</v>
      </c>
      <c r="S15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114065.61</v>
      </c>
      <c r="T15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377342.88</v>
      </c>
      <c r="U15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536" s="166">
        <f>IF(INDEX(TransTypes[],Transactions[[#This Row],[TTR]],TT_COL_GLFlag)=1,Transactions[[#This Row],[CalCashImpact]]+Transactions[[#This Row],[CostImpact]],0)</f>
        <v>0</v>
      </c>
      <c r="W1536" s="167">
        <f>Transactions[[#This Row],[Amount]]*INDEX(TransTypes[],Transactions[[#This Row],[TTR]],TT_COL_AmntSign)</f>
        <v>-114065.61</v>
      </c>
      <c r="X1536" s="167">
        <f>IF(INDEX(TransTypes[],Transactions[[#This Row],[TTR]],TT_COL_LONGORSHORT)="S",
      IF( OR(INDEX(TransTypes[],Transactions[[#This Row],[TTR]],TT_COL_GLFlag)=1, INDEX(TransTypes[], Transactions[[#This Row],[TTR]], TT_COL_ShareTransferFlag)=1),
            Transactions[[#This Row],[CostImpact]]*-1,
            Transactions[[#This Row],[CalCashImpact]]
      ),
     0
)</f>
        <v>0</v>
      </c>
      <c r="Y1536" s="168" t="str">
        <f>VLOOKUP(Transactions[[#This Row],[Symbol]],Symbols[], COLUMN(Symbols[Currency])-COLUMN(Symbols[])+1,FALSE)</f>
        <v>CNY</v>
      </c>
    </row>
    <row r="1537" spans="1:25">
      <c r="A1537" s="155" t="s">
        <v>82</v>
      </c>
      <c r="B1537" s="156">
        <v>42849</v>
      </c>
      <c r="C1537" s="155" t="s">
        <v>115</v>
      </c>
      <c r="D1537" s="155"/>
      <c r="E1537" s="155" t="s">
        <v>736</v>
      </c>
      <c r="F1537" s="157">
        <v>4000</v>
      </c>
      <c r="G1537" s="158">
        <v>24.05</v>
      </c>
      <c r="H1537" s="157">
        <v>136.6</v>
      </c>
      <c r="I1537" s="157"/>
      <c r="J1537" s="159">
        <v>96063.4</v>
      </c>
      <c r="K1537" s="6" t="s">
        <v>641</v>
      </c>
      <c r="L1537" s="20">
        <f>IF(ISNA(MATCH(Transactions[[#This Row],[TransType]],TransTypes[TransType],0)),1,MATCH(Transactions[[#This Row],[TransType]],TransTypes[TransType],0))</f>
        <v>3</v>
      </c>
      <c r="M1537" s="160">
        <f>IF( AND( INDEX(TransTypes[],Transactions[[#This Row],[TTR]],TT_COL_GLFlag)=1, INDEX(TransTypes[],Transactions[[#This Row],[TTR]],TT_COL_LONGORSHORT)="S" ),
      Transactions[[#This Row],[PL]],
      IF(INDEX(TransTypes[],Transactions[[#This Row],[TTR]],TT_COL_LONGORSHORT)="S",0,Transactions[[#This Row],[CalCashImpact]])
)</f>
        <v>96063.4</v>
      </c>
      <c r="N1537" s="161">
        <f>IF(VLOOKUP(Transactions[[#This Row],[Symbol]],Symbols[],COLUMN(Symbols[Currency])-COLUMN(Symbols[])+1,FALSE)=
       VLOOKUP(Transactions[[#This Row],[Account]],Accounts[],COLUMN(Accounts[Currency])-COLUMN(Accounts[])+1,FALSE),
     Transactions[[#This Row],[OrigCashImpact]],
     0
)</f>
        <v>96063.4</v>
      </c>
      <c r="O15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1129514.2000000007</v>
      </c>
      <c r="P15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5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537" s="41">
        <f>ROW()</f>
        <v>1537</v>
      </c>
      <c r="S15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-99433.748399999997</v>
      </c>
      <c r="T15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24858.43710000001</v>
      </c>
      <c r="U15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537" s="166">
        <f>IF(INDEX(TransTypes[],Transactions[[#This Row],[TTR]],TT_COL_GLFlag)=1,Transactions[[#This Row],[CalCashImpact]]+Transactions[[#This Row],[CostImpact]],0)</f>
        <v>-3370.3484000000026</v>
      </c>
      <c r="W1537" s="167">
        <f>Transactions[[#This Row],[Amount]]*INDEX(TransTypes[],Transactions[[#This Row],[TTR]],TT_COL_AmntSign)</f>
        <v>96063.4</v>
      </c>
      <c r="X1537" s="167">
        <f>IF(INDEX(TransTypes[],Transactions[[#This Row],[TTR]],TT_COL_LONGORSHORT)="S",
      IF( OR(INDEX(TransTypes[],Transactions[[#This Row],[TTR]],TT_COL_GLFlag)=1, INDEX(TransTypes[], Transactions[[#This Row],[TTR]], TT_COL_ShareTransferFlag)=1),
            Transactions[[#This Row],[CostImpact]]*-1,
            Transactions[[#This Row],[CalCashImpact]]
      ),
     0
)</f>
        <v>0</v>
      </c>
      <c r="Y1537" s="168" t="str">
        <f>VLOOKUP(Transactions[[#This Row],[Symbol]],Symbols[], COLUMN(Symbols[Currency])-COLUMN(Symbols[])+1,FALSE)</f>
        <v>CNY</v>
      </c>
    </row>
    <row r="1538" spans="1:25">
      <c r="A1538" s="155" t="s">
        <v>82</v>
      </c>
      <c r="B1538" s="156">
        <v>42849</v>
      </c>
      <c r="C1538" s="155" t="s">
        <v>115</v>
      </c>
      <c r="D1538" s="155"/>
      <c r="E1538" s="155" t="s">
        <v>732</v>
      </c>
      <c r="F1538" s="157">
        <v>2200</v>
      </c>
      <c r="G1538" s="158">
        <v>30.39</v>
      </c>
      <c r="H1538" s="157">
        <v>94.94</v>
      </c>
      <c r="I1538" s="157"/>
      <c r="J1538" s="159">
        <v>66763.06</v>
      </c>
      <c r="K1538" s="6" t="s">
        <v>641</v>
      </c>
      <c r="L1538" s="20">
        <f>IF(ISNA(MATCH(Transactions[[#This Row],[TransType]],TransTypes[TransType],0)),1,MATCH(Transactions[[#This Row],[TransType]],TransTypes[TransType],0))</f>
        <v>3</v>
      </c>
      <c r="M1538" s="160">
        <f>IF( AND( INDEX(TransTypes[],Transactions[[#This Row],[TTR]],TT_COL_GLFlag)=1, INDEX(TransTypes[],Transactions[[#This Row],[TTR]],TT_COL_LONGORSHORT)="S" ),
      Transactions[[#This Row],[PL]],
      IF(INDEX(TransTypes[],Transactions[[#This Row],[TTR]],TT_COL_LONGORSHORT)="S",0,Transactions[[#This Row],[CalCashImpact]])
)</f>
        <v>66763.06</v>
      </c>
      <c r="N1538" s="161">
        <f>IF(VLOOKUP(Transactions[[#This Row],[Symbol]],Symbols[],COLUMN(Symbols[Currency])-COLUMN(Symbols[])+1,FALSE)=
       VLOOKUP(Transactions[[#This Row],[Account]],Accounts[],COLUMN(Accounts[Currency])-COLUMN(Accounts[])+1,FALSE),
     Transactions[[#This Row],[OrigCashImpact]],
     0
)</f>
        <v>66763.06</v>
      </c>
      <c r="O15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1196277.2600000007</v>
      </c>
      <c r="P15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-2200</v>
      </c>
      <c r="Q15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38" s="41">
        <f>ROW()</f>
        <v>1538</v>
      </c>
      <c r="S15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-59449.522823855761</v>
      </c>
      <c r="T15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2200</v>
      </c>
      <c r="V1538" s="166">
        <f>IF(INDEX(TransTypes[],Transactions[[#This Row],[TTR]],TT_COL_GLFlag)=1,Transactions[[#This Row],[CalCashImpact]]+Transactions[[#This Row],[CostImpact]],0)</f>
        <v>7313.5371761442366</v>
      </c>
      <c r="W1538" s="167">
        <f>Transactions[[#This Row],[Amount]]*INDEX(TransTypes[],Transactions[[#This Row],[TTR]],TT_COL_AmntSign)</f>
        <v>66763.06</v>
      </c>
      <c r="X1538" s="167">
        <f>IF(INDEX(TransTypes[],Transactions[[#This Row],[TTR]],TT_COL_LONGORSHORT)="S",
      IF( OR(INDEX(TransTypes[],Transactions[[#This Row],[TTR]],TT_COL_GLFlag)=1, INDEX(TransTypes[], Transactions[[#This Row],[TTR]], TT_COL_ShareTransferFlag)=1),
            Transactions[[#This Row],[CostImpact]]*-1,
            Transactions[[#This Row],[CalCashImpact]]
      ),
     0
)</f>
        <v>0</v>
      </c>
      <c r="Y1538" s="168" t="str">
        <f>VLOOKUP(Transactions[[#This Row],[Symbol]],Symbols[], COLUMN(Symbols[Currency])-COLUMN(Symbols[])+1,FALSE)</f>
        <v>CNY</v>
      </c>
    </row>
    <row r="1539" spans="1:25">
      <c r="A1539" s="155" t="s">
        <v>82</v>
      </c>
      <c r="B1539" s="156">
        <v>42849</v>
      </c>
      <c r="C1539" s="155" t="s">
        <v>113</v>
      </c>
      <c r="D1539" s="155"/>
      <c r="E1539" s="155" t="s">
        <v>468</v>
      </c>
      <c r="F1539" s="157">
        <v>3000</v>
      </c>
      <c r="G1539" s="158">
        <v>36.17</v>
      </c>
      <c r="H1539" s="157">
        <v>45.57</v>
      </c>
      <c r="I1539" s="157"/>
      <c r="J1539" s="159">
        <v>108555.57</v>
      </c>
      <c r="K1539" s="6" t="s">
        <v>641</v>
      </c>
      <c r="L1539" s="20">
        <f>IF(ISNA(MATCH(Transactions[[#This Row],[TransType]],TransTypes[TransType],0)),1,MATCH(Transactions[[#This Row],[TransType]],TransTypes[TransType],0))</f>
        <v>2</v>
      </c>
      <c r="M1539" s="160">
        <f>IF( AND( INDEX(TransTypes[],Transactions[[#This Row],[TTR]],TT_COL_GLFlag)=1, INDEX(TransTypes[],Transactions[[#This Row],[TTR]],TT_COL_LONGORSHORT)="S" ),
      Transactions[[#This Row],[PL]],
      IF(INDEX(TransTypes[],Transactions[[#This Row],[TTR]],TT_COL_LONGORSHORT)="S",0,Transactions[[#This Row],[CalCashImpact]])
)</f>
        <v>-108555.57</v>
      </c>
      <c r="N1539" s="161">
        <f>IF(VLOOKUP(Transactions[[#This Row],[Symbol]],Symbols[],COLUMN(Symbols[Currency])-COLUMN(Symbols[])+1,FALSE)=
       VLOOKUP(Transactions[[#This Row],[Account]],Accounts[],COLUMN(Accounts[Currency])-COLUMN(Accounts[])+1,FALSE),
     Transactions[[#This Row],[OrigCashImpact]],
     0
)</f>
        <v>-108555.57</v>
      </c>
      <c r="O15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1087721.6900000006</v>
      </c>
      <c r="P15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16000</v>
      </c>
      <c r="R1539" s="41">
        <f>ROW()</f>
        <v>1539</v>
      </c>
      <c r="S15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108555.57</v>
      </c>
      <c r="T15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577507.14571428578</v>
      </c>
      <c r="U15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16000</v>
      </c>
      <c r="V1539" s="166">
        <f>IF(INDEX(TransTypes[],Transactions[[#This Row],[TTR]],TT_COL_GLFlag)=1,Transactions[[#This Row],[CalCashImpact]]+Transactions[[#This Row],[CostImpact]],0)</f>
        <v>0</v>
      </c>
      <c r="W1539" s="167">
        <f>Transactions[[#This Row],[Amount]]*INDEX(TransTypes[],Transactions[[#This Row],[TTR]],TT_COL_AmntSign)</f>
        <v>-108555.57</v>
      </c>
      <c r="X1539" s="167">
        <f>IF(INDEX(TransTypes[],Transactions[[#This Row],[TTR]],TT_COL_LONGORSHORT)="S",
      IF( OR(INDEX(TransTypes[],Transactions[[#This Row],[TTR]],TT_COL_GLFlag)=1, INDEX(TransTypes[], Transactions[[#This Row],[TTR]], TT_COL_ShareTransferFlag)=1),
            Transactions[[#This Row],[CostImpact]]*-1,
            Transactions[[#This Row],[CalCashImpact]]
      ),
     0
)</f>
        <v>0</v>
      </c>
      <c r="Y1539" s="168" t="str">
        <f>VLOOKUP(Transactions[[#This Row],[Symbol]],Symbols[], COLUMN(Symbols[Currency])-COLUMN(Symbols[])+1,FALSE)</f>
        <v>CNY</v>
      </c>
    </row>
    <row r="1540" spans="1:25">
      <c r="A1540" s="155" t="s">
        <v>82</v>
      </c>
      <c r="B1540" s="156">
        <v>42850</v>
      </c>
      <c r="C1540" s="155" t="s">
        <v>113</v>
      </c>
      <c r="D1540" s="155"/>
      <c r="E1540" s="155" t="s">
        <v>482</v>
      </c>
      <c r="F1540" s="157">
        <v>4000</v>
      </c>
      <c r="G1540" s="158">
        <v>33.07</v>
      </c>
      <c r="H1540" s="157">
        <v>52.91</v>
      </c>
      <c r="I1540" s="157"/>
      <c r="J1540" s="159">
        <v>132332.91</v>
      </c>
      <c r="K1540" s="6" t="s">
        <v>641</v>
      </c>
      <c r="L1540" s="20">
        <f>IF(ISNA(MATCH(Transactions[[#This Row],[TransType]],TransTypes[TransType],0)),1,MATCH(Transactions[[#This Row],[TransType]],TransTypes[TransType],0))</f>
        <v>2</v>
      </c>
      <c r="M1540" s="160">
        <f>IF( AND( INDEX(TransTypes[],Transactions[[#This Row],[TTR]],TT_COL_GLFlag)=1, INDEX(TransTypes[],Transactions[[#This Row],[TTR]],TT_COL_LONGORSHORT)="S" ),
      Transactions[[#This Row],[PL]],
      IF(INDEX(TransTypes[],Transactions[[#This Row],[TTR]],TT_COL_LONGORSHORT)="S",0,Transactions[[#This Row],[CalCashImpact]])
)</f>
        <v>-132332.91</v>
      </c>
      <c r="N1540" s="161">
        <f>IF(VLOOKUP(Transactions[[#This Row],[Symbol]],Symbols[],COLUMN(Symbols[Currency])-COLUMN(Symbols[])+1,FALSE)=
       VLOOKUP(Transactions[[#This Row],[Account]],Accounts[],COLUMN(Accounts[Currency])-COLUMN(Accounts[])+1,FALSE),
     Transactions[[#This Row],[OrigCashImpact]],
     0
)</f>
        <v>-132332.91</v>
      </c>
      <c r="O15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955388.78000000061</v>
      </c>
      <c r="P15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5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540" s="41">
        <f>ROW()</f>
        <v>1540</v>
      </c>
      <c r="S15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132332.91</v>
      </c>
      <c r="T15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345065.96799999999</v>
      </c>
      <c r="U15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540" s="166">
        <f>IF(INDEX(TransTypes[],Transactions[[#This Row],[TTR]],TT_COL_GLFlag)=1,Transactions[[#This Row],[CalCashImpact]]+Transactions[[#This Row],[CostImpact]],0)</f>
        <v>0</v>
      </c>
      <c r="W1540" s="167">
        <f>Transactions[[#This Row],[Amount]]*INDEX(TransTypes[],Transactions[[#This Row],[TTR]],TT_COL_AmntSign)</f>
        <v>-132332.91</v>
      </c>
      <c r="X1540" s="167">
        <f>IF(INDEX(TransTypes[],Transactions[[#This Row],[TTR]],TT_COL_LONGORSHORT)="S",
      IF( OR(INDEX(TransTypes[],Transactions[[#This Row],[TTR]],TT_COL_GLFlag)=1, INDEX(TransTypes[], Transactions[[#This Row],[TTR]], TT_COL_ShareTransferFlag)=1),
            Transactions[[#This Row],[CostImpact]]*-1,
            Transactions[[#This Row],[CalCashImpact]]
      ),
     0
)</f>
        <v>0</v>
      </c>
      <c r="Y1540" s="168" t="str">
        <f>VLOOKUP(Transactions[[#This Row],[Symbol]],Symbols[], COLUMN(Symbols[Currency])-COLUMN(Symbols[])+1,FALSE)</f>
        <v>CNY</v>
      </c>
    </row>
    <row r="1541" spans="1:25">
      <c r="A1541" s="155" t="s">
        <v>82</v>
      </c>
      <c r="B1541" s="156">
        <v>42850</v>
      </c>
      <c r="C1541" s="155" t="s">
        <v>113</v>
      </c>
      <c r="D1541" s="155"/>
      <c r="E1541" s="155" t="s">
        <v>468</v>
      </c>
      <c r="F1541" s="157">
        <v>4000</v>
      </c>
      <c r="G1541" s="158">
        <v>36.47</v>
      </c>
      <c r="H1541" s="157">
        <v>61.27</v>
      </c>
      <c r="I1541" s="157"/>
      <c r="J1541" s="159">
        <v>145941.26999999999</v>
      </c>
      <c r="K1541" s="6" t="s">
        <v>641</v>
      </c>
      <c r="L1541" s="20">
        <f>IF(ISNA(MATCH(Transactions[[#This Row],[TransType]],TransTypes[TransType],0)),1,MATCH(Transactions[[#This Row],[TransType]],TransTypes[TransType],0))</f>
        <v>2</v>
      </c>
      <c r="M1541" s="160">
        <f>IF( AND( INDEX(TransTypes[],Transactions[[#This Row],[TTR]],TT_COL_GLFlag)=1, INDEX(TransTypes[],Transactions[[#This Row],[TTR]],TT_COL_LONGORSHORT)="S" ),
      Transactions[[#This Row],[PL]],
      IF(INDEX(TransTypes[],Transactions[[#This Row],[TTR]],TT_COL_LONGORSHORT)="S",0,Transactions[[#This Row],[CalCashImpact]])
)</f>
        <v>-145941.26999999999</v>
      </c>
      <c r="N1541" s="161">
        <f>IF(VLOOKUP(Transactions[[#This Row],[Symbol]],Symbols[],COLUMN(Symbols[Currency])-COLUMN(Symbols[])+1,FALSE)=
       VLOOKUP(Transactions[[#This Row],[Account]],Accounts[],COLUMN(Accounts[Currency])-COLUMN(Accounts[])+1,FALSE),
     Transactions[[#This Row],[OrigCashImpact]],
     0
)</f>
        <v>-145941.26999999999</v>
      </c>
      <c r="O15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809447.51000000071</v>
      </c>
      <c r="P15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5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541" s="41">
        <f>ROW()</f>
        <v>1541</v>
      </c>
      <c r="S15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145941.26999999999</v>
      </c>
      <c r="T15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723448.4157142858</v>
      </c>
      <c r="U15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541" s="166">
        <f>IF(INDEX(TransTypes[],Transactions[[#This Row],[TTR]],TT_COL_GLFlag)=1,Transactions[[#This Row],[CalCashImpact]]+Transactions[[#This Row],[CostImpact]],0)</f>
        <v>0</v>
      </c>
      <c r="W1541" s="167">
        <f>Transactions[[#This Row],[Amount]]*INDEX(TransTypes[],Transactions[[#This Row],[TTR]],TT_COL_AmntSign)</f>
        <v>-145941.26999999999</v>
      </c>
      <c r="X1541" s="167">
        <f>IF(INDEX(TransTypes[],Transactions[[#This Row],[TTR]],TT_COL_LONGORSHORT)="S",
      IF( OR(INDEX(TransTypes[],Transactions[[#This Row],[TTR]],TT_COL_GLFlag)=1, INDEX(TransTypes[], Transactions[[#This Row],[TTR]], TT_COL_ShareTransferFlag)=1),
            Transactions[[#This Row],[CostImpact]]*-1,
            Transactions[[#This Row],[CalCashImpact]]
      ),
     0
)</f>
        <v>0</v>
      </c>
      <c r="Y1541" s="168" t="str">
        <f>VLOOKUP(Transactions[[#This Row],[Symbol]],Symbols[], COLUMN(Symbols[Currency])-COLUMN(Symbols[])+1,FALSE)</f>
        <v>CNY</v>
      </c>
    </row>
    <row r="1542" spans="1:25">
      <c r="A1542" s="155" t="s">
        <v>82</v>
      </c>
      <c r="B1542" s="156">
        <v>42850</v>
      </c>
      <c r="C1542" s="155" t="s">
        <v>113</v>
      </c>
      <c r="D1542" s="155"/>
      <c r="E1542" s="155" t="s">
        <v>464</v>
      </c>
      <c r="F1542" s="157">
        <v>200</v>
      </c>
      <c r="G1542" s="158">
        <v>415.42</v>
      </c>
      <c r="H1542" s="157">
        <v>34.89</v>
      </c>
      <c r="I1542" s="157"/>
      <c r="J1542" s="159">
        <v>83118.89</v>
      </c>
      <c r="K1542" s="6" t="s">
        <v>641</v>
      </c>
      <c r="L1542" s="20">
        <f>IF(ISNA(MATCH(Transactions[[#This Row],[TransType]],TransTypes[TransType],0)),1,MATCH(Transactions[[#This Row],[TransType]],TransTypes[TransType],0))</f>
        <v>2</v>
      </c>
      <c r="M1542" s="160">
        <f>IF( AND( INDEX(TransTypes[],Transactions[[#This Row],[TTR]],TT_COL_GLFlag)=1, INDEX(TransTypes[],Transactions[[#This Row],[TTR]],TT_COL_LONGORSHORT)="S" ),
      Transactions[[#This Row],[PL]],
      IF(INDEX(TransTypes[],Transactions[[#This Row],[TTR]],TT_COL_LONGORSHORT)="S",0,Transactions[[#This Row],[CalCashImpact]])
)</f>
        <v>-83118.89</v>
      </c>
      <c r="N1542" s="161">
        <f>IF(VLOOKUP(Transactions[[#This Row],[Symbol]],Symbols[],COLUMN(Symbols[Currency])-COLUMN(Symbols[])+1,FALSE)=
       VLOOKUP(Transactions[[#This Row],[Account]],Accounts[],COLUMN(Accounts[Currency])-COLUMN(Accounts[])+1,FALSE),
     Transactions[[#This Row],[OrigCashImpact]],
     0
)</f>
        <v>-83118.89</v>
      </c>
      <c r="O15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726328.62000000058</v>
      </c>
      <c r="P15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5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542" s="41">
        <f>ROW()</f>
        <v>1542</v>
      </c>
      <c r="S15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83118.89</v>
      </c>
      <c r="T15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352402.17348400003</v>
      </c>
      <c r="U15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542" s="166">
        <f>IF(INDEX(TransTypes[],Transactions[[#This Row],[TTR]],TT_COL_GLFlag)=1,Transactions[[#This Row],[CalCashImpact]]+Transactions[[#This Row],[CostImpact]],0)</f>
        <v>0</v>
      </c>
      <c r="W1542" s="167">
        <f>Transactions[[#This Row],[Amount]]*INDEX(TransTypes[],Transactions[[#This Row],[TTR]],TT_COL_AmntSign)</f>
        <v>-83118.89</v>
      </c>
      <c r="X1542" s="167">
        <f>IF(INDEX(TransTypes[],Transactions[[#This Row],[TTR]],TT_COL_LONGORSHORT)="S",
      IF( OR(INDEX(TransTypes[],Transactions[[#This Row],[TTR]],TT_COL_GLFlag)=1, INDEX(TransTypes[], Transactions[[#This Row],[TTR]], TT_COL_ShareTransferFlag)=1),
            Transactions[[#This Row],[CostImpact]]*-1,
            Transactions[[#This Row],[CalCashImpact]]
      ),
     0
)</f>
        <v>0</v>
      </c>
      <c r="Y1542" s="168" t="str">
        <f>VLOOKUP(Transactions[[#This Row],[Symbol]],Symbols[], COLUMN(Symbols[Currency])-COLUMN(Symbols[])+1,FALSE)</f>
        <v>CNY</v>
      </c>
    </row>
    <row r="1543" spans="1:25">
      <c r="A1543" s="155" t="s">
        <v>82</v>
      </c>
      <c r="B1543" s="156">
        <v>42851</v>
      </c>
      <c r="C1543" s="155" t="s">
        <v>115</v>
      </c>
      <c r="D1543" s="155"/>
      <c r="E1543" s="155" t="s">
        <v>482</v>
      </c>
      <c r="F1543" s="157">
        <v>2000</v>
      </c>
      <c r="G1543" s="158">
        <v>33.49</v>
      </c>
      <c r="H1543" s="157">
        <v>93.77</v>
      </c>
      <c r="I1543" s="157"/>
      <c r="J1543" s="159">
        <v>66886.23</v>
      </c>
      <c r="K1543" s="6" t="s">
        <v>641</v>
      </c>
      <c r="L1543" s="20">
        <f>IF(ISNA(MATCH(Transactions[[#This Row],[TransType]],TransTypes[TransType],0)),1,MATCH(Transactions[[#This Row],[TransType]],TransTypes[TransType],0))</f>
        <v>3</v>
      </c>
      <c r="M1543" s="160">
        <f>IF( AND( INDEX(TransTypes[],Transactions[[#This Row],[TTR]],TT_COL_GLFlag)=1, INDEX(TransTypes[],Transactions[[#This Row],[TTR]],TT_COL_LONGORSHORT)="S" ),
      Transactions[[#This Row],[PL]],
      IF(INDEX(TransTypes[],Transactions[[#This Row],[TTR]],TT_COL_LONGORSHORT)="S",0,Transactions[[#This Row],[CalCashImpact]])
)</f>
        <v>66886.23</v>
      </c>
      <c r="N1543" s="161">
        <f>IF(VLOOKUP(Transactions[[#This Row],[Symbol]],Symbols[],COLUMN(Symbols[Currency])-COLUMN(Symbols[])+1,FALSE)=
       VLOOKUP(Transactions[[#This Row],[Account]],Accounts[],COLUMN(Accounts[Currency])-COLUMN(Accounts[])+1,FALSE),
     Transactions[[#This Row],[OrigCashImpact]],
     0
)</f>
        <v>66886.23</v>
      </c>
      <c r="O15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793214.85000000056</v>
      </c>
      <c r="P15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543" s="41">
        <f>ROW()</f>
        <v>1543</v>
      </c>
      <c r="S15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-57510.994666666666</v>
      </c>
      <c r="T15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287554.97333333333</v>
      </c>
      <c r="U15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543" s="166">
        <f>IF(INDEX(TransTypes[],Transactions[[#This Row],[TTR]],TT_COL_GLFlag)=1,Transactions[[#This Row],[CalCashImpact]]+Transactions[[#This Row],[CostImpact]],0)</f>
        <v>9375.2353333333303</v>
      </c>
      <c r="W1543" s="167">
        <f>Transactions[[#This Row],[Amount]]*INDEX(TransTypes[],Transactions[[#This Row],[TTR]],TT_COL_AmntSign)</f>
        <v>66886.23</v>
      </c>
      <c r="X1543" s="167">
        <f>IF(INDEX(TransTypes[],Transactions[[#This Row],[TTR]],TT_COL_LONGORSHORT)="S",
      IF( OR(INDEX(TransTypes[],Transactions[[#This Row],[TTR]],TT_COL_GLFlag)=1, INDEX(TransTypes[], Transactions[[#This Row],[TTR]], TT_COL_ShareTransferFlag)=1),
            Transactions[[#This Row],[CostImpact]]*-1,
            Transactions[[#This Row],[CalCashImpact]]
      ),
     0
)</f>
        <v>0</v>
      </c>
      <c r="Y1543" s="168" t="str">
        <f>VLOOKUP(Transactions[[#This Row],[Symbol]],Symbols[], COLUMN(Symbols[Currency])-COLUMN(Symbols[])+1,FALSE)</f>
        <v>CNY</v>
      </c>
    </row>
    <row r="1544" spans="1:25">
      <c r="A1544" s="155" t="s">
        <v>82</v>
      </c>
      <c r="B1544" s="156">
        <v>42851</v>
      </c>
      <c r="C1544" s="155" t="s">
        <v>115</v>
      </c>
      <c r="D1544" s="155"/>
      <c r="E1544" s="155" t="s">
        <v>738</v>
      </c>
      <c r="F1544" s="157">
        <v>5000</v>
      </c>
      <c r="G1544" s="158">
        <v>20.39</v>
      </c>
      <c r="H1544" s="157">
        <v>142.74</v>
      </c>
      <c r="I1544" s="157"/>
      <c r="J1544" s="159">
        <v>101807.26</v>
      </c>
      <c r="K1544" s="6" t="s">
        <v>641</v>
      </c>
      <c r="L1544" s="20">
        <f>IF(ISNA(MATCH(Transactions[[#This Row],[TransType]],TransTypes[TransType],0)),1,MATCH(Transactions[[#This Row],[TransType]],TransTypes[TransType],0))</f>
        <v>3</v>
      </c>
      <c r="M1544" s="160">
        <f>IF( AND( INDEX(TransTypes[],Transactions[[#This Row],[TTR]],TT_COL_GLFlag)=1, INDEX(TransTypes[],Transactions[[#This Row],[TTR]],TT_COL_LONGORSHORT)="S" ),
      Transactions[[#This Row],[PL]],
      IF(INDEX(TransTypes[],Transactions[[#This Row],[TTR]],TT_COL_LONGORSHORT)="S",0,Transactions[[#This Row],[CalCashImpact]])
)</f>
        <v>101807.26</v>
      </c>
      <c r="N1544" s="161">
        <f>IF(VLOOKUP(Transactions[[#This Row],[Symbol]],Symbols[],COLUMN(Symbols[Currency])-COLUMN(Symbols[])+1,FALSE)=
       VLOOKUP(Transactions[[#This Row],[Account]],Accounts[],COLUMN(Accounts[Currency])-COLUMN(Accounts[])+1,FALSE),
     Transactions[[#This Row],[OrigCashImpact]],
     0
)</f>
        <v>101807.26</v>
      </c>
      <c r="O15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895022.11000000057</v>
      </c>
      <c r="P15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5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544" s="41">
        <f>ROW()</f>
        <v>1544</v>
      </c>
      <c r="S15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-103128.73437499999</v>
      </c>
      <c r="T15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103128.73437499999</v>
      </c>
      <c r="U15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544" s="166">
        <f>IF(INDEX(TransTypes[],Transactions[[#This Row],[TTR]],TT_COL_GLFlag)=1,Transactions[[#This Row],[CalCashImpact]]+Transactions[[#This Row],[CostImpact]],0)</f>
        <v>-1321.4743749999907</v>
      </c>
      <c r="W1544" s="167">
        <f>Transactions[[#This Row],[Amount]]*INDEX(TransTypes[],Transactions[[#This Row],[TTR]],TT_COL_AmntSign)</f>
        <v>101807.26</v>
      </c>
      <c r="X1544" s="167">
        <f>IF(INDEX(TransTypes[],Transactions[[#This Row],[TTR]],TT_COL_LONGORSHORT)="S",
      IF( OR(INDEX(TransTypes[],Transactions[[#This Row],[TTR]],TT_COL_GLFlag)=1, INDEX(TransTypes[], Transactions[[#This Row],[TTR]], TT_COL_ShareTransferFlag)=1),
            Transactions[[#This Row],[CostImpact]]*-1,
            Transactions[[#This Row],[CalCashImpact]]
      ),
     0
)</f>
        <v>0</v>
      </c>
      <c r="Y1544" s="168" t="str">
        <f>VLOOKUP(Transactions[[#This Row],[Symbol]],Symbols[], COLUMN(Symbols[Currency])-COLUMN(Symbols[])+1,FALSE)</f>
        <v>CNY</v>
      </c>
    </row>
    <row r="1545" spans="1:25">
      <c r="A1545" s="155" t="s">
        <v>82</v>
      </c>
      <c r="B1545" s="156">
        <v>42851</v>
      </c>
      <c r="C1545" s="155" t="s">
        <v>115</v>
      </c>
      <c r="D1545" s="155"/>
      <c r="E1545" s="155" t="s">
        <v>741</v>
      </c>
      <c r="F1545" s="157">
        <v>3000</v>
      </c>
      <c r="G1545" s="158">
        <v>18.52</v>
      </c>
      <c r="H1545" s="157">
        <v>77.78</v>
      </c>
      <c r="I1545" s="157"/>
      <c r="J1545" s="159">
        <v>55482.22</v>
      </c>
      <c r="K1545" s="6" t="s">
        <v>641</v>
      </c>
      <c r="L1545" s="20">
        <f>IF(ISNA(MATCH(Transactions[[#This Row],[TransType]],TransTypes[TransType],0)),1,MATCH(Transactions[[#This Row],[TransType]],TransTypes[TransType],0))</f>
        <v>3</v>
      </c>
      <c r="M1545" s="160">
        <f>IF( AND( INDEX(TransTypes[],Transactions[[#This Row],[TTR]],TT_COL_GLFlag)=1, INDEX(TransTypes[],Transactions[[#This Row],[TTR]],TT_COL_LONGORSHORT)="S" ),
      Transactions[[#This Row],[PL]],
      IF(INDEX(TransTypes[],Transactions[[#This Row],[TTR]],TT_COL_LONGORSHORT)="S",0,Transactions[[#This Row],[CalCashImpact]])
)</f>
        <v>55482.22</v>
      </c>
      <c r="N1545" s="161">
        <f>IF(VLOOKUP(Transactions[[#This Row],[Symbol]],Symbols[],COLUMN(Symbols[Currency])-COLUMN(Symbols[])+1,FALSE)=
       VLOOKUP(Transactions[[#This Row],[Account]],Accounts[],COLUMN(Accounts[Currency])-COLUMN(Accounts[])+1,FALSE),
     Transactions[[#This Row],[OrigCashImpact]],
     0
)</f>
        <v>55482.22</v>
      </c>
      <c r="O15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950504.33000000054</v>
      </c>
      <c r="P15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545" s="41">
        <f>ROW()</f>
        <v>1545</v>
      </c>
      <c r="S15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-51350.531538461531</v>
      </c>
      <c r="T15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171168.43846153846</v>
      </c>
      <c r="U15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545" s="166">
        <f>IF(INDEX(TransTypes[],Transactions[[#This Row],[TTR]],TT_COL_GLFlag)=1,Transactions[[#This Row],[CalCashImpact]]+Transactions[[#This Row],[CostImpact]],0)</f>
        <v>4131.6884615384697</v>
      </c>
      <c r="W1545" s="167">
        <f>Transactions[[#This Row],[Amount]]*INDEX(TransTypes[],Transactions[[#This Row],[TTR]],TT_COL_AmntSign)</f>
        <v>55482.22</v>
      </c>
      <c r="X1545" s="167">
        <f>IF(INDEX(TransTypes[],Transactions[[#This Row],[TTR]],TT_COL_LONGORSHORT)="S",
      IF( OR(INDEX(TransTypes[],Transactions[[#This Row],[TTR]],TT_COL_GLFlag)=1, INDEX(TransTypes[], Transactions[[#This Row],[TTR]], TT_COL_ShareTransferFlag)=1),
            Transactions[[#This Row],[CostImpact]]*-1,
            Transactions[[#This Row],[CalCashImpact]]
      ),
     0
)</f>
        <v>0</v>
      </c>
      <c r="Y1545" s="168" t="str">
        <f>VLOOKUP(Transactions[[#This Row],[Symbol]],Symbols[], COLUMN(Symbols[Currency])-COLUMN(Symbols[])+1,FALSE)</f>
        <v>CNY</v>
      </c>
    </row>
    <row r="1546" spans="1:25">
      <c r="A1546" s="155" t="s">
        <v>82</v>
      </c>
      <c r="B1546" s="156">
        <v>42851</v>
      </c>
      <c r="C1546" s="155" t="s">
        <v>115</v>
      </c>
      <c r="D1546" s="155"/>
      <c r="E1546" s="155" t="s">
        <v>471</v>
      </c>
      <c r="F1546" s="157">
        <v>5000</v>
      </c>
      <c r="G1546" s="158">
        <v>22</v>
      </c>
      <c r="H1546" s="157">
        <v>154</v>
      </c>
      <c r="I1546" s="157"/>
      <c r="J1546" s="159">
        <v>109846</v>
      </c>
      <c r="K1546" s="6" t="s">
        <v>641</v>
      </c>
      <c r="L1546" s="20">
        <f>IF(ISNA(MATCH(Transactions[[#This Row],[TransType]],TransTypes[TransType],0)),1,MATCH(Transactions[[#This Row],[TransType]],TransTypes[TransType],0))</f>
        <v>3</v>
      </c>
      <c r="M1546" s="160">
        <f>IF( AND( INDEX(TransTypes[],Transactions[[#This Row],[TTR]],TT_COL_GLFlag)=1, INDEX(TransTypes[],Transactions[[#This Row],[TTR]],TT_COL_LONGORSHORT)="S" ),
      Transactions[[#This Row],[PL]],
      IF(INDEX(TransTypes[],Transactions[[#This Row],[TTR]],TT_COL_LONGORSHORT)="S",0,Transactions[[#This Row],[CalCashImpact]])
)</f>
        <v>109846</v>
      </c>
      <c r="N1546" s="161">
        <f>IF(VLOOKUP(Transactions[[#This Row],[Symbol]],Symbols[],COLUMN(Symbols[Currency])-COLUMN(Symbols[])+1,FALSE)=
       VLOOKUP(Transactions[[#This Row],[Account]],Accounts[],COLUMN(Accounts[Currency])-COLUMN(Accounts[])+1,FALSE),
     Transactions[[#This Row],[OrigCashImpact]],
     0
)</f>
        <v>109846</v>
      </c>
      <c r="O15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1060350.3300000005</v>
      </c>
      <c r="P15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5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46" s="41">
        <f>ROW()</f>
        <v>1546</v>
      </c>
      <c r="S15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-95813.31</v>
      </c>
      <c r="T15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546" s="166">
        <f>IF(INDEX(TransTypes[],Transactions[[#This Row],[TTR]],TT_COL_GLFlag)=1,Transactions[[#This Row],[CalCashImpact]]+Transactions[[#This Row],[CostImpact]],0)</f>
        <v>14032.690000000002</v>
      </c>
      <c r="W1546" s="167">
        <f>Transactions[[#This Row],[Amount]]*INDEX(TransTypes[],Transactions[[#This Row],[TTR]],TT_COL_AmntSign)</f>
        <v>109846</v>
      </c>
      <c r="X1546" s="167">
        <f>IF(INDEX(TransTypes[],Transactions[[#This Row],[TTR]],TT_COL_LONGORSHORT)="S",
      IF( OR(INDEX(TransTypes[],Transactions[[#This Row],[TTR]],TT_COL_GLFlag)=1, INDEX(TransTypes[], Transactions[[#This Row],[TTR]], TT_COL_ShareTransferFlag)=1),
            Transactions[[#This Row],[CostImpact]]*-1,
            Transactions[[#This Row],[CalCashImpact]]
      ),
     0
)</f>
        <v>0</v>
      </c>
      <c r="Y1546" s="168" t="str">
        <f>VLOOKUP(Transactions[[#This Row],[Symbol]],Symbols[], COLUMN(Symbols[Currency])-COLUMN(Symbols[])+1,FALSE)</f>
        <v>CNY</v>
      </c>
    </row>
    <row r="1547" spans="1:25">
      <c r="A1547" s="155" t="s">
        <v>82</v>
      </c>
      <c r="B1547" s="156">
        <v>42851</v>
      </c>
      <c r="C1547" s="155" t="s">
        <v>115</v>
      </c>
      <c r="D1547" s="155"/>
      <c r="E1547" s="155" t="s">
        <v>468</v>
      </c>
      <c r="F1547" s="157">
        <v>3000</v>
      </c>
      <c r="G1547" s="158">
        <v>37.545000000000002</v>
      </c>
      <c r="H1547" s="157">
        <v>159.94999999999999</v>
      </c>
      <c r="I1547" s="157"/>
      <c r="J1547" s="159">
        <v>112475.05</v>
      </c>
      <c r="K1547" s="6" t="s">
        <v>641</v>
      </c>
      <c r="L1547" s="20">
        <f>IF(ISNA(MATCH(Transactions[[#This Row],[TransType]],TransTypes[TransType],0)),1,MATCH(Transactions[[#This Row],[TransType]],TransTypes[TransType],0))</f>
        <v>3</v>
      </c>
      <c r="M1547" s="160">
        <f>IF( AND( INDEX(TransTypes[],Transactions[[#This Row],[TTR]],TT_COL_GLFlag)=1, INDEX(TransTypes[],Transactions[[#This Row],[TTR]],TT_COL_LONGORSHORT)="S" ),
      Transactions[[#This Row],[PL]],
      IF(INDEX(TransTypes[],Transactions[[#This Row],[TTR]],TT_COL_LONGORSHORT)="S",0,Transactions[[#This Row],[CalCashImpact]])
)</f>
        <v>112475.05</v>
      </c>
      <c r="N1547" s="161">
        <f>IF(VLOOKUP(Transactions[[#This Row],[Symbol]],Symbols[],COLUMN(Symbols[Currency])-COLUMN(Symbols[])+1,FALSE)=
       VLOOKUP(Transactions[[#This Row],[Account]],Accounts[],COLUMN(Accounts[Currency])-COLUMN(Accounts[])+1,FALSE),
     Transactions[[#This Row],[OrigCashImpact]],
     0
)</f>
        <v>112475.05</v>
      </c>
      <c r="O15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1172825.3800000006</v>
      </c>
      <c r="P15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17000</v>
      </c>
      <c r="R1547" s="41">
        <f>ROW()</f>
        <v>1547</v>
      </c>
      <c r="S15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-108517.26235714286</v>
      </c>
      <c r="T15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614931.15335714293</v>
      </c>
      <c r="U15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547" s="166">
        <f>IF(INDEX(TransTypes[],Transactions[[#This Row],[TTR]],TT_COL_GLFlag)=1,Transactions[[#This Row],[CalCashImpact]]+Transactions[[#This Row],[CostImpact]],0)</f>
        <v>3957.7876428571471</v>
      </c>
      <c r="W1547" s="167">
        <f>Transactions[[#This Row],[Amount]]*INDEX(TransTypes[],Transactions[[#This Row],[TTR]],TT_COL_AmntSign)</f>
        <v>112475.05</v>
      </c>
      <c r="X1547" s="167">
        <f>IF(INDEX(TransTypes[],Transactions[[#This Row],[TTR]],TT_COL_LONGORSHORT)="S",
      IF( OR(INDEX(TransTypes[],Transactions[[#This Row],[TTR]],TT_COL_GLFlag)=1, INDEX(TransTypes[], Transactions[[#This Row],[TTR]], TT_COL_ShareTransferFlag)=1),
            Transactions[[#This Row],[CostImpact]]*-1,
            Transactions[[#This Row],[CalCashImpact]]
      ),
     0
)</f>
        <v>0</v>
      </c>
      <c r="Y1547" s="168" t="str">
        <f>VLOOKUP(Transactions[[#This Row],[Symbol]],Symbols[], COLUMN(Symbols[Currency])-COLUMN(Symbols[])+1,FALSE)</f>
        <v>CNY</v>
      </c>
    </row>
    <row r="1548" spans="1:25">
      <c r="A1548" s="155" t="s">
        <v>82</v>
      </c>
      <c r="B1548" s="156">
        <v>42851</v>
      </c>
      <c r="C1548" s="155" t="s">
        <v>115</v>
      </c>
      <c r="D1548" s="155"/>
      <c r="E1548" s="155" t="s">
        <v>464</v>
      </c>
      <c r="F1548" s="157">
        <v>200</v>
      </c>
      <c r="G1548" s="158">
        <v>415.88</v>
      </c>
      <c r="H1548" s="157">
        <v>118.11</v>
      </c>
      <c r="I1548" s="157"/>
      <c r="J1548" s="159">
        <v>83057.89</v>
      </c>
      <c r="K1548" s="6" t="s">
        <v>641</v>
      </c>
      <c r="L1548" s="20">
        <f>IF(ISNA(MATCH(Transactions[[#This Row],[TransType]],TransTypes[TransType],0)),1,MATCH(Transactions[[#This Row],[TransType]],TransTypes[TransType],0))</f>
        <v>3</v>
      </c>
      <c r="M1548" s="160">
        <f>IF( AND( INDEX(TransTypes[],Transactions[[#This Row],[TTR]],TT_COL_GLFlag)=1, INDEX(TransTypes[],Transactions[[#This Row],[TTR]],TT_COL_LONGORSHORT)="S" ),
      Transactions[[#This Row],[PL]],
      IF(INDEX(TransTypes[],Transactions[[#This Row],[TTR]],TT_COL_LONGORSHORT)="S",0,Transactions[[#This Row],[CalCashImpact]])
)</f>
        <v>83057.89</v>
      </c>
      <c r="N1548" s="161">
        <f>IF(VLOOKUP(Transactions[[#This Row],[Symbol]],Symbols[],COLUMN(Symbols[Currency])-COLUMN(Symbols[])+1,FALSE)=
       VLOOKUP(Transactions[[#This Row],[Account]],Accounts[],COLUMN(Accounts[Currency])-COLUMN(Accounts[])+1,FALSE),
     Transactions[[#This Row],[OrigCashImpact]],
     0
)</f>
        <v>83057.89</v>
      </c>
      <c r="O15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1255883.2700000005</v>
      </c>
      <c r="P15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5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1548" s="41">
        <f>ROW()</f>
        <v>1548</v>
      </c>
      <c r="S15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-70480.434696800003</v>
      </c>
      <c r="T15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281921.73878720001</v>
      </c>
      <c r="U15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548" s="166">
        <f>IF(INDEX(TransTypes[],Transactions[[#This Row],[TTR]],TT_COL_GLFlag)=1,Transactions[[#This Row],[CalCashImpact]]+Transactions[[#This Row],[CostImpact]],0)</f>
        <v>12577.455303199997</v>
      </c>
      <c r="W1548" s="167">
        <f>Transactions[[#This Row],[Amount]]*INDEX(TransTypes[],Transactions[[#This Row],[TTR]],TT_COL_AmntSign)</f>
        <v>83057.89</v>
      </c>
      <c r="X1548" s="167">
        <f>IF(INDEX(TransTypes[],Transactions[[#This Row],[TTR]],TT_COL_LONGORSHORT)="S",
      IF( OR(INDEX(TransTypes[],Transactions[[#This Row],[TTR]],TT_COL_GLFlag)=1, INDEX(TransTypes[], Transactions[[#This Row],[TTR]], TT_COL_ShareTransferFlag)=1),
            Transactions[[#This Row],[CostImpact]]*-1,
            Transactions[[#This Row],[CalCashImpact]]
      ),
     0
)</f>
        <v>0</v>
      </c>
      <c r="Y1548" s="168" t="str">
        <f>VLOOKUP(Transactions[[#This Row],[Symbol]],Symbols[], COLUMN(Symbols[Currency])-COLUMN(Symbols[])+1,FALSE)</f>
        <v>CNY</v>
      </c>
    </row>
    <row r="1549" spans="1:25">
      <c r="A1549" s="155" t="s">
        <v>82</v>
      </c>
      <c r="B1549" s="156">
        <v>42852</v>
      </c>
      <c r="C1549" s="155" t="s">
        <v>115</v>
      </c>
      <c r="D1549" s="155"/>
      <c r="E1549" s="155" t="s">
        <v>482</v>
      </c>
      <c r="F1549" s="157">
        <v>2000</v>
      </c>
      <c r="G1549" s="158">
        <v>32.909999999999997</v>
      </c>
      <c r="H1549" s="157">
        <v>92.15</v>
      </c>
      <c r="I1549" s="157"/>
      <c r="J1549" s="159">
        <v>65727.850000000006</v>
      </c>
      <c r="K1549" s="6" t="s">
        <v>641</v>
      </c>
      <c r="L1549" s="20">
        <f>IF(ISNA(MATCH(Transactions[[#This Row],[TransType]],TransTypes[TransType],0)),1,MATCH(Transactions[[#This Row],[TransType]],TransTypes[TransType],0))</f>
        <v>3</v>
      </c>
      <c r="M1549" s="160">
        <f>IF( AND( INDEX(TransTypes[],Transactions[[#This Row],[TTR]],TT_COL_GLFlag)=1, INDEX(TransTypes[],Transactions[[#This Row],[TTR]],TT_COL_LONGORSHORT)="S" ),
      Transactions[[#This Row],[PL]],
      IF(INDEX(TransTypes[],Transactions[[#This Row],[TTR]],TT_COL_LONGORSHORT)="S",0,Transactions[[#This Row],[CalCashImpact]])
)</f>
        <v>65727.850000000006</v>
      </c>
      <c r="N1549" s="161">
        <f>IF(VLOOKUP(Transactions[[#This Row],[Symbol]],Symbols[],COLUMN(Symbols[Currency])-COLUMN(Symbols[])+1,FALSE)=
       VLOOKUP(Transactions[[#This Row],[Account]],Accounts[],COLUMN(Accounts[Currency])-COLUMN(Accounts[])+1,FALSE),
     Transactions[[#This Row],[OrigCashImpact]],
     0
)</f>
        <v>65727.850000000006</v>
      </c>
      <c r="O15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1321611.1200000006</v>
      </c>
      <c r="P15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549" s="41">
        <f>ROW()</f>
        <v>1549</v>
      </c>
      <c r="S15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-57510.994666666666</v>
      </c>
      <c r="T15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230043.97866666666</v>
      </c>
      <c r="U15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549" s="166">
        <f>IF(INDEX(TransTypes[],Transactions[[#This Row],[TTR]],TT_COL_GLFlag)=1,Transactions[[#This Row],[CalCashImpact]]+Transactions[[#This Row],[CostImpact]],0)</f>
        <v>8216.8553333333402</v>
      </c>
      <c r="W1549" s="167">
        <f>Transactions[[#This Row],[Amount]]*INDEX(TransTypes[],Transactions[[#This Row],[TTR]],TT_COL_AmntSign)</f>
        <v>65727.850000000006</v>
      </c>
      <c r="X1549" s="167">
        <f>IF(INDEX(TransTypes[],Transactions[[#This Row],[TTR]],TT_COL_LONGORSHORT)="S",
      IF( OR(INDEX(TransTypes[],Transactions[[#This Row],[TTR]],TT_COL_GLFlag)=1, INDEX(TransTypes[], Transactions[[#This Row],[TTR]], TT_COL_ShareTransferFlag)=1),
            Transactions[[#This Row],[CostImpact]]*-1,
            Transactions[[#This Row],[CalCashImpact]]
      ),
     0
)</f>
        <v>0</v>
      </c>
      <c r="Y1549" s="168" t="str">
        <f>VLOOKUP(Transactions[[#This Row],[Symbol]],Symbols[], COLUMN(Symbols[Currency])-COLUMN(Symbols[])+1,FALSE)</f>
        <v>CNY</v>
      </c>
    </row>
    <row r="1550" spans="1:25">
      <c r="A1550" s="155" t="s">
        <v>82</v>
      </c>
      <c r="B1550" s="156">
        <v>42852</v>
      </c>
      <c r="C1550" s="155" t="s">
        <v>115</v>
      </c>
      <c r="D1550" s="155"/>
      <c r="E1550" s="155" t="s">
        <v>741</v>
      </c>
      <c r="F1550" s="157">
        <v>4000</v>
      </c>
      <c r="G1550" s="158">
        <v>18.510000000000002</v>
      </c>
      <c r="H1550" s="157">
        <v>103.66</v>
      </c>
      <c r="I1550" s="157"/>
      <c r="J1550" s="159">
        <v>73936.34</v>
      </c>
      <c r="K1550" s="6" t="s">
        <v>641</v>
      </c>
      <c r="L1550" s="20">
        <f>IF(ISNA(MATCH(Transactions[[#This Row],[TransType]],TransTypes[TransType],0)),1,MATCH(Transactions[[#This Row],[TransType]],TransTypes[TransType],0))</f>
        <v>3</v>
      </c>
      <c r="M1550" s="160">
        <f>IF( AND( INDEX(TransTypes[],Transactions[[#This Row],[TTR]],TT_COL_GLFlag)=1, INDEX(TransTypes[],Transactions[[#This Row],[TTR]],TT_COL_LONGORSHORT)="S" ),
      Transactions[[#This Row],[PL]],
      IF(INDEX(TransTypes[],Transactions[[#This Row],[TTR]],TT_COL_LONGORSHORT)="S",0,Transactions[[#This Row],[CalCashImpact]])
)</f>
        <v>73936.34</v>
      </c>
      <c r="N1550" s="161">
        <f>IF(VLOOKUP(Transactions[[#This Row],[Symbol]],Symbols[],COLUMN(Symbols[Currency])-COLUMN(Symbols[])+1,FALSE)=
       VLOOKUP(Transactions[[#This Row],[Account]],Accounts[],COLUMN(Accounts[Currency])-COLUMN(Accounts[])+1,FALSE),
     Transactions[[#This Row],[OrigCashImpact]],
     0
)</f>
        <v>73936.34</v>
      </c>
      <c r="O15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1395547.4600000004</v>
      </c>
      <c r="P15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5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550" s="41">
        <f>ROW()</f>
        <v>1550</v>
      </c>
      <c r="S15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-68467.375384615385</v>
      </c>
      <c r="T15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102701.06307692308</v>
      </c>
      <c r="U15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550" s="166">
        <f>IF(INDEX(TransTypes[],Transactions[[#This Row],[TTR]],TT_COL_GLFlag)=1,Transactions[[#This Row],[CalCashImpact]]+Transactions[[#This Row],[CostImpact]],0)</f>
        <v>5468.9646153846115</v>
      </c>
      <c r="W1550" s="167">
        <f>Transactions[[#This Row],[Amount]]*INDEX(TransTypes[],Transactions[[#This Row],[TTR]],TT_COL_AmntSign)</f>
        <v>73936.34</v>
      </c>
      <c r="X1550" s="167">
        <f>IF(INDEX(TransTypes[],Transactions[[#This Row],[TTR]],TT_COL_LONGORSHORT)="S",
      IF( OR(INDEX(TransTypes[],Transactions[[#This Row],[TTR]],TT_COL_GLFlag)=1, INDEX(TransTypes[], Transactions[[#This Row],[TTR]], TT_COL_ShareTransferFlag)=1),
            Transactions[[#This Row],[CostImpact]]*-1,
            Transactions[[#This Row],[CalCashImpact]]
      ),
     0
)</f>
        <v>0</v>
      </c>
      <c r="Y1550" s="168" t="str">
        <f>VLOOKUP(Transactions[[#This Row],[Symbol]],Symbols[], COLUMN(Symbols[Currency])-COLUMN(Symbols[])+1,FALSE)</f>
        <v>CNY</v>
      </c>
    </row>
    <row r="1551" spans="1:25">
      <c r="A1551" s="155" t="s">
        <v>82</v>
      </c>
      <c r="B1551" s="156">
        <v>42852</v>
      </c>
      <c r="C1551" s="155" t="s">
        <v>115</v>
      </c>
      <c r="D1551" s="155"/>
      <c r="E1551" s="155" t="s">
        <v>684</v>
      </c>
      <c r="F1551" s="157">
        <v>3000</v>
      </c>
      <c r="G1551" s="158">
        <v>27.41</v>
      </c>
      <c r="H1551" s="157">
        <v>116.76</v>
      </c>
      <c r="I1551" s="157"/>
      <c r="J1551" s="159">
        <v>82113.240000000005</v>
      </c>
      <c r="K1551" s="6" t="s">
        <v>641</v>
      </c>
      <c r="L1551" s="20">
        <f>IF(ISNA(MATCH(Transactions[[#This Row],[TransType]],TransTypes[TransType],0)),1,MATCH(Transactions[[#This Row],[TransType]],TransTypes[TransType],0))</f>
        <v>3</v>
      </c>
      <c r="M1551" s="160">
        <f>IF( AND( INDEX(TransTypes[],Transactions[[#This Row],[TTR]],TT_COL_GLFlag)=1, INDEX(TransTypes[],Transactions[[#This Row],[TTR]],TT_COL_LONGORSHORT)="S" ),
      Transactions[[#This Row],[PL]],
      IF(INDEX(TransTypes[],Transactions[[#This Row],[TTR]],TT_COL_LONGORSHORT)="S",0,Transactions[[#This Row],[CalCashImpact]])
)</f>
        <v>82113.240000000005</v>
      </c>
      <c r="N1551" s="161">
        <f>IF(VLOOKUP(Transactions[[#This Row],[Symbol]],Symbols[],COLUMN(Symbols[Currency])-COLUMN(Symbols[])+1,FALSE)=
       VLOOKUP(Transactions[[#This Row],[Account]],Accounts[],COLUMN(Accounts[Currency])-COLUMN(Accounts[])+1,FALSE),
     Transactions[[#This Row],[OrigCashImpact]],
     0
)</f>
        <v>82113.240000000005</v>
      </c>
      <c r="O15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1477660.7000000004</v>
      </c>
      <c r="P15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551" s="41">
        <f>ROW()</f>
        <v>1551</v>
      </c>
      <c r="S15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-76802.243999999992</v>
      </c>
      <c r="T15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179205.23600000003</v>
      </c>
      <c r="U15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551" s="166">
        <f>IF(INDEX(TransTypes[],Transactions[[#This Row],[TTR]],TT_COL_GLFlag)=1,Transactions[[#This Row],[CalCashImpact]]+Transactions[[#This Row],[CostImpact]],0)</f>
        <v>5310.9960000000137</v>
      </c>
      <c r="W1551" s="167">
        <f>Transactions[[#This Row],[Amount]]*INDEX(TransTypes[],Transactions[[#This Row],[TTR]],TT_COL_AmntSign)</f>
        <v>82113.240000000005</v>
      </c>
      <c r="X1551" s="167">
        <f>IF(INDEX(TransTypes[],Transactions[[#This Row],[TTR]],TT_COL_LONGORSHORT)="S",
      IF( OR(INDEX(TransTypes[],Transactions[[#This Row],[TTR]],TT_COL_GLFlag)=1, INDEX(TransTypes[], Transactions[[#This Row],[TTR]], TT_COL_ShareTransferFlag)=1),
            Transactions[[#This Row],[CostImpact]]*-1,
            Transactions[[#This Row],[CalCashImpact]]
      ),
     0
)</f>
        <v>0</v>
      </c>
      <c r="Y1551" s="168" t="str">
        <f>VLOOKUP(Transactions[[#This Row],[Symbol]],Symbols[], COLUMN(Symbols[Currency])-COLUMN(Symbols[])+1,FALSE)</f>
        <v>CNY</v>
      </c>
    </row>
    <row r="1552" spans="1:25">
      <c r="A1552" s="155" t="s">
        <v>82</v>
      </c>
      <c r="B1552" s="156">
        <v>42852</v>
      </c>
      <c r="C1552" s="155" t="s">
        <v>115</v>
      </c>
      <c r="D1552" s="155"/>
      <c r="E1552" s="155" t="s">
        <v>480</v>
      </c>
      <c r="F1552" s="157">
        <v>800</v>
      </c>
      <c r="G1552" s="158">
        <v>54.716999999999999</v>
      </c>
      <c r="H1552" s="157">
        <v>62.15</v>
      </c>
      <c r="I1552" s="157"/>
      <c r="J1552" s="159">
        <v>43711.45</v>
      </c>
      <c r="K1552" s="6" t="s">
        <v>641</v>
      </c>
      <c r="L1552" s="20">
        <f>IF(ISNA(MATCH(Transactions[[#This Row],[TransType]],TransTypes[TransType],0)),1,MATCH(Transactions[[#This Row],[TransType]],TransTypes[TransType],0))</f>
        <v>3</v>
      </c>
      <c r="M1552" s="160">
        <f>IF( AND( INDEX(TransTypes[],Transactions[[#This Row],[TTR]],TT_COL_GLFlag)=1, INDEX(TransTypes[],Transactions[[#This Row],[TTR]],TT_COL_LONGORSHORT)="S" ),
      Transactions[[#This Row],[PL]],
      IF(INDEX(TransTypes[],Transactions[[#This Row],[TTR]],TT_COL_LONGORSHORT)="S",0,Transactions[[#This Row],[CalCashImpact]])
)</f>
        <v>43711.45</v>
      </c>
      <c r="N1552" s="161">
        <f>IF(VLOOKUP(Transactions[[#This Row],[Symbol]],Symbols[],COLUMN(Symbols[Currency])-COLUMN(Symbols[])+1,FALSE)=
       VLOOKUP(Transactions[[#This Row],[Account]],Accounts[],COLUMN(Accounts[Currency])-COLUMN(Accounts[])+1,FALSE),
     Transactions[[#This Row],[OrigCashImpact]],
     0
)</f>
        <v>43711.45</v>
      </c>
      <c r="O15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1521372.1500000004</v>
      </c>
      <c r="P15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v>
      </c>
      <c r="Q15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5300</v>
      </c>
      <c r="R1552" s="41">
        <f>ROW()</f>
        <v>1552</v>
      </c>
      <c r="S15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-41545.0048852459</v>
      </c>
      <c r="T15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275235.65736475412</v>
      </c>
      <c r="U15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6100</v>
      </c>
      <c r="V1552" s="166">
        <f>IF(INDEX(TransTypes[],Transactions[[#This Row],[TTR]],TT_COL_GLFlag)=1,Transactions[[#This Row],[CalCashImpact]]+Transactions[[#This Row],[CostImpact]],0)</f>
        <v>2166.4451147540967</v>
      </c>
      <c r="W1552" s="167">
        <f>Transactions[[#This Row],[Amount]]*INDEX(TransTypes[],Transactions[[#This Row],[TTR]],TT_COL_AmntSign)</f>
        <v>43711.45</v>
      </c>
      <c r="X1552" s="167">
        <f>IF(INDEX(TransTypes[],Transactions[[#This Row],[TTR]],TT_COL_LONGORSHORT)="S",
      IF( OR(INDEX(TransTypes[],Transactions[[#This Row],[TTR]],TT_COL_GLFlag)=1, INDEX(TransTypes[], Transactions[[#This Row],[TTR]], TT_COL_ShareTransferFlag)=1),
            Transactions[[#This Row],[CostImpact]]*-1,
            Transactions[[#This Row],[CalCashImpact]]
      ),
     0
)</f>
        <v>0</v>
      </c>
      <c r="Y1552" s="168" t="str">
        <f>VLOOKUP(Transactions[[#This Row],[Symbol]],Symbols[], COLUMN(Symbols[Currency])-COLUMN(Symbols[])+1,FALSE)</f>
        <v>CNY</v>
      </c>
    </row>
    <row r="1553" spans="1:25">
      <c r="A1553" s="155" t="s">
        <v>82</v>
      </c>
      <c r="B1553" s="156">
        <v>42852</v>
      </c>
      <c r="C1553" s="155" t="s">
        <v>115</v>
      </c>
      <c r="D1553" s="155"/>
      <c r="E1553" s="155" t="s">
        <v>488</v>
      </c>
      <c r="F1553" s="157">
        <v>2000</v>
      </c>
      <c r="G1553" s="158">
        <v>22.773</v>
      </c>
      <c r="H1553" s="157">
        <v>64.569999999999993</v>
      </c>
      <c r="I1553" s="157"/>
      <c r="J1553" s="159">
        <v>45481.43</v>
      </c>
      <c r="K1553" s="6" t="s">
        <v>641</v>
      </c>
      <c r="L1553" s="20">
        <f>IF(ISNA(MATCH(Transactions[[#This Row],[TransType]],TransTypes[TransType],0)),1,MATCH(Transactions[[#This Row],[TransType]],TransTypes[TransType],0))</f>
        <v>3</v>
      </c>
      <c r="M1553" s="160">
        <f>IF( AND( INDEX(TransTypes[],Transactions[[#This Row],[TTR]],TT_COL_GLFlag)=1, INDEX(TransTypes[],Transactions[[#This Row],[TTR]],TT_COL_LONGORSHORT)="S" ),
      Transactions[[#This Row],[PL]],
      IF(INDEX(TransTypes[],Transactions[[#This Row],[TTR]],TT_COL_LONGORSHORT)="S",0,Transactions[[#This Row],[CalCashImpact]])
)</f>
        <v>45481.43</v>
      </c>
      <c r="N1553" s="161">
        <f>IF(VLOOKUP(Transactions[[#This Row],[Symbol]],Symbols[],COLUMN(Symbols[Currency])-COLUMN(Symbols[])+1,FALSE)=
       VLOOKUP(Transactions[[#This Row],[Account]],Accounts[],COLUMN(Accounts[Currency])-COLUMN(Accounts[])+1,FALSE),
     Transactions[[#This Row],[OrigCashImpact]],
     0
)</f>
        <v>45481.43</v>
      </c>
      <c r="O15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1566853.5800000005</v>
      </c>
      <c r="P15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553" s="41">
        <f>ROW()</f>
        <v>1553</v>
      </c>
      <c r="S15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-37703.427599999995</v>
      </c>
      <c r="T15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188517.13800000001</v>
      </c>
      <c r="U15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553" s="166">
        <f>IF(INDEX(TransTypes[],Transactions[[#This Row],[TTR]],TT_COL_GLFlag)=1,Transactions[[#This Row],[CalCashImpact]]+Transactions[[#This Row],[CostImpact]],0)</f>
        <v>7778.0024000000049</v>
      </c>
      <c r="W1553" s="167">
        <f>Transactions[[#This Row],[Amount]]*INDEX(TransTypes[],Transactions[[#This Row],[TTR]],TT_COL_AmntSign)</f>
        <v>45481.43</v>
      </c>
      <c r="X1553" s="167">
        <f>IF(INDEX(TransTypes[],Transactions[[#This Row],[TTR]],TT_COL_LONGORSHORT)="S",
      IF( OR(INDEX(TransTypes[],Transactions[[#This Row],[TTR]],TT_COL_GLFlag)=1, INDEX(TransTypes[], Transactions[[#This Row],[TTR]], TT_COL_ShareTransferFlag)=1),
            Transactions[[#This Row],[CostImpact]]*-1,
            Transactions[[#This Row],[CalCashImpact]]
      ),
     0
)</f>
        <v>0</v>
      </c>
      <c r="Y1553" s="168" t="str">
        <f>VLOOKUP(Transactions[[#This Row],[Symbol]],Symbols[], COLUMN(Symbols[Currency])-COLUMN(Symbols[])+1,FALSE)</f>
        <v>CNY</v>
      </c>
    </row>
    <row r="1554" spans="1:25">
      <c r="A1554" s="155" t="s">
        <v>82</v>
      </c>
      <c r="B1554" s="156">
        <v>42852</v>
      </c>
      <c r="C1554" s="155" t="s">
        <v>115</v>
      </c>
      <c r="D1554" s="155"/>
      <c r="E1554" s="155" t="s">
        <v>464</v>
      </c>
      <c r="F1554" s="157">
        <v>100</v>
      </c>
      <c r="G1554" s="158">
        <v>419.22</v>
      </c>
      <c r="H1554" s="157">
        <v>59.53</v>
      </c>
      <c r="I1554" s="157"/>
      <c r="J1554" s="159">
        <v>41862.47</v>
      </c>
      <c r="K1554" s="6" t="s">
        <v>641</v>
      </c>
      <c r="L1554" s="20">
        <f>IF(ISNA(MATCH(Transactions[[#This Row],[TransType]],TransTypes[TransType],0)),1,MATCH(Transactions[[#This Row],[TransType]],TransTypes[TransType],0))</f>
        <v>3</v>
      </c>
      <c r="M1554" s="160">
        <f>IF( AND( INDEX(TransTypes[],Transactions[[#This Row],[TTR]],TT_COL_GLFlag)=1, INDEX(TransTypes[],Transactions[[#This Row],[TTR]],TT_COL_LONGORSHORT)="S" ),
      Transactions[[#This Row],[PL]],
      IF(INDEX(TransTypes[],Transactions[[#This Row],[TTR]],TT_COL_LONGORSHORT)="S",0,Transactions[[#This Row],[CalCashImpact]])
)</f>
        <v>41862.47</v>
      </c>
      <c r="N1554" s="161">
        <f>IF(VLOOKUP(Transactions[[#This Row],[Symbol]],Symbols[],COLUMN(Symbols[Currency])-COLUMN(Symbols[])+1,FALSE)=
       VLOOKUP(Transactions[[#This Row],[Account]],Accounts[],COLUMN(Accounts[Currency])-COLUMN(Accounts[])+1,FALSE),
     Transactions[[#This Row],[OrigCashImpact]],
     0
)</f>
        <v>41862.47</v>
      </c>
      <c r="O15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1608716.0500000005</v>
      </c>
      <c r="P15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5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1554" s="41">
        <f>ROW()</f>
        <v>1554</v>
      </c>
      <c r="S15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-35240.217348400001</v>
      </c>
      <c r="T15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246681.5214388</v>
      </c>
      <c r="U15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554" s="166">
        <f>IF(INDEX(TransTypes[],Transactions[[#This Row],[TTR]],TT_COL_GLFlag)=1,Transactions[[#This Row],[CalCashImpact]]+Transactions[[#This Row],[CostImpact]],0)</f>
        <v>6622.2526515999998</v>
      </c>
      <c r="W1554" s="167">
        <f>Transactions[[#This Row],[Amount]]*INDEX(TransTypes[],Transactions[[#This Row],[TTR]],TT_COL_AmntSign)</f>
        <v>41862.47</v>
      </c>
      <c r="X1554" s="167">
        <f>IF(INDEX(TransTypes[],Transactions[[#This Row],[TTR]],TT_COL_LONGORSHORT)="S",
      IF( OR(INDEX(TransTypes[],Transactions[[#This Row],[TTR]],TT_COL_GLFlag)=1, INDEX(TransTypes[], Transactions[[#This Row],[TTR]], TT_COL_ShareTransferFlag)=1),
            Transactions[[#This Row],[CostImpact]]*-1,
            Transactions[[#This Row],[CalCashImpact]]
      ),
     0
)</f>
        <v>0</v>
      </c>
      <c r="Y1554" s="168" t="str">
        <f>VLOOKUP(Transactions[[#This Row],[Symbol]],Symbols[], COLUMN(Symbols[Currency])-COLUMN(Symbols[])+1,FALSE)</f>
        <v>CNY</v>
      </c>
    </row>
    <row r="1555" spans="1:25">
      <c r="A1555" s="155" t="s">
        <v>82</v>
      </c>
      <c r="B1555" s="156">
        <v>42853</v>
      </c>
      <c r="C1555" s="155" t="s">
        <v>115</v>
      </c>
      <c r="D1555" s="155"/>
      <c r="E1555" s="155" t="s">
        <v>474</v>
      </c>
      <c r="F1555" s="157">
        <v>2400</v>
      </c>
      <c r="G1555" s="158">
        <v>40.43</v>
      </c>
      <c r="H1555" s="157">
        <v>135.84</v>
      </c>
      <c r="I1555" s="157"/>
      <c r="J1555" s="159">
        <v>96896.16</v>
      </c>
      <c r="K1555" s="6" t="s">
        <v>641</v>
      </c>
      <c r="L1555" s="20">
        <f>IF(ISNA(MATCH(Transactions[[#This Row],[TransType]],TransTypes[TransType],0)),1,MATCH(Transactions[[#This Row],[TransType]],TransTypes[TransType],0))</f>
        <v>3</v>
      </c>
      <c r="M1555" s="160">
        <f>IF( AND( INDEX(TransTypes[],Transactions[[#This Row],[TTR]],TT_COL_GLFlag)=1, INDEX(TransTypes[],Transactions[[#This Row],[TTR]],TT_COL_LONGORSHORT)="S" ),
      Transactions[[#This Row],[PL]],
      IF(INDEX(TransTypes[],Transactions[[#This Row],[TTR]],TT_COL_LONGORSHORT)="S",0,Transactions[[#This Row],[CalCashImpact]])
)</f>
        <v>96896.16</v>
      </c>
      <c r="N1555" s="161">
        <f>IF(VLOOKUP(Transactions[[#This Row],[Symbol]],Symbols[],COLUMN(Symbols[Currency])-COLUMN(Symbols[])+1,FALSE)=
       VLOOKUP(Transactions[[#This Row],[Account]],Accounts[],COLUMN(Accounts[Currency])-COLUMN(Accounts[])+1,FALSE),
     Transactions[[#This Row],[OrigCashImpact]],
     0
)</f>
        <v>96896.16</v>
      </c>
      <c r="O15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1705612.2100000004</v>
      </c>
      <c r="P15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-2400</v>
      </c>
      <c r="Q15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555" s="41">
        <f>ROW()</f>
        <v>1555</v>
      </c>
      <c r="S15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-97695.06</v>
      </c>
      <c r="T15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81412.549999999988</v>
      </c>
      <c r="U15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4400</v>
      </c>
      <c r="V1555" s="166">
        <f>IF(INDEX(TransTypes[],Transactions[[#This Row],[TTR]],TT_COL_GLFlag)=1,Transactions[[#This Row],[CalCashImpact]]+Transactions[[#This Row],[CostImpact]],0)</f>
        <v>-798.89999999999418</v>
      </c>
      <c r="W1555" s="167">
        <f>Transactions[[#This Row],[Amount]]*INDEX(TransTypes[],Transactions[[#This Row],[TTR]],TT_COL_AmntSign)</f>
        <v>96896.16</v>
      </c>
      <c r="X1555" s="167">
        <f>IF(INDEX(TransTypes[],Transactions[[#This Row],[TTR]],TT_COL_LONGORSHORT)="S",
      IF( OR(INDEX(TransTypes[],Transactions[[#This Row],[TTR]],TT_COL_GLFlag)=1, INDEX(TransTypes[], Transactions[[#This Row],[TTR]], TT_COL_ShareTransferFlag)=1),
            Transactions[[#This Row],[CostImpact]]*-1,
            Transactions[[#This Row],[CalCashImpact]]
      ),
     0
)</f>
        <v>0</v>
      </c>
      <c r="Y1555" s="168" t="str">
        <f>VLOOKUP(Transactions[[#This Row],[Symbol]],Symbols[], COLUMN(Symbols[Currency])-COLUMN(Symbols[])+1,FALSE)</f>
        <v>CNY</v>
      </c>
    </row>
    <row r="1556" spans="1:25">
      <c r="A1556" s="155" t="s">
        <v>82</v>
      </c>
      <c r="B1556" s="156">
        <v>42853</v>
      </c>
      <c r="C1556" s="155" t="s">
        <v>115</v>
      </c>
      <c r="D1556" s="155"/>
      <c r="E1556" s="155" t="s">
        <v>741</v>
      </c>
      <c r="F1556" s="157">
        <v>3000</v>
      </c>
      <c r="G1556" s="158">
        <v>18.16</v>
      </c>
      <c r="H1556" s="157">
        <v>76.27</v>
      </c>
      <c r="I1556" s="157"/>
      <c r="J1556" s="159">
        <v>54403.73</v>
      </c>
      <c r="K1556" s="6" t="s">
        <v>641</v>
      </c>
      <c r="L1556" s="20">
        <f>IF(ISNA(MATCH(Transactions[[#This Row],[TransType]],TransTypes[TransType],0)),1,MATCH(Transactions[[#This Row],[TransType]],TransTypes[TransType],0))</f>
        <v>3</v>
      </c>
      <c r="M1556" s="160">
        <f>IF( AND( INDEX(TransTypes[],Transactions[[#This Row],[TTR]],TT_COL_GLFlag)=1, INDEX(TransTypes[],Transactions[[#This Row],[TTR]],TT_COL_LONGORSHORT)="S" ),
      Transactions[[#This Row],[PL]],
      IF(INDEX(TransTypes[],Transactions[[#This Row],[TTR]],TT_COL_LONGORSHORT)="S",0,Transactions[[#This Row],[CalCashImpact]])
)</f>
        <v>54403.73</v>
      </c>
      <c r="N1556" s="161">
        <f>IF(VLOOKUP(Transactions[[#This Row],[Symbol]],Symbols[],COLUMN(Symbols[Currency])-COLUMN(Symbols[])+1,FALSE)=
       VLOOKUP(Transactions[[#This Row],[Account]],Accounts[],COLUMN(Accounts[Currency])-COLUMN(Accounts[])+1,FALSE),
     Transactions[[#This Row],[OrigCashImpact]],
     0
)</f>
        <v>54403.73</v>
      </c>
      <c r="O15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1760015.9400000004</v>
      </c>
      <c r="P15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556" s="41">
        <f>ROW()</f>
        <v>1556</v>
      </c>
      <c r="S15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-51350.531538461531</v>
      </c>
      <c r="T15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51350.531538461546</v>
      </c>
      <c r="U15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556" s="166">
        <f>IF(INDEX(TransTypes[],Transactions[[#This Row],[TTR]],TT_COL_GLFlag)=1,Transactions[[#This Row],[CalCashImpact]]+Transactions[[#This Row],[CostImpact]],0)</f>
        <v>3053.1984615384717</v>
      </c>
      <c r="W1556" s="167">
        <f>Transactions[[#This Row],[Amount]]*INDEX(TransTypes[],Transactions[[#This Row],[TTR]],TT_COL_AmntSign)</f>
        <v>54403.73</v>
      </c>
      <c r="X1556" s="167">
        <f>IF(INDEX(TransTypes[],Transactions[[#This Row],[TTR]],TT_COL_LONGORSHORT)="S",
      IF( OR(INDEX(TransTypes[],Transactions[[#This Row],[TTR]],TT_COL_GLFlag)=1, INDEX(TransTypes[], Transactions[[#This Row],[TTR]], TT_COL_ShareTransferFlag)=1),
            Transactions[[#This Row],[CostImpact]]*-1,
            Transactions[[#This Row],[CalCashImpact]]
      ),
     0
)</f>
        <v>0</v>
      </c>
      <c r="Y1556" s="168" t="str">
        <f>VLOOKUP(Transactions[[#This Row],[Symbol]],Symbols[], COLUMN(Symbols[Currency])-COLUMN(Symbols[])+1,FALSE)</f>
        <v>CNY</v>
      </c>
    </row>
    <row r="1557" spans="1:25">
      <c r="A1557" s="155" t="s">
        <v>82</v>
      </c>
      <c r="B1557" s="156">
        <v>42853</v>
      </c>
      <c r="C1557" s="155" t="s">
        <v>115</v>
      </c>
      <c r="D1557" s="155"/>
      <c r="E1557" s="155" t="s">
        <v>704</v>
      </c>
      <c r="F1557" s="157">
        <v>4000</v>
      </c>
      <c r="G1557" s="158">
        <v>21.49</v>
      </c>
      <c r="H1557" s="157">
        <v>120.34</v>
      </c>
      <c r="I1557" s="157"/>
      <c r="J1557" s="159">
        <v>85839.66</v>
      </c>
      <c r="K1557" s="6" t="s">
        <v>641</v>
      </c>
      <c r="L1557" s="20">
        <f>IF(ISNA(MATCH(Transactions[[#This Row],[TransType]],TransTypes[TransType],0)),1,MATCH(Transactions[[#This Row],[TransType]],TransTypes[TransType],0))</f>
        <v>3</v>
      </c>
      <c r="M1557" s="160">
        <f>IF( AND( INDEX(TransTypes[],Transactions[[#This Row],[TTR]],TT_COL_GLFlag)=1, INDEX(TransTypes[],Transactions[[#This Row],[TTR]],TT_COL_LONGORSHORT)="S" ),
      Transactions[[#This Row],[PL]],
      IF(INDEX(TransTypes[],Transactions[[#This Row],[TTR]],TT_COL_LONGORSHORT)="S",0,Transactions[[#This Row],[CalCashImpact]])
)</f>
        <v>85839.66</v>
      </c>
      <c r="N1557" s="161">
        <f>IF(VLOOKUP(Transactions[[#This Row],[Symbol]],Symbols[],COLUMN(Symbols[Currency])-COLUMN(Symbols[])+1,FALSE)=
       VLOOKUP(Transactions[[#This Row],[Account]],Accounts[],COLUMN(Accounts[Currency])-COLUMN(Accounts[])+1,FALSE),
     Transactions[[#This Row],[OrigCashImpact]],
     0
)</f>
        <v>85839.66</v>
      </c>
      <c r="O15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1845855.6000000006</v>
      </c>
      <c r="P15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5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557" s="41">
        <f>ROW()</f>
        <v>1557</v>
      </c>
      <c r="S15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-87001.428317307698</v>
      </c>
      <c r="T15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87001.428317307698</v>
      </c>
      <c r="U15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557" s="166">
        <f>IF(INDEX(TransTypes[],Transactions[[#This Row],[TTR]],TT_COL_GLFlag)=1,Transactions[[#This Row],[CalCashImpact]]+Transactions[[#This Row],[CostImpact]],0)</f>
        <v>-1161.7683173076948</v>
      </c>
      <c r="W1557" s="167">
        <f>Transactions[[#This Row],[Amount]]*INDEX(TransTypes[],Transactions[[#This Row],[TTR]],TT_COL_AmntSign)</f>
        <v>85839.66</v>
      </c>
      <c r="X1557" s="167">
        <f>IF(INDEX(TransTypes[],Transactions[[#This Row],[TTR]],TT_COL_LONGORSHORT)="S",
      IF( OR(INDEX(TransTypes[],Transactions[[#This Row],[TTR]],TT_COL_GLFlag)=1, INDEX(TransTypes[], Transactions[[#This Row],[TTR]], TT_COL_ShareTransferFlag)=1),
            Transactions[[#This Row],[CostImpact]]*-1,
            Transactions[[#This Row],[CalCashImpact]]
      ),
     0
)</f>
        <v>0</v>
      </c>
      <c r="Y1557" s="168" t="str">
        <f>VLOOKUP(Transactions[[#This Row],[Symbol]],Symbols[], COLUMN(Symbols[Currency])-COLUMN(Symbols[])+1,FALSE)</f>
        <v>CNY</v>
      </c>
    </row>
    <row r="1558" spans="1:25">
      <c r="A1558" s="155" t="s">
        <v>82</v>
      </c>
      <c r="B1558" s="156">
        <v>42853</v>
      </c>
      <c r="C1558" s="155" t="s">
        <v>115</v>
      </c>
      <c r="D1558" s="155"/>
      <c r="E1558" s="155" t="s">
        <v>482</v>
      </c>
      <c r="F1558" s="157">
        <v>3000</v>
      </c>
      <c r="G1558" s="158">
        <v>32.630000000000003</v>
      </c>
      <c r="H1558" s="157">
        <v>137.06</v>
      </c>
      <c r="I1558" s="157"/>
      <c r="J1558" s="159">
        <v>97752.94</v>
      </c>
      <c r="K1558" s="6" t="s">
        <v>641</v>
      </c>
      <c r="L1558" s="20">
        <f>IF(ISNA(MATCH(Transactions[[#This Row],[TransType]],TransTypes[TransType],0)),1,MATCH(Transactions[[#This Row],[TransType]],TransTypes[TransType],0))</f>
        <v>3</v>
      </c>
      <c r="M1558" s="160">
        <f>IF( AND( INDEX(TransTypes[],Transactions[[#This Row],[TTR]],TT_COL_GLFlag)=1, INDEX(TransTypes[],Transactions[[#This Row],[TTR]],TT_COL_LONGORSHORT)="S" ),
      Transactions[[#This Row],[PL]],
      IF(INDEX(TransTypes[],Transactions[[#This Row],[TTR]],TT_COL_LONGORSHORT)="S",0,Transactions[[#This Row],[CalCashImpact]])
)</f>
        <v>97752.94</v>
      </c>
      <c r="N1558" s="161">
        <f>IF(VLOOKUP(Transactions[[#This Row],[Symbol]],Symbols[],COLUMN(Symbols[Currency])-COLUMN(Symbols[])+1,FALSE)=
       VLOOKUP(Transactions[[#This Row],[Account]],Accounts[],COLUMN(Accounts[Currency])-COLUMN(Accounts[])+1,FALSE),
     Transactions[[#This Row],[OrigCashImpact]],
     0
)</f>
        <v>97752.94</v>
      </c>
      <c r="O15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1943608.5400000005</v>
      </c>
      <c r="P15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558" s="41">
        <f>ROW()</f>
        <v>1558</v>
      </c>
      <c r="S15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-86266.491999999998</v>
      </c>
      <c r="T15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143777.48666666666</v>
      </c>
      <c r="U15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558" s="166">
        <f>IF(INDEX(TransTypes[],Transactions[[#This Row],[TTR]],TT_COL_GLFlag)=1,Transactions[[#This Row],[CalCashImpact]]+Transactions[[#This Row],[CostImpact]],0)</f>
        <v>11486.448000000004</v>
      </c>
      <c r="W1558" s="167">
        <f>Transactions[[#This Row],[Amount]]*INDEX(TransTypes[],Transactions[[#This Row],[TTR]],TT_COL_AmntSign)</f>
        <v>97752.94</v>
      </c>
      <c r="X1558" s="167">
        <f>IF(INDEX(TransTypes[],Transactions[[#This Row],[TTR]],TT_COL_LONGORSHORT)="S",
      IF( OR(INDEX(TransTypes[],Transactions[[#This Row],[TTR]],TT_COL_GLFlag)=1, INDEX(TransTypes[], Transactions[[#This Row],[TTR]], TT_COL_ShareTransferFlag)=1),
            Transactions[[#This Row],[CostImpact]]*-1,
            Transactions[[#This Row],[CalCashImpact]]
      ),
     0
)</f>
        <v>0</v>
      </c>
      <c r="Y1558" s="168" t="str">
        <f>VLOOKUP(Transactions[[#This Row],[Symbol]],Symbols[], COLUMN(Symbols[Currency])-COLUMN(Symbols[])+1,FALSE)</f>
        <v>CNY</v>
      </c>
    </row>
    <row r="1559" spans="1:25">
      <c r="A1559" s="155" t="s">
        <v>82</v>
      </c>
      <c r="B1559" s="156">
        <v>42853</v>
      </c>
      <c r="C1559" s="155" t="s">
        <v>115</v>
      </c>
      <c r="D1559" s="155"/>
      <c r="E1559" s="155" t="s">
        <v>480</v>
      </c>
      <c r="F1559" s="157">
        <v>1300</v>
      </c>
      <c r="G1559" s="158">
        <v>53.28</v>
      </c>
      <c r="H1559" s="157">
        <v>98.36</v>
      </c>
      <c r="I1559" s="157"/>
      <c r="J1559" s="159">
        <v>69165.64</v>
      </c>
      <c r="K1559" s="6" t="s">
        <v>641</v>
      </c>
      <c r="L1559" s="20">
        <f>IF(ISNA(MATCH(Transactions[[#This Row],[TransType]],TransTypes[TransType],0)),1,MATCH(Transactions[[#This Row],[TransType]],TransTypes[TransType],0))</f>
        <v>3</v>
      </c>
      <c r="M1559" s="160">
        <f>IF( AND( INDEX(TransTypes[],Transactions[[#This Row],[TTR]],TT_COL_GLFlag)=1, INDEX(TransTypes[],Transactions[[#This Row],[TTR]],TT_COL_LONGORSHORT)="S" ),
      Transactions[[#This Row],[PL]],
      IF(INDEX(TransTypes[],Transactions[[#This Row],[TTR]],TT_COL_LONGORSHORT)="S",0,Transactions[[#This Row],[CalCashImpact]])
)</f>
        <v>69165.64</v>
      </c>
      <c r="N1559" s="161">
        <f>IF(VLOOKUP(Transactions[[#This Row],[Symbol]],Symbols[],COLUMN(Symbols[Currency])-COLUMN(Symbols[])+1,FALSE)=
       VLOOKUP(Transactions[[#This Row],[Account]],Accounts[],COLUMN(Accounts[Currency])-COLUMN(Accounts[])+1,FALSE),
     Transactions[[#This Row],[OrigCashImpact]],
     0
)</f>
        <v>69165.64</v>
      </c>
      <c r="O15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2012774.1800000006</v>
      </c>
      <c r="P15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-1300</v>
      </c>
      <c r="Q15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559" s="41">
        <f>ROW()</f>
        <v>1559</v>
      </c>
      <c r="S15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-67510.632938524606</v>
      </c>
      <c r="T15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207725.02442622953</v>
      </c>
      <c r="U15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5300</v>
      </c>
      <c r="V1559" s="166">
        <f>IF(INDEX(TransTypes[],Transactions[[#This Row],[TTR]],TT_COL_GLFlag)=1,Transactions[[#This Row],[CalCashImpact]]+Transactions[[#This Row],[CostImpact]],0)</f>
        <v>1655.0070614753931</v>
      </c>
      <c r="W1559" s="167">
        <f>Transactions[[#This Row],[Amount]]*INDEX(TransTypes[],Transactions[[#This Row],[TTR]],TT_COL_AmntSign)</f>
        <v>69165.64</v>
      </c>
      <c r="X1559" s="167">
        <f>IF(INDEX(TransTypes[],Transactions[[#This Row],[TTR]],TT_COL_LONGORSHORT)="S",
      IF( OR(INDEX(TransTypes[],Transactions[[#This Row],[TTR]],TT_COL_GLFlag)=1, INDEX(TransTypes[], Transactions[[#This Row],[TTR]], TT_COL_ShareTransferFlag)=1),
            Transactions[[#This Row],[CostImpact]]*-1,
            Transactions[[#This Row],[CalCashImpact]]
      ),
     0
)</f>
        <v>0</v>
      </c>
      <c r="Y1559" s="168" t="str">
        <f>VLOOKUP(Transactions[[#This Row],[Symbol]],Symbols[], COLUMN(Symbols[Currency])-COLUMN(Symbols[])+1,FALSE)</f>
        <v>CNY</v>
      </c>
    </row>
    <row r="1560" spans="1:25">
      <c r="A1560" s="155" t="s">
        <v>82</v>
      </c>
      <c r="B1560" s="156">
        <v>42853</v>
      </c>
      <c r="C1560" s="155" t="s">
        <v>115</v>
      </c>
      <c r="D1560" s="155"/>
      <c r="E1560" s="155" t="s">
        <v>684</v>
      </c>
      <c r="F1560" s="157">
        <v>3000</v>
      </c>
      <c r="G1560" s="158">
        <v>27.01</v>
      </c>
      <c r="H1560" s="157">
        <v>115.06</v>
      </c>
      <c r="I1560" s="157"/>
      <c r="J1560" s="159">
        <v>80914.94</v>
      </c>
      <c r="K1560" s="6" t="s">
        <v>641</v>
      </c>
      <c r="L1560" s="20">
        <f>IF(ISNA(MATCH(Transactions[[#This Row],[TransType]],TransTypes[TransType],0)),1,MATCH(Transactions[[#This Row],[TransType]],TransTypes[TransType],0))</f>
        <v>3</v>
      </c>
      <c r="M1560" s="160">
        <f>IF( AND( INDEX(TransTypes[],Transactions[[#This Row],[TTR]],TT_COL_GLFlag)=1, INDEX(TransTypes[],Transactions[[#This Row],[TTR]],TT_COL_LONGORSHORT)="S" ),
      Transactions[[#This Row],[PL]],
      IF(INDEX(TransTypes[],Transactions[[#This Row],[TTR]],TT_COL_LONGORSHORT)="S",0,Transactions[[#This Row],[CalCashImpact]])
)</f>
        <v>80914.94</v>
      </c>
      <c r="N1560" s="161">
        <f>IF(VLOOKUP(Transactions[[#This Row],[Symbol]],Symbols[],COLUMN(Symbols[Currency])-COLUMN(Symbols[])+1,FALSE)=
       VLOOKUP(Transactions[[#This Row],[Account]],Accounts[],COLUMN(Accounts[Currency])-COLUMN(Accounts[])+1,FALSE),
     Transactions[[#This Row],[OrigCashImpact]],
     0
)</f>
        <v>80914.94</v>
      </c>
      <c r="O15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2093689.1200000006</v>
      </c>
      <c r="P15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560" s="41">
        <f>ROW()</f>
        <v>1560</v>
      </c>
      <c r="S15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-76802.244000000021</v>
      </c>
      <c r="T15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102402.99200000001</v>
      </c>
      <c r="U15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560" s="166">
        <f>IF(INDEX(TransTypes[],Transactions[[#This Row],[TTR]],TT_COL_GLFlag)=1,Transactions[[#This Row],[CalCashImpact]]+Transactions[[#This Row],[CostImpact]],0)</f>
        <v>4112.6959999999817</v>
      </c>
      <c r="W1560" s="167">
        <f>Transactions[[#This Row],[Amount]]*INDEX(TransTypes[],Transactions[[#This Row],[TTR]],TT_COL_AmntSign)</f>
        <v>80914.94</v>
      </c>
      <c r="X1560" s="167">
        <f>IF(INDEX(TransTypes[],Transactions[[#This Row],[TTR]],TT_COL_LONGORSHORT)="S",
      IF( OR(INDEX(TransTypes[],Transactions[[#This Row],[TTR]],TT_COL_GLFlag)=1, INDEX(TransTypes[], Transactions[[#This Row],[TTR]], TT_COL_ShareTransferFlag)=1),
            Transactions[[#This Row],[CostImpact]]*-1,
            Transactions[[#This Row],[CalCashImpact]]
      ),
     0
)</f>
        <v>0</v>
      </c>
      <c r="Y1560" s="168" t="str">
        <f>VLOOKUP(Transactions[[#This Row],[Symbol]],Symbols[], COLUMN(Symbols[Currency])-COLUMN(Symbols[])+1,FALSE)</f>
        <v>CNY</v>
      </c>
    </row>
    <row r="1561" spans="1:25">
      <c r="A1561" s="155" t="s">
        <v>82</v>
      </c>
      <c r="B1561" s="156">
        <v>42853</v>
      </c>
      <c r="C1561" s="155" t="s">
        <v>115</v>
      </c>
      <c r="D1561" s="155"/>
      <c r="E1561" s="155" t="s">
        <v>258</v>
      </c>
      <c r="F1561" s="157">
        <v>10000</v>
      </c>
      <c r="G1561" s="158">
        <v>10.28</v>
      </c>
      <c r="H1561" s="157">
        <v>421.88</v>
      </c>
      <c r="I1561" s="157"/>
      <c r="J1561" s="159">
        <v>102378.12</v>
      </c>
      <c r="K1561" s="6" t="s">
        <v>641</v>
      </c>
      <c r="L1561" s="20">
        <f>IF(ISNA(MATCH(Transactions[[#This Row],[TransType]],TransTypes[TransType],0)),1,MATCH(Transactions[[#This Row],[TransType]],TransTypes[TransType],0))</f>
        <v>3</v>
      </c>
      <c r="M1561" s="160">
        <f>IF( AND( INDEX(TransTypes[],Transactions[[#This Row],[TTR]],TT_COL_GLFlag)=1, INDEX(TransTypes[],Transactions[[#This Row],[TTR]],TT_COL_LONGORSHORT)="S" ),
      Transactions[[#This Row],[PL]],
      IF(INDEX(TransTypes[],Transactions[[#This Row],[TTR]],TT_COL_LONGORSHORT)="S",0,Transactions[[#This Row],[CalCashImpact]])
)</f>
        <v>102378.12</v>
      </c>
      <c r="N1561" s="161">
        <f>IF(VLOOKUP(Transactions[[#This Row],[Symbol]],Symbols[],COLUMN(Symbols[Currency])-COLUMN(Symbols[])+1,FALSE)=
       VLOOKUP(Transactions[[#This Row],[Account]],Accounts[],COLUMN(Accounts[Currency])-COLUMN(Accounts[])+1,FALSE),
     Transactions[[#This Row],[OrigCashImpact]],
     0
)</f>
        <v>0</v>
      </c>
      <c r="O15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2093689.1200000006</v>
      </c>
      <c r="P15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5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561" s="41">
        <f>ROW()</f>
        <v>1561</v>
      </c>
      <c r="S15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-65969.643333333341</v>
      </c>
      <c r="T15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65969.643333333341</v>
      </c>
      <c r="U15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561" s="166">
        <f>IF(INDEX(TransTypes[],Transactions[[#This Row],[TTR]],TT_COL_GLFlag)=1,Transactions[[#This Row],[CalCashImpact]]+Transactions[[#This Row],[CostImpact]],0)</f>
        <v>36408.476666666655</v>
      </c>
      <c r="W1561" s="167">
        <f>Transactions[[#This Row],[Amount]]*INDEX(TransTypes[],Transactions[[#This Row],[TTR]],TT_COL_AmntSign)</f>
        <v>102378.12</v>
      </c>
      <c r="X1561" s="167">
        <f>IF(INDEX(TransTypes[],Transactions[[#This Row],[TTR]],TT_COL_LONGORSHORT)="S",
      IF( OR(INDEX(TransTypes[],Transactions[[#This Row],[TTR]],TT_COL_GLFlag)=1, INDEX(TransTypes[], Transactions[[#This Row],[TTR]], TT_COL_ShareTransferFlag)=1),
            Transactions[[#This Row],[CostImpact]]*-1,
            Transactions[[#This Row],[CalCashImpact]]
      ),
     0
)</f>
        <v>0</v>
      </c>
      <c r="Y1561" s="168" t="str">
        <f>VLOOKUP(Transactions[[#This Row],[Symbol]],Symbols[], COLUMN(Symbols[Currency])-COLUMN(Symbols[])+1,FALSE)</f>
        <v>HKD</v>
      </c>
    </row>
    <row r="1562" spans="1:25">
      <c r="A1562" s="155" t="s">
        <v>82</v>
      </c>
      <c r="B1562" s="156">
        <v>42853</v>
      </c>
      <c r="C1562" s="155" t="s">
        <v>156</v>
      </c>
      <c r="D1562" s="155"/>
      <c r="E1562" s="155" t="s">
        <v>210</v>
      </c>
      <c r="F1562" s="157">
        <v>90785.85</v>
      </c>
      <c r="G1562" s="158">
        <f>Transactions[[#This Row],[Amount]]/Transactions[[#This Row],[Qty]]</f>
        <v>1.1276880703325463</v>
      </c>
      <c r="H1562" s="157"/>
      <c r="I1562" s="157"/>
      <c r="J1562" s="159">
        <v>102378.12</v>
      </c>
      <c r="K1562" s="6" t="s">
        <v>742</v>
      </c>
      <c r="L1562" s="20">
        <f>IF(ISNA(MATCH(Transactions[[#This Row],[TransType]],TransTypes[TransType],0)),1,MATCH(Transactions[[#This Row],[TransType]],TransTypes[TransType],0))</f>
        <v>17</v>
      </c>
      <c r="M1562" s="160">
        <f>IF( AND( INDEX(TransTypes[],Transactions[[#This Row],[TTR]],TT_COL_GLFlag)=1, INDEX(TransTypes[],Transactions[[#This Row],[TTR]],TT_COL_LONGORSHORT)="S" ),
      Transactions[[#This Row],[PL]],
      IF(INDEX(TransTypes[],Transactions[[#This Row],[TTR]],TT_COL_LONGORSHORT)="S",0,Transactions[[#This Row],[CalCashImpact]])
)</f>
        <v>-102378.12</v>
      </c>
      <c r="N1562" s="161">
        <f>IF(VLOOKUP(Transactions[[#This Row],[Symbol]],Symbols[],COLUMN(Symbols[Currency])-COLUMN(Symbols[])+1,FALSE)=
       VLOOKUP(Transactions[[#This Row],[Account]],Accounts[],COLUMN(Accounts[Currency])-COLUMN(Accounts[])+1,FALSE),
     Transactions[[#This Row],[OrigCashImpact]],
     0
)</f>
        <v>0</v>
      </c>
      <c r="O15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2093689.1200000006</v>
      </c>
      <c r="P15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62" s="41">
        <f>ROW()</f>
        <v>1562</v>
      </c>
      <c r="S15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62" s="166">
        <f>IF(INDEX(TransTypes[],Transactions[[#This Row],[TTR]],TT_COL_GLFlag)=1,Transactions[[#This Row],[CalCashImpact]]+Transactions[[#This Row],[CostImpact]],0)</f>
        <v>0</v>
      </c>
      <c r="W1562" s="167">
        <f>Transactions[[#This Row],[Amount]]*INDEX(TransTypes[],Transactions[[#This Row],[TTR]],TT_COL_AmntSign)</f>
        <v>-102378.12</v>
      </c>
      <c r="X1562" s="167">
        <f>IF(INDEX(TransTypes[],Transactions[[#This Row],[TTR]],TT_COL_LONGORSHORT)="S",
      IF( OR(INDEX(TransTypes[],Transactions[[#This Row],[TTR]],TT_COL_GLFlag)=1, INDEX(TransTypes[], Transactions[[#This Row],[TTR]], TT_COL_ShareTransferFlag)=1),
            Transactions[[#This Row],[CostImpact]]*-1,
            Transactions[[#This Row],[CalCashImpact]]
      ),
     0
)</f>
        <v>0</v>
      </c>
      <c r="Y1562" s="168" t="str">
        <f>VLOOKUP(Transactions[[#This Row],[Symbol]],Symbols[], COLUMN(Symbols[Currency])-COLUMN(Symbols[])+1,FALSE)</f>
        <v>HKD</v>
      </c>
    </row>
    <row r="1563" spans="1:25">
      <c r="A1563" s="155" t="s">
        <v>82</v>
      </c>
      <c r="B1563" s="156">
        <v>42853</v>
      </c>
      <c r="C1563" s="155" t="s">
        <v>239</v>
      </c>
      <c r="D1563" s="155"/>
      <c r="E1563" s="155" t="s">
        <v>211</v>
      </c>
      <c r="F1563" s="157">
        <v>90785.85</v>
      </c>
      <c r="G1563" s="158">
        <v>1</v>
      </c>
      <c r="H1563" s="157"/>
      <c r="I1563" s="157"/>
      <c r="J1563" s="159">
        <v>90785.85</v>
      </c>
      <c r="K1563" s="6" t="s">
        <v>743</v>
      </c>
      <c r="L1563" s="20">
        <f>IF(ISNA(MATCH(Transactions[[#This Row],[TransType]],TransTypes[TransType],0)),1,MATCH(Transactions[[#This Row],[TransType]],TransTypes[TransType],0))</f>
        <v>18</v>
      </c>
      <c r="M1563" s="160">
        <f>IF( AND( INDEX(TransTypes[],Transactions[[#This Row],[TTR]],TT_COL_GLFlag)=1, INDEX(TransTypes[],Transactions[[#This Row],[TTR]],TT_COL_LONGORSHORT)="S" ),
      Transactions[[#This Row],[PL]],
      IF(INDEX(TransTypes[],Transactions[[#This Row],[TTR]],TT_COL_LONGORSHORT)="S",0,Transactions[[#This Row],[CalCashImpact]])
)</f>
        <v>90785.85</v>
      </c>
      <c r="N1563" s="161">
        <f>IF(VLOOKUP(Transactions[[#This Row],[Symbol]],Symbols[],COLUMN(Symbols[Currency])-COLUMN(Symbols[])+1,FALSE)=
       VLOOKUP(Transactions[[#This Row],[Account]],Accounts[],COLUMN(Accounts[Currency])-COLUMN(Accounts[])+1,FALSE),
     Transactions[[#This Row],[OrigCashImpact]],
     0
)</f>
        <v>90785.85</v>
      </c>
      <c r="O15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2184474.9700000007</v>
      </c>
      <c r="P15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63" s="41">
        <f>ROW()</f>
        <v>1563</v>
      </c>
      <c r="S15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63" s="166">
        <f>IF(INDEX(TransTypes[],Transactions[[#This Row],[TTR]],TT_COL_GLFlag)=1,Transactions[[#This Row],[CalCashImpact]]+Transactions[[#This Row],[CostImpact]],0)</f>
        <v>0</v>
      </c>
      <c r="W1563" s="167">
        <f>Transactions[[#This Row],[Amount]]*INDEX(TransTypes[],Transactions[[#This Row],[TTR]],TT_COL_AmntSign)</f>
        <v>90785.85</v>
      </c>
      <c r="X1563" s="167">
        <f>IF(INDEX(TransTypes[],Transactions[[#This Row],[TTR]],TT_COL_LONGORSHORT)="S",
      IF( OR(INDEX(TransTypes[],Transactions[[#This Row],[TTR]],TT_COL_GLFlag)=1, INDEX(TransTypes[], Transactions[[#This Row],[TTR]], TT_COL_ShareTransferFlag)=1),
            Transactions[[#This Row],[CostImpact]]*-1,
            Transactions[[#This Row],[CalCashImpact]]
      ),
     0
)</f>
        <v>0</v>
      </c>
      <c r="Y1563" s="168" t="str">
        <f>VLOOKUP(Transactions[[#This Row],[Symbol]],Symbols[], COLUMN(Symbols[Currency])-COLUMN(Symbols[])+1,FALSE)</f>
        <v>CNY</v>
      </c>
    </row>
    <row r="1564" spans="1:25">
      <c r="A1564" s="155" t="s">
        <v>82</v>
      </c>
      <c r="B1564" s="156">
        <v>42857</v>
      </c>
      <c r="C1564" s="155" t="s">
        <v>113</v>
      </c>
      <c r="D1564" s="155"/>
      <c r="E1564" s="155" t="s">
        <v>464</v>
      </c>
      <c r="F1564" s="157">
        <v>300</v>
      </c>
      <c r="G1564" s="158">
        <v>410.6</v>
      </c>
      <c r="H1564" s="157">
        <v>51.73</v>
      </c>
      <c r="I1564" s="157"/>
      <c r="J1564" s="159">
        <v>123231.73</v>
      </c>
      <c r="K1564" s="6" t="s">
        <v>641</v>
      </c>
      <c r="L1564" s="20">
        <f>IF(ISNA(MATCH(Transactions[[#This Row],[TransType]],TransTypes[TransType],0)),1,MATCH(Transactions[[#This Row],[TransType]],TransTypes[TransType],0))</f>
        <v>2</v>
      </c>
      <c r="M1564" s="160">
        <f>IF( AND( INDEX(TransTypes[],Transactions[[#This Row],[TTR]],TT_COL_GLFlag)=1, INDEX(TransTypes[],Transactions[[#This Row],[TTR]],TT_COL_LONGORSHORT)="S" ),
      Transactions[[#This Row],[PL]],
      IF(INDEX(TransTypes[],Transactions[[#This Row],[TTR]],TT_COL_LONGORSHORT)="S",0,Transactions[[#This Row],[CalCashImpact]])
)</f>
        <v>-123231.73</v>
      </c>
      <c r="N1564" s="161">
        <f>IF(VLOOKUP(Transactions[[#This Row],[Symbol]],Symbols[],COLUMN(Symbols[Currency])-COLUMN(Symbols[])+1,FALSE)=
       VLOOKUP(Transactions[[#This Row],[Account]],Accounts[],COLUMN(Accounts[Currency])-COLUMN(Accounts[])+1,FALSE),
     Transactions[[#This Row],[OrigCashImpact]],
     0
)</f>
        <v>-123231.73</v>
      </c>
      <c r="O15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2061243.2400000002</v>
      </c>
      <c r="P15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15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v>
      </c>
      <c r="R1564" s="41">
        <f>ROW()</f>
        <v>1564</v>
      </c>
      <c r="S15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123231.73</v>
      </c>
      <c r="T15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369913.25143880001</v>
      </c>
      <c r="U15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564" s="166">
        <f>IF(INDEX(TransTypes[],Transactions[[#This Row],[TTR]],TT_COL_GLFlag)=1,Transactions[[#This Row],[CalCashImpact]]+Transactions[[#This Row],[CostImpact]],0)</f>
        <v>0</v>
      </c>
      <c r="W1564" s="167">
        <f>Transactions[[#This Row],[Amount]]*INDEX(TransTypes[],Transactions[[#This Row],[TTR]],TT_COL_AmntSign)</f>
        <v>-123231.73</v>
      </c>
      <c r="X1564" s="167">
        <f>IF(INDEX(TransTypes[],Transactions[[#This Row],[TTR]],TT_COL_LONGORSHORT)="S",
      IF( OR(INDEX(TransTypes[],Transactions[[#This Row],[TTR]],TT_COL_GLFlag)=1, INDEX(TransTypes[], Transactions[[#This Row],[TTR]], TT_COL_ShareTransferFlag)=1),
            Transactions[[#This Row],[CostImpact]]*-1,
            Transactions[[#This Row],[CalCashImpact]]
      ),
     0
)</f>
        <v>0</v>
      </c>
      <c r="Y1564" s="168" t="str">
        <f>VLOOKUP(Transactions[[#This Row],[Symbol]],Symbols[], COLUMN(Symbols[Currency])-COLUMN(Symbols[])+1,FALSE)</f>
        <v>CNY</v>
      </c>
    </row>
    <row r="1565" spans="1:25">
      <c r="A1565" s="155" t="s">
        <v>82</v>
      </c>
      <c r="B1565" s="156">
        <v>42857</v>
      </c>
      <c r="C1565" s="155" t="s">
        <v>113</v>
      </c>
      <c r="D1565" s="155"/>
      <c r="E1565" s="155" t="s">
        <v>468</v>
      </c>
      <c r="F1565" s="157">
        <v>5000</v>
      </c>
      <c r="G1565" s="158">
        <v>38.35</v>
      </c>
      <c r="H1565" s="157">
        <v>80.53</v>
      </c>
      <c r="I1565" s="157"/>
      <c r="J1565" s="159">
        <v>191830.53</v>
      </c>
      <c r="K1565" s="6" t="s">
        <v>641</v>
      </c>
      <c r="L1565" s="20">
        <f>IF(ISNA(MATCH(Transactions[[#This Row],[TransType]],TransTypes[TransType],0)),1,MATCH(Transactions[[#This Row],[TransType]],TransTypes[TransType],0))</f>
        <v>2</v>
      </c>
      <c r="M1565" s="160">
        <f>IF( AND( INDEX(TransTypes[],Transactions[[#This Row],[TTR]],TT_COL_GLFlag)=1, INDEX(TransTypes[],Transactions[[#This Row],[TTR]],TT_COL_LONGORSHORT)="S" ),
      Transactions[[#This Row],[PL]],
      IF(INDEX(TransTypes[],Transactions[[#This Row],[TTR]],TT_COL_LONGORSHORT)="S",0,Transactions[[#This Row],[CalCashImpact]])
)</f>
        <v>-191830.53</v>
      </c>
      <c r="N1565" s="161">
        <f>IF(VLOOKUP(Transactions[[#This Row],[Symbol]],Symbols[],COLUMN(Symbols[Currency])-COLUMN(Symbols[])+1,FALSE)=
       VLOOKUP(Transactions[[#This Row],[Account]],Accounts[],COLUMN(Accounts[Currency])-COLUMN(Accounts[])+1,FALSE),
     Transactions[[#This Row],[OrigCashImpact]],
     0
)</f>
        <v>-191830.53</v>
      </c>
      <c r="O15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1869412.7100000002</v>
      </c>
      <c r="P15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5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22000</v>
      </c>
      <c r="R1565" s="41">
        <f>ROW()</f>
        <v>1565</v>
      </c>
      <c r="S15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191830.53</v>
      </c>
      <c r="T15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806761.68335714296</v>
      </c>
      <c r="U15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22000</v>
      </c>
      <c r="V1565" s="166">
        <f>IF(INDEX(TransTypes[],Transactions[[#This Row],[TTR]],TT_COL_GLFlag)=1,Transactions[[#This Row],[CalCashImpact]]+Transactions[[#This Row],[CostImpact]],0)</f>
        <v>0</v>
      </c>
      <c r="W1565" s="167">
        <f>Transactions[[#This Row],[Amount]]*INDEX(TransTypes[],Transactions[[#This Row],[TTR]],TT_COL_AmntSign)</f>
        <v>-191830.53</v>
      </c>
      <c r="X1565" s="167">
        <f>IF(INDEX(TransTypes[],Transactions[[#This Row],[TTR]],TT_COL_LONGORSHORT)="S",
      IF( OR(INDEX(TransTypes[],Transactions[[#This Row],[TTR]],TT_COL_GLFlag)=1, INDEX(TransTypes[], Transactions[[#This Row],[TTR]], TT_COL_ShareTransferFlag)=1),
            Transactions[[#This Row],[CostImpact]]*-1,
            Transactions[[#This Row],[CalCashImpact]]
      ),
     0
)</f>
        <v>0</v>
      </c>
      <c r="Y1565" s="168" t="str">
        <f>VLOOKUP(Transactions[[#This Row],[Symbol]],Symbols[], COLUMN(Symbols[Currency])-COLUMN(Symbols[])+1,FALSE)</f>
        <v>CNY</v>
      </c>
    </row>
    <row r="1566" spans="1:25">
      <c r="A1566" s="155" t="s">
        <v>82</v>
      </c>
      <c r="B1566" s="156">
        <v>42858</v>
      </c>
      <c r="C1566" s="155" t="s">
        <v>113</v>
      </c>
      <c r="D1566" s="155"/>
      <c r="E1566" s="155" t="s">
        <v>741</v>
      </c>
      <c r="F1566" s="157">
        <v>5000</v>
      </c>
      <c r="G1566" s="158">
        <v>18.5</v>
      </c>
      <c r="H1566" s="157">
        <v>37</v>
      </c>
      <c r="I1566" s="157"/>
      <c r="J1566" s="159">
        <v>92537</v>
      </c>
      <c r="K1566" s="6" t="s">
        <v>641</v>
      </c>
      <c r="L1566" s="20">
        <f>IF(ISNA(MATCH(Transactions[[#This Row],[TransType]],TransTypes[TransType],0)),1,MATCH(Transactions[[#This Row],[TransType]],TransTypes[TransType],0))</f>
        <v>2</v>
      </c>
      <c r="M1566" s="160">
        <f>IF( AND( INDEX(TransTypes[],Transactions[[#This Row],[TTR]],TT_COL_GLFlag)=1, INDEX(TransTypes[],Transactions[[#This Row],[TTR]],TT_COL_LONGORSHORT)="S" ),
      Transactions[[#This Row],[PL]],
      IF(INDEX(TransTypes[],Transactions[[#This Row],[TTR]],TT_COL_LONGORSHORT)="S",0,Transactions[[#This Row],[CalCashImpact]])
)</f>
        <v>-92537</v>
      </c>
      <c r="N1566" s="161">
        <f>IF(VLOOKUP(Transactions[[#This Row],[Symbol]],Symbols[],COLUMN(Symbols[Currency])-COLUMN(Symbols[])+1,FALSE)=
       VLOOKUP(Transactions[[#This Row],[Account]],Accounts[],COLUMN(Accounts[Currency])-COLUMN(Accounts[])+1,FALSE),
     Transactions[[#This Row],[OrigCashImpact]],
     0
)</f>
        <v>-92537</v>
      </c>
      <c r="O15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1776875.7100000002</v>
      </c>
      <c r="P15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5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566" s="41">
        <f>ROW()</f>
        <v>1566</v>
      </c>
      <c r="S15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92537</v>
      </c>
      <c r="T15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143887.53153846154</v>
      </c>
      <c r="U15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566" s="166">
        <f>IF(INDEX(TransTypes[],Transactions[[#This Row],[TTR]],TT_COL_GLFlag)=1,Transactions[[#This Row],[CalCashImpact]]+Transactions[[#This Row],[CostImpact]],0)</f>
        <v>0</v>
      </c>
      <c r="W1566" s="167">
        <f>Transactions[[#This Row],[Amount]]*INDEX(TransTypes[],Transactions[[#This Row],[TTR]],TT_COL_AmntSign)</f>
        <v>-92537</v>
      </c>
      <c r="X1566" s="167">
        <f>IF(INDEX(TransTypes[],Transactions[[#This Row],[TTR]],TT_COL_LONGORSHORT)="S",
      IF( OR(INDEX(TransTypes[],Transactions[[#This Row],[TTR]],TT_COL_GLFlag)=1, INDEX(TransTypes[], Transactions[[#This Row],[TTR]], TT_COL_ShareTransferFlag)=1),
            Transactions[[#This Row],[CostImpact]]*-1,
            Transactions[[#This Row],[CalCashImpact]]
      ),
     0
)</f>
        <v>0</v>
      </c>
      <c r="Y1566" s="168" t="str">
        <f>VLOOKUP(Transactions[[#This Row],[Symbol]],Symbols[], COLUMN(Symbols[Currency])-COLUMN(Symbols[])+1,FALSE)</f>
        <v>CNY</v>
      </c>
    </row>
    <row r="1567" spans="1:25">
      <c r="A1567" s="155" t="s">
        <v>82</v>
      </c>
      <c r="B1567" s="156">
        <v>42858</v>
      </c>
      <c r="C1567" s="155" t="s">
        <v>113</v>
      </c>
      <c r="D1567" s="155"/>
      <c r="E1567" s="155" t="s">
        <v>488</v>
      </c>
      <c r="F1567" s="157">
        <v>3000</v>
      </c>
      <c r="G1567" s="158">
        <v>22.19</v>
      </c>
      <c r="H1567" s="157">
        <v>27.56</v>
      </c>
      <c r="I1567" s="157"/>
      <c r="J1567" s="159">
        <v>66597.56</v>
      </c>
      <c r="K1567" s="6" t="s">
        <v>641</v>
      </c>
      <c r="L1567" s="20">
        <f>IF(ISNA(MATCH(Transactions[[#This Row],[TransType]],TransTypes[TransType],0)),1,MATCH(Transactions[[#This Row],[TransType]],TransTypes[TransType],0))</f>
        <v>2</v>
      </c>
      <c r="M1567" s="160">
        <f>IF( AND( INDEX(TransTypes[],Transactions[[#This Row],[TTR]],TT_COL_GLFlag)=1, INDEX(TransTypes[],Transactions[[#This Row],[TTR]],TT_COL_LONGORSHORT)="S" ),
      Transactions[[#This Row],[PL]],
      IF(INDEX(TransTypes[],Transactions[[#This Row],[TTR]],TT_COL_LONGORSHORT)="S",0,Transactions[[#This Row],[CalCashImpact]])
)</f>
        <v>-66597.56</v>
      </c>
      <c r="N1567" s="161">
        <f>IF(VLOOKUP(Transactions[[#This Row],[Symbol]],Symbols[],COLUMN(Symbols[Currency])-COLUMN(Symbols[])+1,FALSE)=
       VLOOKUP(Transactions[[#This Row],[Account]],Accounts[],COLUMN(Accounts[Currency])-COLUMN(Accounts[])+1,FALSE),
     Transactions[[#This Row],[OrigCashImpact]],
     0
)</f>
        <v>-66597.56</v>
      </c>
      <c r="O15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1710278.1500000001</v>
      </c>
      <c r="P15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567" s="41">
        <f>ROW()</f>
        <v>1567</v>
      </c>
      <c r="S15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66597.56</v>
      </c>
      <c r="T15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255114.698</v>
      </c>
      <c r="U15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567" s="166">
        <f>IF(INDEX(TransTypes[],Transactions[[#This Row],[TTR]],TT_COL_GLFlag)=1,Transactions[[#This Row],[CalCashImpact]]+Transactions[[#This Row],[CostImpact]],0)</f>
        <v>0</v>
      </c>
      <c r="W1567" s="167">
        <f>Transactions[[#This Row],[Amount]]*INDEX(TransTypes[],Transactions[[#This Row],[TTR]],TT_COL_AmntSign)</f>
        <v>-66597.56</v>
      </c>
      <c r="X1567" s="167">
        <f>IF(INDEX(TransTypes[],Transactions[[#This Row],[TTR]],TT_COL_LONGORSHORT)="S",
      IF( OR(INDEX(TransTypes[],Transactions[[#This Row],[TTR]],TT_COL_GLFlag)=1, INDEX(TransTypes[], Transactions[[#This Row],[TTR]], TT_COL_ShareTransferFlag)=1),
            Transactions[[#This Row],[CostImpact]]*-1,
            Transactions[[#This Row],[CalCashImpact]]
      ),
     0
)</f>
        <v>0</v>
      </c>
      <c r="Y1567" s="168" t="str">
        <f>VLOOKUP(Transactions[[#This Row],[Symbol]],Symbols[], COLUMN(Symbols[Currency])-COLUMN(Symbols[])+1,FALSE)</f>
        <v>CNY</v>
      </c>
    </row>
    <row r="1568" spans="1:25">
      <c r="A1568" s="155" t="s">
        <v>82</v>
      </c>
      <c r="B1568" s="156">
        <v>42858</v>
      </c>
      <c r="C1568" s="155" t="s">
        <v>113</v>
      </c>
      <c r="D1568" s="155"/>
      <c r="E1568" s="155" t="s">
        <v>480</v>
      </c>
      <c r="F1568" s="157">
        <v>2000</v>
      </c>
      <c r="G1568" s="158">
        <v>53.905000000000001</v>
      </c>
      <c r="H1568" s="157">
        <v>45.27</v>
      </c>
      <c r="I1568" s="157"/>
      <c r="J1568" s="159">
        <v>107855.27</v>
      </c>
      <c r="K1568" s="6" t="s">
        <v>641</v>
      </c>
      <c r="L1568" s="20">
        <f>IF(ISNA(MATCH(Transactions[[#This Row],[TransType]],TransTypes[TransType],0)),1,MATCH(Transactions[[#This Row],[TransType]],TransTypes[TransType],0))</f>
        <v>2</v>
      </c>
      <c r="M1568" s="160">
        <f>IF( AND( INDEX(TransTypes[],Transactions[[#This Row],[TTR]],TT_COL_GLFlag)=1, INDEX(TransTypes[],Transactions[[#This Row],[TTR]],TT_COL_LONGORSHORT)="S" ),
      Transactions[[#This Row],[PL]],
      IF(INDEX(TransTypes[],Transactions[[#This Row],[TTR]],TT_COL_LONGORSHORT)="S",0,Transactions[[#This Row],[CalCashImpact]])
)</f>
        <v>-107855.27</v>
      </c>
      <c r="N1568" s="161">
        <f>IF(VLOOKUP(Transactions[[#This Row],[Symbol]],Symbols[],COLUMN(Symbols[Currency])-COLUMN(Symbols[])+1,FALSE)=
       VLOOKUP(Transactions[[#This Row],[Account]],Accounts[],COLUMN(Accounts[Currency])-COLUMN(Accounts[])+1,FALSE),
     Transactions[[#This Row],[OrigCashImpact]],
     0
)</f>
        <v>-107855.27</v>
      </c>
      <c r="O15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1602422.8800000001</v>
      </c>
      <c r="P15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568" s="41">
        <f>ROW()</f>
        <v>1568</v>
      </c>
      <c r="S15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107855.27</v>
      </c>
      <c r="T15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315580.29442622955</v>
      </c>
      <c r="U15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568" s="166">
        <f>IF(INDEX(TransTypes[],Transactions[[#This Row],[TTR]],TT_COL_GLFlag)=1,Transactions[[#This Row],[CalCashImpact]]+Transactions[[#This Row],[CostImpact]],0)</f>
        <v>0</v>
      </c>
      <c r="W1568" s="167">
        <f>Transactions[[#This Row],[Amount]]*INDEX(TransTypes[],Transactions[[#This Row],[TTR]],TT_COL_AmntSign)</f>
        <v>-107855.27</v>
      </c>
      <c r="X1568" s="167">
        <f>IF(INDEX(TransTypes[],Transactions[[#This Row],[TTR]],TT_COL_LONGORSHORT)="S",
      IF( OR(INDEX(TransTypes[],Transactions[[#This Row],[TTR]],TT_COL_GLFlag)=1, INDEX(TransTypes[], Transactions[[#This Row],[TTR]], TT_COL_ShareTransferFlag)=1),
            Transactions[[#This Row],[CostImpact]]*-1,
            Transactions[[#This Row],[CalCashImpact]]
      ),
     0
)</f>
        <v>0</v>
      </c>
      <c r="Y1568" s="168" t="str">
        <f>VLOOKUP(Transactions[[#This Row],[Symbol]],Symbols[], COLUMN(Symbols[Currency])-COLUMN(Symbols[])+1,FALSE)</f>
        <v>CNY</v>
      </c>
    </row>
    <row r="1569" spans="1:25">
      <c r="A1569" s="155" t="s">
        <v>82</v>
      </c>
      <c r="B1569" s="156">
        <v>42859</v>
      </c>
      <c r="C1569" s="155" t="s">
        <v>113</v>
      </c>
      <c r="D1569" s="155"/>
      <c r="E1569" s="155" t="s">
        <v>474</v>
      </c>
      <c r="F1569" s="157">
        <v>2000</v>
      </c>
      <c r="G1569" s="158">
        <v>40.790999999999997</v>
      </c>
      <c r="H1569" s="157">
        <v>32.630000000000003</v>
      </c>
      <c r="I1569" s="157"/>
      <c r="J1569" s="159">
        <v>81614.63</v>
      </c>
      <c r="K1569" s="6" t="s">
        <v>641</v>
      </c>
      <c r="L1569" s="20">
        <f>IF(ISNA(MATCH(Transactions[[#This Row],[TransType]],TransTypes[TransType],0)),1,MATCH(Transactions[[#This Row],[TransType]],TransTypes[TransType],0))</f>
        <v>2</v>
      </c>
      <c r="M1569" s="160">
        <f>IF( AND( INDEX(TransTypes[],Transactions[[#This Row],[TTR]],TT_COL_GLFlag)=1, INDEX(TransTypes[],Transactions[[#This Row],[TTR]],TT_COL_LONGORSHORT)="S" ),
      Transactions[[#This Row],[PL]],
      IF(INDEX(TransTypes[],Transactions[[#This Row],[TTR]],TT_COL_LONGORSHORT)="S",0,Transactions[[#This Row],[CalCashImpact]])
)</f>
        <v>-81614.63</v>
      </c>
      <c r="N1569" s="161">
        <f>IF(VLOOKUP(Transactions[[#This Row],[Symbol]],Symbols[],COLUMN(Symbols[Currency])-COLUMN(Symbols[])+1,FALSE)=
       VLOOKUP(Transactions[[#This Row],[Account]],Accounts[],COLUMN(Accounts[Currency])-COLUMN(Accounts[])+1,FALSE),
     Transactions[[#This Row],[OrigCashImpact]],
     0
)</f>
        <v>-81614.63</v>
      </c>
      <c r="O15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1520808.25</v>
      </c>
      <c r="P15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569" s="41">
        <f>ROW()</f>
        <v>1569</v>
      </c>
      <c r="S15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81614.63</v>
      </c>
      <c r="T15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163027.18</v>
      </c>
      <c r="U15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569" s="166">
        <f>IF(INDEX(TransTypes[],Transactions[[#This Row],[TTR]],TT_COL_GLFlag)=1,Transactions[[#This Row],[CalCashImpact]]+Transactions[[#This Row],[CostImpact]],0)</f>
        <v>0</v>
      </c>
      <c r="W1569" s="167">
        <f>Transactions[[#This Row],[Amount]]*INDEX(TransTypes[],Transactions[[#This Row],[TTR]],TT_COL_AmntSign)</f>
        <v>-81614.63</v>
      </c>
      <c r="X1569" s="167">
        <f>IF(INDEX(TransTypes[],Transactions[[#This Row],[TTR]],TT_COL_LONGORSHORT)="S",
      IF( OR(INDEX(TransTypes[],Transactions[[#This Row],[TTR]],TT_COL_GLFlag)=1, INDEX(TransTypes[], Transactions[[#This Row],[TTR]], TT_COL_ShareTransferFlag)=1),
            Transactions[[#This Row],[CostImpact]]*-1,
            Transactions[[#This Row],[CalCashImpact]]
      ),
     0
)</f>
        <v>0</v>
      </c>
      <c r="Y1569" s="168" t="str">
        <f>VLOOKUP(Transactions[[#This Row],[Symbol]],Symbols[], COLUMN(Symbols[Currency])-COLUMN(Symbols[])+1,FALSE)</f>
        <v>CNY</v>
      </c>
    </row>
    <row r="1570" spans="1:25">
      <c r="A1570" s="155" t="s">
        <v>82</v>
      </c>
      <c r="B1570" s="156">
        <v>42860</v>
      </c>
      <c r="C1570" s="155" t="s">
        <v>113</v>
      </c>
      <c r="D1570" s="155"/>
      <c r="E1570" s="155" t="s">
        <v>491</v>
      </c>
      <c r="F1570" s="157">
        <v>50000</v>
      </c>
      <c r="G1570" s="158">
        <v>2.67</v>
      </c>
      <c r="H1570" s="157">
        <v>53.39</v>
      </c>
      <c r="I1570" s="157"/>
      <c r="J1570" s="159">
        <v>133553.39000000001</v>
      </c>
      <c r="K1570" s="6" t="s">
        <v>641</v>
      </c>
      <c r="L1570" s="20">
        <f>IF(ISNA(MATCH(Transactions[[#This Row],[TransType]],TransTypes[TransType],0)),1,MATCH(Transactions[[#This Row],[TransType]],TransTypes[TransType],0))</f>
        <v>2</v>
      </c>
      <c r="M1570" s="160">
        <f>IF( AND( INDEX(TransTypes[],Transactions[[#This Row],[TTR]],TT_COL_GLFlag)=1, INDEX(TransTypes[],Transactions[[#This Row],[TTR]],TT_COL_LONGORSHORT)="S" ),
      Transactions[[#This Row],[PL]],
      IF(INDEX(TransTypes[],Transactions[[#This Row],[TTR]],TT_COL_LONGORSHORT)="S",0,Transactions[[#This Row],[CalCashImpact]])
)</f>
        <v>-133553.39000000001</v>
      </c>
      <c r="N1570" s="161">
        <f>IF(VLOOKUP(Transactions[[#This Row],[Symbol]],Symbols[],COLUMN(Symbols[Currency])-COLUMN(Symbols[])+1,FALSE)=
       VLOOKUP(Transactions[[#This Row],[Account]],Accounts[],COLUMN(Accounts[Currency])-COLUMN(Accounts[])+1,FALSE),
     Transactions[[#This Row],[OrigCashImpact]],
     0
)</f>
        <v>-133553.39000000001</v>
      </c>
      <c r="O15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1387254.8599999999</v>
      </c>
      <c r="P15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5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167600</v>
      </c>
      <c r="R1570" s="41">
        <f>ROW()</f>
        <v>1570</v>
      </c>
      <c r="S15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133553.39000000001</v>
      </c>
      <c r="T15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450491.31</v>
      </c>
      <c r="U15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167600</v>
      </c>
      <c r="V1570" s="166">
        <f>IF(INDEX(TransTypes[],Transactions[[#This Row],[TTR]],TT_COL_GLFlag)=1,Transactions[[#This Row],[CalCashImpact]]+Transactions[[#This Row],[CostImpact]],0)</f>
        <v>0</v>
      </c>
      <c r="W1570" s="167">
        <f>Transactions[[#This Row],[Amount]]*INDEX(TransTypes[],Transactions[[#This Row],[TTR]],TT_COL_AmntSign)</f>
        <v>-133553.39000000001</v>
      </c>
      <c r="X1570" s="167">
        <f>IF(INDEX(TransTypes[],Transactions[[#This Row],[TTR]],TT_COL_LONGORSHORT)="S",
      IF( OR(INDEX(TransTypes[],Transactions[[#This Row],[TTR]],TT_COL_GLFlag)=1, INDEX(TransTypes[], Transactions[[#This Row],[TTR]], TT_COL_ShareTransferFlag)=1),
            Transactions[[#This Row],[CostImpact]]*-1,
            Transactions[[#This Row],[CalCashImpact]]
      ),
     0
)</f>
        <v>0</v>
      </c>
      <c r="Y1570" s="168" t="str">
        <f>VLOOKUP(Transactions[[#This Row],[Symbol]],Symbols[], COLUMN(Symbols[Currency])-COLUMN(Symbols[])+1,FALSE)</f>
        <v>CNY</v>
      </c>
    </row>
    <row r="1571" spans="1:25">
      <c r="A1571" s="155" t="s">
        <v>82</v>
      </c>
      <c r="B1571" s="156">
        <v>42864</v>
      </c>
      <c r="C1571" s="155" t="s">
        <v>113</v>
      </c>
      <c r="D1571" s="155" t="s">
        <v>531</v>
      </c>
      <c r="E1571" s="155" t="s">
        <v>493</v>
      </c>
      <c r="F1571" s="157">
        <v>150</v>
      </c>
      <c r="G1571" s="158">
        <v>0</v>
      </c>
      <c r="H1571" s="157"/>
      <c r="I1571" s="157"/>
      <c r="J1571" s="159">
        <v>0</v>
      </c>
      <c r="K1571" s="6" t="s">
        <v>694</v>
      </c>
      <c r="L1571" s="20">
        <f>IF(ISNA(MATCH(Transactions[[#This Row],[TransType]],TransTypes[TransType],0)),1,MATCH(Transactions[[#This Row],[TransType]],TransTypes[TransType],0))</f>
        <v>2</v>
      </c>
      <c r="M1571" s="160">
        <f>IF( AND( INDEX(TransTypes[],Transactions[[#This Row],[TTR]],TT_COL_GLFlag)=1, INDEX(TransTypes[],Transactions[[#This Row],[TTR]],TT_COL_LONGORSHORT)="S" ),
      Transactions[[#This Row],[PL]],
      IF(INDEX(TransTypes[],Transactions[[#This Row],[TTR]],TT_COL_LONGORSHORT)="S",0,Transactions[[#This Row],[CalCashImpact]])
)</f>
        <v>0</v>
      </c>
      <c r="N1571" s="161">
        <f>IF(VLOOKUP(Transactions[[#This Row],[Symbol]],Symbols[],COLUMN(Symbols[Currency])-COLUMN(Symbols[])+1,FALSE)=
       VLOOKUP(Transactions[[#This Row],[Account]],Accounts[],COLUMN(Accounts[Currency])-COLUMN(Accounts[])+1,FALSE),
     Transactions[[#This Row],[OrigCashImpact]],
     0
)</f>
        <v>0</v>
      </c>
      <c r="O15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1387254.8599999999</v>
      </c>
      <c r="P15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v>
      </c>
      <c r="Q15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1150</v>
      </c>
      <c r="R1571" s="41">
        <f>ROW()</f>
        <v>1571</v>
      </c>
      <c r="S15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46368.54</v>
      </c>
      <c r="U15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1150</v>
      </c>
      <c r="V1571" s="166">
        <f>IF(INDEX(TransTypes[],Transactions[[#This Row],[TTR]],TT_COL_GLFlag)=1,Transactions[[#This Row],[CalCashImpact]]+Transactions[[#This Row],[CostImpact]],0)</f>
        <v>0</v>
      </c>
      <c r="W1571" s="167">
        <f>Transactions[[#This Row],[Amount]]*INDEX(TransTypes[],Transactions[[#This Row],[TTR]],TT_COL_AmntSign)</f>
        <v>0</v>
      </c>
      <c r="X1571" s="167">
        <f>IF(INDEX(TransTypes[],Transactions[[#This Row],[TTR]],TT_COL_LONGORSHORT)="S",
      IF( OR(INDEX(TransTypes[],Transactions[[#This Row],[TTR]],TT_COL_GLFlag)=1, INDEX(TransTypes[], Transactions[[#This Row],[TTR]], TT_COL_ShareTransferFlag)=1),
            Transactions[[#This Row],[CostImpact]]*-1,
            Transactions[[#This Row],[CalCashImpact]]
      ),
     0
)</f>
        <v>0</v>
      </c>
      <c r="Y1571" s="168" t="str">
        <f>VLOOKUP(Transactions[[#This Row],[Symbol]],Symbols[], COLUMN(Symbols[Currency])-COLUMN(Symbols[])+1,FALSE)</f>
        <v>CNY</v>
      </c>
    </row>
    <row r="1572" spans="1:25">
      <c r="A1572" s="155" t="s">
        <v>82</v>
      </c>
      <c r="B1572" s="156">
        <v>42864</v>
      </c>
      <c r="C1572" s="155" t="s">
        <v>118</v>
      </c>
      <c r="D1572" s="155"/>
      <c r="E1572" s="155" t="s">
        <v>493</v>
      </c>
      <c r="F1572" s="157"/>
      <c r="G1572" s="158"/>
      <c r="H1572" s="157"/>
      <c r="I1572" s="157"/>
      <c r="J1572" s="159">
        <v>250</v>
      </c>
      <c r="K1572" s="6" t="s">
        <v>641</v>
      </c>
      <c r="L1572" s="20">
        <f>IF(ISNA(MATCH(Transactions[[#This Row],[TransType]],TransTypes[TransType],0)),1,MATCH(Transactions[[#This Row],[TransType]],TransTypes[TransType],0))</f>
        <v>4</v>
      </c>
      <c r="M1572" s="160">
        <f>IF( AND( INDEX(TransTypes[],Transactions[[#This Row],[TTR]],TT_COL_GLFlag)=1, INDEX(TransTypes[],Transactions[[#This Row],[TTR]],TT_COL_LONGORSHORT)="S" ),
      Transactions[[#This Row],[PL]],
      IF(INDEX(TransTypes[],Transactions[[#This Row],[TTR]],TT_COL_LONGORSHORT)="S",0,Transactions[[#This Row],[CalCashImpact]])
)</f>
        <v>250</v>
      </c>
      <c r="N1572" s="161">
        <f>IF(VLOOKUP(Transactions[[#This Row],[Symbol]],Symbols[],COLUMN(Symbols[Currency])-COLUMN(Symbols[])+1,FALSE)=
       VLOOKUP(Transactions[[#This Row],[Account]],Accounts[],COLUMN(Accounts[Currency])-COLUMN(Accounts[])+1,FALSE),
     Transactions[[#This Row],[OrigCashImpact]],
     0
)</f>
        <v>250</v>
      </c>
      <c r="O15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1387504.8599999999</v>
      </c>
      <c r="P15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1150</v>
      </c>
      <c r="R1572" s="41">
        <f>ROW()</f>
        <v>1572</v>
      </c>
      <c r="S15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46368.54</v>
      </c>
      <c r="U15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1150</v>
      </c>
      <c r="V1572" s="166">
        <f>IF(INDEX(TransTypes[],Transactions[[#This Row],[TTR]],TT_COL_GLFlag)=1,Transactions[[#This Row],[CalCashImpact]]+Transactions[[#This Row],[CostImpact]],0)</f>
        <v>0</v>
      </c>
      <c r="W1572" s="167">
        <f>Transactions[[#This Row],[Amount]]*INDEX(TransTypes[],Transactions[[#This Row],[TTR]],TT_COL_AmntSign)</f>
        <v>250</v>
      </c>
      <c r="X1572" s="167">
        <f>IF(INDEX(TransTypes[],Transactions[[#This Row],[TTR]],TT_COL_LONGORSHORT)="S",
      IF( OR(INDEX(TransTypes[],Transactions[[#This Row],[TTR]],TT_COL_GLFlag)=1, INDEX(TransTypes[], Transactions[[#This Row],[TTR]], TT_COL_ShareTransferFlag)=1),
            Transactions[[#This Row],[CostImpact]]*-1,
            Transactions[[#This Row],[CalCashImpact]]
      ),
     0
)</f>
        <v>0</v>
      </c>
      <c r="Y1572" s="168" t="str">
        <f>VLOOKUP(Transactions[[#This Row],[Symbol]],Symbols[], COLUMN(Symbols[Currency])-COLUMN(Symbols[])+1,FALSE)</f>
        <v>CNY</v>
      </c>
    </row>
    <row r="1573" spans="1:25">
      <c r="A1573" s="155" t="s">
        <v>82</v>
      </c>
      <c r="B1573" s="156">
        <v>42864</v>
      </c>
      <c r="C1573" s="155" t="s">
        <v>113</v>
      </c>
      <c r="D1573" s="155"/>
      <c r="E1573" s="155" t="s">
        <v>482</v>
      </c>
      <c r="F1573" s="157">
        <v>2000</v>
      </c>
      <c r="G1573" s="158">
        <v>31.17</v>
      </c>
      <c r="H1573" s="157">
        <v>24.94</v>
      </c>
      <c r="I1573" s="157"/>
      <c r="J1573" s="159">
        <v>62364.94</v>
      </c>
      <c r="K1573" s="6" t="s">
        <v>641</v>
      </c>
      <c r="L1573" s="20">
        <f>IF(ISNA(MATCH(Transactions[[#This Row],[TransType]],TransTypes[TransType],0)),1,MATCH(Transactions[[#This Row],[TransType]],TransTypes[TransType],0))</f>
        <v>2</v>
      </c>
      <c r="M1573" s="160">
        <f>IF( AND( INDEX(TransTypes[],Transactions[[#This Row],[TTR]],TT_COL_GLFlag)=1, INDEX(TransTypes[],Transactions[[#This Row],[TTR]],TT_COL_LONGORSHORT)="S" ),
      Transactions[[#This Row],[PL]],
      IF(INDEX(TransTypes[],Transactions[[#This Row],[TTR]],TT_COL_LONGORSHORT)="S",0,Transactions[[#This Row],[CalCashImpact]])
)</f>
        <v>-62364.94</v>
      </c>
      <c r="N1573" s="161">
        <f>IF(VLOOKUP(Transactions[[#This Row],[Symbol]],Symbols[],COLUMN(Symbols[Currency])-COLUMN(Symbols[])+1,FALSE)=
       VLOOKUP(Transactions[[#This Row],[Account]],Accounts[],COLUMN(Accounts[Currency])-COLUMN(Accounts[])+1,FALSE),
     Transactions[[#This Row],[OrigCashImpact]],
     0
)</f>
        <v>-62364.94</v>
      </c>
      <c r="O15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1325139.92</v>
      </c>
      <c r="P15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573" s="41">
        <f>ROW()</f>
        <v>1573</v>
      </c>
      <c r="S15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62364.94</v>
      </c>
      <c r="T15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206142.42666666667</v>
      </c>
      <c r="U15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573" s="166">
        <f>IF(INDEX(TransTypes[],Transactions[[#This Row],[TTR]],TT_COL_GLFlag)=1,Transactions[[#This Row],[CalCashImpact]]+Transactions[[#This Row],[CostImpact]],0)</f>
        <v>0</v>
      </c>
      <c r="W1573" s="167">
        <f>Transactions[[#This Row],[Amount]]*INDEX(TransTypes[],Transactions[[#This Row],[TTR]],TT_COL_AmntSign)</f>
        <v>-62364.94</v>
      </c>
      <c r="X1573" s="167">
        <f>IF(INDEX(TransTypes[],Transactions[[#This Row],[TTR]],TT_COL_LONGORSHORT)="S",
      IF( OR(INDEX(TransTypes[],Transactions[[#This Row],[TTR]],TT_COL_GLFlag)=1, INDEX(TransTypes[], Transactions[[#This Row],[TTR]], TT_COL_ShareTransferFlag)=1),
            Transactions[[#This Row],[CostImpact]]*-1,
            Transactions[[#This Row],[CalCashImpact]]
      ),
     0
)</f>
        <v>0</v>
      </c>
      <c r="Y1573" s="168" t="str">
        <f>VLOOKUP(Transactions[[#This Row],[Symbol]],Symbols[], COLUMN(Symbols[Currency])-COLUMN(Symbols[])+1,FALSE)</f>
        <v>CNY</v>
      </c>
    </row>
    <row r="1574" spans="1:25">
      <c r="A1574" s="155" t="s">
        <v>82</v>
      </c>
      <c r="B1574" s="156">
        <v>42864</v>
      </c>
      <c r="C1574" s="155" t="s">
        <v>113</v>
      </c>
      <c r="D1574" s="155"/>
      <c r="E1574" s="155" t="s">
        <v>738</v>
      </c>
      <c r="F1574" s="157">
        <v>2000</v>
      </c>
      <c r="G1574" s="158">
        <v>18.579999999999998</v>
      </c>
      <c r="H1574" s="157">
        <v>14.86</v>
      </c>
      <c r="I1574" s="157"/>
      <c r="J1574" s="159">
        <v>37174.86</v>
      </c>
      <c r="K1574" s="6" t="s">
        <v>641</v>
      </c>
      <c r="L1574" s="20">
        <f>IF(ISNA(MATCH(Transactions[[#This Row],[TransType]],TransTypes[TransType],0)),1,MATCH(Transactions[[#This Row],[TransType]],TransTypes[TransType],0))</f>
        <v>2</v>
      </c>
      <c r="M1574" s="160">
        <f>IF( AND( INDEX(TransTypes[],Transactions[[#This Row],[TTR]],TT_COL_GLFlag)=1, INDEX(TransTypes[],Transactions[[#This Row],[TTR]],TT_COL_LONGORSHORT)="S" ),
      Transactions[[#This Row],[PL]],
      IF(INDEX(TransTypes[],Transactions[[#This Row],[TTR]],TT_COL_LONGORSHORT)="S",0,Transactions[[#This Row],[CalCashImpact]])
)</f>
        <v>-37174.86</v>
      </c>
      <c r="N1574" s="161">
        <f>IF(VLOOKUP(Transactions[[#This Row],[Symbol]],Symbols[],COLUMN(Symbols[Currency])-COLUMN(Symbols[])+1,FALSE)=
       VLOOKUP(Transactions[[#This Row],[Account]],Accounts[],COLUMN(Accounts[Currency])-COLUMN(Accounts[])+1,FALSE),
     Transactions[[#This Row],[OrigCashImpact]],
     0
)</f>
        <v>-37174.86</v>
      </c>
      <c r="O15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1287965.0599999998</v>
      </c>
      <c r="P15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5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574" s="41">
        <f>ROW()</f>
        <v>1574</v>
      </c>
      <c r="S15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37174.86</v>
      </c>
      <c r="T15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140303.59437499999</v>
      </c>
      <c r="U15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574" s="166">
        <f>IF(INDEX(TransTypes[],Transactions[[#This Row],[TTR]],TT_COL_GLFlag)=1,Transactions[[#This Row],[CalCashImpact]]+Transactions[[#This Row],[CostImpact]],0)</f>
        <v>0</v>
      </c>
      <c r="W1574" s="167">
        <f>Transactions[[#This Row],[Amount]]*INDEX(TransTypes[],Transactions[[#This Row],[TTR]],TT_COL_AmntSign)</f>
        <v>-37174.86</v>
      </c>
      <c r="X1574" s="167">
        <f>IF(INDEX(TransTypes[],Transactions[[#This Row],[TTR]],TT_COL_LONGORSHORT)="S",
      IF( OR(INDEX(TransTypes[],Transactions[[#This Row],[TTR]],TT_COL_GLFlag)=1, INDEX(TransTypes[], Transactions[[#This Row],[TTR]], TT_COL_ShareTransferFlag)=1),
            Transactions[[#This Row],[CostImpact]]*-1,
            Transactions[[#This Row],[CalCashImpact]]
      ),
     0
)</f>
        <v>0</v>
      </c>
      <c r="Y1574" s="168" t="str">
        <f>VLOOKUP(Transactions[[#This Row],[Symbol]],Symbols[], COLUMN(Symbols[Currency])-COLUMN(Symbols[])+1,FALSE)</f>
        <v>CNY</v>
      </c>
    </row>
    <row r="1575" spans="1:25">
      <c r="A1575" s="155" t="s">
        <v>82</v>
      </c>
      <c r="B1575" s="156">
        <v>42864</v>
      </c>
      <c r="C1575" s="155" t="s">
        <v>115</v>
      </c>
      <c r="D1575" s="155"/>
      <c r="E1575" s="155" t="s">
        <v>493</v>
      </c>
      <c r="F1575" s="157">
        <v>500</v>
      </c>
      <c r="G1575" s="158">
        <v>53.54</v>
      </c>
      <c r="H1575" s="157">
        <v>37.479999999999997</v>
      </c>
      <c r="I1575" s="157"/>
      <c r="J1575" s="159">
        <v>26732.52</v>
      </c>
      <c r="K1575" s="6" t="s">
        <v>641</v>
      </c>
      <c r="L1575" s="20">
        <f>IF(ISNA(MATCH(Transactions[[#This Row],[TransType]],TransTypes[TransType],0)),1,MATCH(Transactions[[#This Row],[TransType]],TransTypes[TransType],0))</f>
        <v>3</v>
      </c>
      <c r="M1575" s="160">
        <f>IF( AND( INDEX(TransTypes[],Transactions[[#This Row],[TTR]],TT_COL_GLFlag)=1, INDEX(TransTypes[],Transactions[[#This Row],[TTR]],TT_COL_LONGORSHORT)="S" ),
      Transactions[[#This Row],[PL]],
      IF(INDEX(TransTypes[],Transactions[[#This Row],[TTR]],TT_COL_LONGORSHORT)="S",0,Transactions[[#This Row],[CalCashImpact]])
)</f>
        <v>26732.52</v>
      </c>
      <c r="N1575" s="161">
        <f>IF(VLOOKUP(Transactions[[#This Row],[Symbol]],Symbols[],COLUMN(Symbols[Currency])-COLUMN(Symbols[])+1,FALSE)=
       VLOOKUP(Transactions[[#This Row],[Account]],Accounts[],COLUMN(Accounts[Currency])-COLUMN(Accounts[])+1,FALSE),
     Transactions[[#This Row],[OrigCashImpact]],
     0
)</f>
        <v>26732.52</v>
      </c>
      <c r="O15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1314697.5799999998</v>
      </c>
      <c r="P15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5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650</v>
      </c>
      <c r="R1575" s="41">
        <f>ROW()</f>
        <v>1575</v>
      </c>
      <c r="S15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-20160.234782608695</v>
      </c>
      <c r="T15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26208.305217391306</v>
      </c>
      <c r="U15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1150</v>
      </c>
      <c r="V1575" s="166">
        <f>IF(INDEX(TransTypes[],Transactions[[#This Row],[TTR]],TT_COL_GLFlag)=1,Transactions[[#This Row],[CalCashImpact]]+Transactions[[#This Row],[CostImpact]],0)</f>
        <v>6572.2852173913052</v>
      </c>
      <c r="W1575" s="167">
        <f>Transactions[[#This Row],[Amount]]*INDEX(TransTypes[],Transactions[[#This Row],[TTR]],TT_COL_AmntSign)</f>
        <v>26732.52</v>
      </c>
      <c r="X1575" s="167">
        <f>IF(INDEX(TransTypes[],Transactions[[#This Row],[TTR]],TT_COL_LONGORSHORT)="S",
      IF( OR(INDEX(TransTypes[],Transactions[[#This Row],[TTR]],TT_COL_GLFlag)=1, INDEX(TransTypes[], Transactions[[#This Row],[TTR]], TT_COL_ShareTransferFlag)=1),
            Transactions[[#This Row],[CostImpact]]*-1,
            Transactions[[#This Row],[CalCashImpact]]
      ),
     0
)</f>
        <v>0</v>
      </c>
      <c r="Y1575" s="168" t="str">
        <f>VLOOKUP(Transactions[[#This Row],[Symbol]],Symbols[], COLUMN(Symbols[Currency])-COLUMN(Symbols[])+1,FALSE)</f>
        <v>CNY</v>
      </c>
    </row>
    <row r="1576" spans="1:25">
      <c r="A1576" s="155" t="s">
        <v>82</v>
      </c>
      <c r="B1576" s="156">
        <v>42864</v>
      </c>
      <c r="C1576" s="155" t="s">
        <v>115</v>
      </c>
      <c r="D1576" s="155"/>
      <c r="E1576" s="155" t="s">
        <v>741</v>
      </c>
      <c r="F1576" s="157">
        <v>3000</v>
      </c>
      <c r="G1576" s="158">
        <v>17.420000000000002</v>
      </c>
      <c r="H1576" s="157">
        <v>73.16</v>
      </c>
      <c r="I1576" s="157"/>
      <c r="J1576" s="159">
        <v>52186.84</v>
      </c>
      <c r="K1576" s="6" t="s">
        <v>641</v>
      </c>
      <c r="L1576" s="20">
        <f>IF(ISNA(MATCH(Transactions[[#This Row],[TransType]],TransTypes[TransType],0)),1,MATCH(Transactions[[#This Row],[TransType]],TransTypes[TransType],0))</f>
        <v>3</v>
      </c>
      <c r="M1576" s="160">
        <f>IF( AND( INDEX(TransTypes[],Transactions[[#This Row],[TTR]],TT_COL_GLFlag)=1, INDEX(TransTypes[],Transactions[[#This Row],[TTR]],TT_COL_LONGORSHORT)="S" ),
      Transactions[[#This Row],[PL]],
      IF(INDEX(TransTypes[],Transactions[[#This Row],[TTR]],TT_COL_LONGORSHORT)="S",0,Transactions[[#This Row],[CalCashImpact]])
)</f>
        <v>52186.84</v>
      </c>
      <c r="N1576" s="161">
        <f>IF(VLOOKUP(Transactions[[#This Row],[Symbol]],Symbols[],COLUMN(Symbols[Currency])-COLUMN(Symbols[])+1,FALSE)=
       VLOOKUP(Transactions[[#This Row],[Account]],Accounts[],COLUMN(Accounts[Currency])-COLUMN(Accounts[])+1,FALSE),
     Transactions[[#This Row],[OrigCashImpact]],
     0
)</f>
        <v>52186.84</v>
      </c>
      <c r="O15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1366884.42</v>
      </c>
      <c r="P15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5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576" s="41">
        <f>ROW()</f>
        <v>1576</v>
      </c>
      <c r="S15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-53957.824326923073</v>
      </c>
      <c r="T15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89929.707211538465</v>
      </c>
      <c r="U15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576" s="166">
        <f>IF(INDEX(TransTypes[],Transactions[[#This Row],[TTR]],TT_COL_GLFlag)=1,Transactions[[#This Row],[CalCashImpact]]+Transactions[[#This Row],[CostImpact]],0)</f>
        <v>-1770.9843269230769</v>
      </c>
      <c r="W1576" s="167">
        <f>Transactions[[#This Row],[Amount]]*INDEX(TransTypes[],Transactions[[#This Row],[TTR]],TT_COL_AmntSign)</f>
        <v>52186.84</v>
      </c>
      <c r="X1576" s="167">
        <f>IF(INDEX(TransTypes[],Transactions[[#This Row],[TTR]],TT_COL_LONGORSHORT)="S",
      IF( OR(INDEX(TransTypes[],Transactions[[#This Row],[TTR]],TT_COL_GLFlag)=1, INDEX(TransTypes[], Transactions[[#This Row],[TTR]], TT_COL_ShareTransferFlag)=1),
            Transactions[[#This Row],[CostImpact]]*-1,
            Transactions[[#This Row],[CalCashImpact]]
      ),
     0
)</f>
        <v>0</v>
      </c>
      <c r="Y1576" s="168" t="str">
        <f>VLOOKUP(Transactions[[#This Row],[Symbol]],Symbols[], COLUMN(Symbols[Currency])-COLUMN(Symbols[])+1,FALSE)</f>
        <v>CNY</v>
      </c>
    </row>
    <row r="1577" spans="1:25">
      <c r="A1577" s="155" t="s">
        <v>82</v>
      </c>
      <c r="B1577" s="156">
        <v>42864</v>
      </c>
      <c r="C1577" s="155" t="s">
        <v>113</v>
      </c>
      <c r="D1577" s="155"/>
      <c r="E1577" s="155" t="s">
        <v>464</v>
      </c>
      <c r="F1577" s="157">
        <v>200</v>
      </c>
      <c r="G1577" s="158">
        <v>406.8</v>
      </c>
      <c r="H1577" s="157">
        <v>34.17</v>
      </c>
      <c r="I1577" s="157"/>
      <c r="J1577" s="159">
        <v>81394.17</v>
      </c>
      <c r="K1577" s="6" t="s">
        <v>641</v>
      </c>
      <c r="L1577" s="20">
        <f>IF(ISNA(MATCH(Transactions[[#This Row],[TransType]],TransTypes[TransType],0)),1,MATCH(Transactions[[#This Row],[TransType]],TransTypes[TransType],0))</f>
        <v>2</v>
      </c>
      <c r="M1577" s="160">
        <f>IF( AND( INDEX(TransTypes[],Transactions[[#This Row],[TTR]],TT_COL_GLFlag)=1, INDEX(TransTypes[],Transactions[[#This Row],[TTR]],TT_COL_LONGORSHORT)="S" ),
      Transactions[[#This Row],[PL]],
      IF(INDEX(TransTypes[],Transactions[[#This Row],[TTR]],TT_COL_LONGORSHORT)="S",0,Transactions[[#This Row],[CalCashImpact]])
)</f>
        <v>-81394.17</v>
      </c>
      <c r="N1577" s="161">
        <f>IF(VLOOKUP(Transactions[[#This Row],[Symbol]],Symbols[],COLUMN(Symbols[Currency])-COLUMN(Symbols[])+1,FALSE)=
       VLOOKUP(Transactions[[#This Row],[Account]],Accounts[],COLUMN(Accounts[Currency])-COLUMN(Accounts[])+1,FALSE),
     Transactions[[#This Row],[OrigCashImpact]],
     0
)</f>
        <v>-81394.17</v>
      </c>
      <c r="O15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1285490.2499999998</v>
      </c>
      <c r="P15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5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v>
      </c>
      <c r="R1577" s="41">
        <f>ROW()</f>
        <v>1577</v>
      </c>
      <c r="S15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81394.17</v>
      </c>
      <c r="T15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451307.4214388</v>
      </c>
      <c r="U15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v>
      </c>
      <c r="V1577" s="166">
        <f>IF(INDEX(TransTypes[],Transactions[[#This Row],[TTR]],TT_COL_GLFlag)=1,Transactions[[#This Row],[CalCashImpact]]+Transactions[[#This Row],[CostImpact]],0)</f>
        <v>0</v>
      </c>
      <c r="W1577" s="167">
        <f>Transactions[[#This Row],[Amount]]*INDEX(TransTypes[],Transactions[[#This Row],[TTR]],TT_COL_AmntSign)</f>
        <v>-81394.17</v>
      </c>
      <c r="X1577" s="167">
        <f>IF(INDEX(TransTypes[],Transactions[[#This Row],[TTR]],TT_COL_LONGORSHORT)="S",
      IF( OR(INDEX(TransTypes[],Transactions[[#This Row],[TTR]],TT_COL_GLFlag)=1, INDEX(TransTypes[], Transactions[[#This Row],[TTR]], TT_COL_ShareTransferFlag)=1),
            Transactions[[#This Row],[CostImpact]]*-1,
            Transactions[[#This Row],[CalCashImpact]]
      ),
     0
)</f>
        <v>0</v>
      </c>
      <c r="Y1577" s="168" t="str">
        <f>VLOOKUP(Transactions[[#This Row],[Symbol]],Symbols[], COLUMN(Symbols[Currency])-COLUMN(Symbols[])+1,FALSE)</f>
        <v>CNY</v>
      </c>
    </row>
    <row r="1578" spans="1:25">
      <c r="A1578" s="155" t="s">
        <v>82</v>
      </c>
      <c r="B1578" s="156">
        <v>42864</v>
      </c>
      <c r="C1578" s="155" t="s">
        <v>115</v>
      </c>
      <c r="D1578" s="155"/>
      <c r="E1578" s="155" t="s">
        <v>736</v>
      </c>
      <c r="F1578" s="157">
        <v>1000</v>
      </c>
      <c r="G1578" s="158">
        <v>22.248000000000001</v>
      </c>
      <c r="H1578" s="157">
        <v>31.6</v>
      </c>
      <c r="I1578" s="157"/>
      <c r="J1578" s="159">
        <v>22216.400000000001</v>
      </c>
      <c r="K1578" s="6" t="s">
        <v>641</v>
      </c>
      <c r="L1578" s="20">
        <f>IF(ISNA(MATCH(Transactions[[#This Row],[TransType]],TransTypes[TransType],0)),1,MATCH(Transactions[[#This Row],[TransType]],TransTypes[TransType],0))</f>
        <v>3</v>
      </c>
      <c r="M1578" s="160">
        <f>IF( AND( INDEX(TransTypes[],Transactions[[#This Row],[TTR]],TT_COL_GLFlag)=1, INDEX(TransTypes[],Transactions[[#This Row],[TTR]],TT_COL_LONGORSHORT)="S" ),
      Transactions[[#This Row],[PL]],
      IF(INDEX(TransTypes[],Transactions[[#This Row],[TTR]],TT_COL_LONGORSHORT)="S",0,Transactions[[#This Row],[CalCashImpact]])
)</f>
        <v>22216.400000000001</v>
      </c>
      <c r="N1578" s="161">
        <f>IF(VLOOKUP(Transactions[[#This Row],[Symbol]],Symbols[],COLUMN(Symbols[Currency])-COLUMN(Symbols[])+1,FALSE)=
       VLOOKUP(Transactions[[#This Row],[Account]],Accounts[],COLUMN(Accounts[Currency])-COLUMN(Accounts[])+1,FALSE),
     Transactions[[#This Row],[OrigCashImpact]],
     0
)</f>
        <v>22216.400000000001</v>
      </c>
      <c r="O15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1307706.6499999999</v>
      </c>
      <c r="P15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5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78" s="41">
        <f>ROW()</f>
        <v>1578</v>
      </c>
      <c r="S15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-24858.43710000001</v>
      </c>
      <c r="T15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v>
      </c>
      <c r="V1578" s="166">
        <f>IF(INDEX(TransTypes[],Transactions[[#This Row],[TTR]],TT_COL_GLFlag)=1,Transactions[[#This Row],[CalCashImpact]]+Transactions[[#This Row],[CostImpact]],0)</f>
        <v>-2642.0371000000086</v>
      </c>
      <c r="W1578" s="167">
        <f>Transactions[[#This Row],[Amount]]*INDEX(TransTypes[],Transactions[[#This Row],[TTR]],TT_COL_AmntSign)</f>
        <v>22216.400000000001</v>
      </c>
      <c r="X1578" s="167">
        <f>IF(INDEX(TransTypes[],Transactions[[#This Row],[TTR]],TT_COL_LONGORSHORT)="S",
      IF( OR(INDEX(TransTypes[],Transactions[[#This Row],[TTR]],TT_COL_GLFlag)=1, INDEX(TransTypes[], Transactions[[#This Row],[TTR]], TT_COL_ShareTransferFlag)=1),
            Transactions[[#This Row],[CostImpact]]*-1,
            Transactions[[#This Row],[CalCashImpact]]
      ),
     0
)</f>
        <v>0</v>
      </c>
      <c r="Y1578" s="168" t="str">
        <f>VLOOKUP(Transactions[[#This Row],[Symbol]],Symbols[], COLUMN(Symbols[Currency])-COLUMN(Symbols[])+1,FALSE)</f>
        <v>CNY</v>
      </c>
    </row>
    <row r="1579" spans="1:25">
      <c r="A1579" s="155" t="s">
        <v>82</v>
      </c>
      <c r="B1579" s="156">
        <v>42864</v>
      </c>
      <c r="C1579" s="155" t="s">
        <v>152</v>
      </c>
      <c r="D1579" s="155"/>
      <c r="E1579" s="155" t="s">
        <v>210</v>
      </c>
      <c r="F1579" s="157">
        <v>445386.65</v>
      </c>
      <c r="G1579" s="158">
        <f>Transactions[[#This Row],[Amount]]/Transactions[[#This Row],[Qty]]</f>
        <v>1.1272305310453288</v>
      </c>
      <c r="H1579" s="157"/>
      <c r="I1579" s="157"/>
      <c r="J1579" s="159">
        <v>502053.43</v>
      </c>
      <c r="K1579" s="6" t="s">
        <v>744</v>
      </c>
      <c r="L1579" s="20">
        <f>IF(ISNA(MATCH(Transactions[[#This Row],[TransType]],TransTypes[TransType],0)),1,MATCH(Transactions[[#This Row],[TransType]],TransTypes[TransType],0))</f>
        <v>15</v>
      </c>
      <c r="M1579" s="160">
        <f>IF( AND( INDEX(TransTypes[],Transactions[[#This Row],[TTR]],TT_COL_GLFlag)=1, INDEX(TransTypes[],Transactions[[#This Row],[TTR]],TT_COL_LONGORSHORT)="S" ),
      Transactions[[#This Row],[PL]],
      IF(INDEX(TransTypes[],Transactions[[#This Row],[TTR]],TT_COL_LONGORSHORT)="S",0,Transactions[[#This Row],[CalCashImpact]])
)</f>
        <v>502053.43</v>
      </c>
      <c r="N1579" s="161">
        <f>IF(VLOOKUP(Transactions[[#This Row],[Symbol]],Symbols[],COLUMN(Symbols[Currency])-COLUMN(Symbols[])+1,FALSE)=
       VLOOKUP(Transactions[[#This Row],[Account]],Accounts[],COLUMN(Accounts[Currency])-COLUMN(Accounts[])+1,FALSE),
     Transactions[[#This Row],[OrigCashImpact]],
     0
)</f>
        <v>0</v>
      </c>
      <c r="O15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1307706.6499999999</v>
      </c>
      <c r="P15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79" s="41">
        <f>ROW()</f>
        <v>1579</v>
      </c>
      <c r="S15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79" s="166">
        <f>IF(INDEX(TransTypes[],Transactions[[#This Row],[TTR]],TT_COL_GLFlag)=1,Transactions[[#This Row],[CalCashImpact]]+Transactions[[#This Row],[CostImpact]],0)</f>
        <v>0</v>
      </c>
      <c r="W1579" s="167">
        <f>Transactions[[#This Row],[Amount]]*INDEX(TransTypes[],Transactions[[#This Row],[TTR]],TT_COL_AmntSign)</f>
        <v>502053.43</v>
      </c>
      <c r="X1579" s="167">
        <f>IF(INDEX(TransTypes[],Transactions[[#This Row],[TTR]],TT_COL_LONGORSHORT)="S",
      IF( OR(INDEX(TransTypes[],Transactions[[#This Row],[TTR]],TT_COL_GLFlag)=1, INDEX(TransTypes[], Transactions[[#This Row],[TTR]], TT_COL_ShareTransferFlag)=1),
            Transactions[[#This Row],[CostImpact]]*-1,
            Transactions[[#This Row],[CalCashImpact]]
      ),
     0
)</f>
        <v>0</v>
      </c>
      <c r="Y1579" s="168" t="str">
        <f>VLOOKUP(Transactions[[#This Row],[Symbol]],Symbols[], COLUMN(Symbols[Currency])-COLUMN(Symbols[])+1,FALSE)</f>
        <v>HKD</v>
      </c>
    </row>
    <row r="1580" spans="1:25">
      <c r="A1580" s="155" t="s">
        <v>82</v>
      </c>
      <c r="B1580" s="156">
        <v>42864</v>
      </c>
      <c r="C1580" s="155" t="s">
        <v>238</v>
      </c>
      <c r="D1580" s="155"/>
      <c r="E1580" s="155" t="s">
        <v>211</v>
      </c>
      <c r="F1580" s="157">
        <v>445386.65</v>
      </c>
      <c r="G1580" s="158">
        <v>1</v>
      </c>
      <c r="H1580" s="157"/>
      <c r="I1580" s="157"/>
      <c r="J1580" s="159">
        <v>445386.65</v>
      </c>
      <c r="K1580" s="6" t="s">
        <v>745</v>
      </c>
      <c r="L1580" s="20">
        <f>IF(ISNA(MATCH(Transactions[[#This Row],[TransType]],TransTypes[TransType],0)),1,MATCH(Transactions[[#This Row],[TransType]],TransTypes[TransType],0))</f>
        <v>16</v>
      </c>
      <c r="M1580" s="160">
        <f>IF( AND( INDEX(TransTypes[],Transactions[[#This Row],[TTR]],TT_COL_GLFlag)=1, INDEX(TransTypes[],Transactions[[#This Row],[TTR]],TT_COL_LONGORSHORT)="S" ),
      Transactions[[#This Row],[PL]],
      IF(INDEX(TransTypes[],Transactions[[#This Row],[TTR]],TT_COL_LONGORSHORT)="S",0,Transactions[[#This Row],[CalCashImpact]])
)</f>
        <v>-445386.65</v>
      </c>
      <c r="N1580" s="161">
        <f>IF(VLOOKUP(Transactions[[#This Row],[Symbol]],Symbols[],COLUMN(Symbols[Currency])-COLUMN(Symbols[])+1,FALSE)=
       VLOOKUP(Transactions[[#This Row],[Account]],Accounts[],COLUMN(Accounts[Currency])-COLUMN(Accounts[])+1,FALSE),
     Transactions[[#This Row],[OrigCashImpact]],
     0
)</f>
        <v>-445386.65</v>
      </c>
      <c r="O15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862319.99999999988</v>
      </c>
      <c r="P15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80" s="41">
        <f>ROW()</f>
        <v>1580</v>
      </c>
      <c r="S15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80" s="166">
        <f>IF(INDEX(TransTypes[],Transactions[[#This Row],[TTR]],TT_COL_GLFlag)=1,Transactions[[#This Row],[CalCashImpact]]+Transactions[[#This Row],[CostImpact]],0)</f>
        <v>0</v>
      </c>
      <c r="W1580" s="167">
        <f>Transactions[[#This Row],[Amount]]*INDEX(TransTypes[],Transactions[[#This Row],[TTR]],TT_COL_AmntSign)</f>
        <v>-445386.65</v>
      </c>
      <c r="X1580" s="167">
        <f>IF(INDEX(TransTypes[],Transactions[[#This Row],[TTR]],TT_COL_LONGORSHORT)="S",
      IF( OR(INDEX(TransTypes[],Transactions[[#This Row],[TTR]],TT_COL_GLFlag)=1, INDEX(TransTypes[], Transactions[[#This Row],[TTR]], TT_COL_ShareTransferFlag)=1),
            Transactions[[#This Row],[CostImpact]]*-1,
            Transactions[[#This Row],[CalCashImpact]]
      ),
     0
)</f>
        <v>0</v>
      </c>
      <c r="Y1580" s="168" t="str">
        <f>VLOOKUP(Transactions[[#This Row],[Symbol]],Symbols[], COLUMN(Symbols[Currency])-COLUMN(Symbols[])+1,FALSE)</f>
        <v>CNY</v>
      </c>
    </row>
    <row r="1581" spans="1:25">
      <c r="A1581" s="155" t="s">
        <v>82</v>
      </c>
      <c r="B1581" s="156">
        <v>42864</v>
      </c>
      <c r="C1581" s="155" t="s">
        <v>113</v>
      </c>
      <c r="D1581" s="155"/>
      <c r="E1581" s="155" t="s">
        <v>746</v>
      </c>
      <c r="F1581" s="157">
        <v>40000</v>
      </c>
      <c r="G1581" s="158">
        <v>7.5</v>
      </c>
      <c r="H1581" s="157">
        <v>1233.53</v>
      </c>
      <c r="I1581" s="157"/>
      <c r="J1581" s="159">
        <v>301233.53000000003</v>
      </c>
      <c r="K1581" s="6" t="s">
        <v>641</v>
      </c>
      <c r="L1581" s="20">
        <f>IF(ISNA(MATCH(Transactions[[#This Row],[TransType]],TransTypes[TransType],0)),1,MATCH(Transactions[[#This Row],[TransType]],TransTypes[TransType],0))</f>
        <v>2</v>
      </c>
      <c r="M1581" s="160">
        <f>IF( AND( INDEX(TransTypes[],Transactions[[#This Row],[TTR]],TT_COL_GLFlag)=1, INDEX(TransTypes[],Transactions[[#This Row],[TTR]],TT_COL_LONGORSHORT)="S" ),
      Transactions[[#This Row],[PL]],
      IF(INDEX(TransTypes[],Transactions[[#This Row],[TTR]],TT_COL_LONGORSHORT)="S",0,Transactions[[#This Row],[CalCashImpact]])
)</f>
        <v>-301233.53000000003</v>
      </c>
      <c r="N1581" s="161">
        <f>IF(VLOOKUP(Transactions[[#This Row],[Symbol]],Symbols[],COLUMN(Symbols[Currency])-COLUMN(Symbols[])+1,FALSE)=
       VLOOKUP(Transactions[[#This Row],[Account]],Accounts[],COLUMN(Accounts[Currency])-COLUMN(Accounts[])+1,FALSE),
     Transactions[[#This Row],[OrigCashImpact]],
     0
)</f>
        <v>0</v>
      </c>
      <c r="O15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862319.99999999988</v>
      </c>
      <c r="P15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40000</v>
      </c>
      <c r="Q15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40000</v>
      </c>
      <c r="R1581" s="41">
        <f>ROW()</f>
        <v>1581</v>
      </c>
      <c r="S15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301233.53000000003</v>
      </c>
      <c r="T15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301233.53000000003</v>
      </c>
      <c r="U15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40000</v>
      </c>
      <c r="V1581" s="166">
        <f>IF(INDEX(TransTypes[],Transactions[[#This Row],[TTR]],TT_COL_GLFlag)=1,Transactions[[#This Row],[CalCashImpact]]+Transactions[[#This Row],[CostImpact]],0)</f>
        <v>0</v>
      </c>
      <c r="W1581" s="167">
        <f>Transactions[[#This Row],[Amount]]*INDEX(TransTypes[],Transactions[[#This Row],[TTR]],TT_COL_AmntSign)</f>
        <v>-301233.53000000003</v>
      </c>
      <c r="X1581" s="167">
        <f>IF(INDEX(TransTypes[],Transactions[[#This Row],[TTR]],TT_COL_LONGORSHORT)="S",
      IF( OR(INDEX(TransTypes[],Transactions[[#This Row],[TTR]],TT_COL_GLFlag)=1, INDEX(TransTypes[], Transactions[[#This Row],[TTR]], TT_COL_ShareTransferFlag)=1),
            Transactions[[#This Row],[CostImpact]]*-1,
            Transactions[[#This Row],[CalCashImpact]]
      ),
     0
)</f>
        <v>0</v>
      </c>
      <c r="Y1581" s="168" t="str">
        <f>VLOOKUP(Transactions[[#This Row],[Symbol]],Symbols[], COLUMN(Symbols[Currency])-COLUMN(Symbols[])+1,FALSE)</f>
        <v>HKD</v>
      </c>
    </row>
    <row r="1582" spans="1:25">
      <c r="A1582" s="155" t="s">
        <v>82</v>
      </c>
      <c r="B1582" s="156">
        <v>42864</v>
      </c>
      <c r="C1582" s="155" t="s">
        <v>113</v>
      </c>
      <c r="D1582" s="155"/>
      <c r="E1582" s="155" t="s">
        <v>258</v>
      </c>
      <c r="F1582" s="157">
        <v>20000</v>
      </c>
      <c r="G1582" s="158">
        <v>10</v>
      </c>
      <c r="H1582" s="157">
        <v>819.9</v>
      </c>
      <c r="I1582" s="157"/>
      <c r="J1582" s="159">
        <v>200819.9</v>
      </c>
      <c r="K1582" s="6" t="s">
        <v>641</v>
      </c>
      <c r="L1582" s="20">
        <f>IF(ISNA(MATCH(Transactions[[#This Row],[TransType]],TransTypes[TransType],0)),1,MATCH(Transactions[[#This Row],[TransType]],TransTypes[TransType],0))</f>
        <v>2</v>
      </c>
      <c r="M1582" s="160">
        <f>IF( AND( INDEX(TransTypes[],Transactions[[#This Row],[TTR]],TT_COL_GLFlag)=1, INDEX(TransTypes[],Transactions[[#This Row],[TTR]],TT_COL_LONGORSHORT)="S" ),
      Transactions[[#This Row],[PL]],
      IF(INDEX(TransTypes[],Transactions[[#This Row],[TTR]],TT_COL_LONGORSHORT)="S",0,Transactions[[#This Row],[CalCashImpact]])
)</f>
        <v>-200819.9</v>
      </c>
      <c r="N1582" s="161">
        <f>IF(VLOOKUP(Transactions[[#This Row],[Symbol]],Symbols[],COLUMN(Symbols[Currency])-COLUMN(Symbols[])+1,FALSE)=
       VLOOKUP(Transactions[[#This Row],[Account]],Accounts[],COLUMN(Accounts[Currency])-COLUMN(Accounts[])+1,FALSE),
     Transactions[[#This Row],[OrigCashImpact]],
     0
)</f>
        <v>0</v>
      </c>
      <c r="O15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862319.99999999988</v>
      </c>
      <c r="P15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5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v>
      </c>
      <c r="R1582" s="41">
        <f>ROW()</f>
        <v>1582</v>
      </c>
      <c r="S15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200819.9</v>
      </c>
      <c r="T15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266789.54333333333</v>
      </c>
      <c r="U15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v>
      </c>
      <c r="V1582" s="166">
        <f>IF(INDEX(TransTypes[],Transactions[[#This Row],[TTR]],TT_COL_GLFlag)=1,Transactions[[#This Row],[CalCashImpact]]+Transactions[[#This Row],[CostImpact]],0)</f>
        <v>0</v>
      </c>
      <c r="W1582" s="167">
        <f>Transactions[[#This Row],[Amount]]*INDEX(TransTypes[],Transactions[[#This Row],[TTR]],TT_COL_AmntSign)</f>
        <v>-200819.9</v>
      </c>
      <c r="X1582" s="167">
        <f>IF(INDEX(TransTypes[],Transactions[[#This Row],[TTR]],TT_COL_LONGORSHORT)="S",
      IF( OR(INDEX(TransTypes[],Transactions[[#This Row],[TTR]],TT_COL_GLFlag)=1, INDEX(TransTypes[], Transactions[[#This Row],[TTR]], TT_COL_ShareTransferFlag)=1),
            Transactions[[#This Row],[CostImpact]]*-1,
            Transactions[[#This Row],[CalCashImpact]]
      ),
     0
)</f>
        <v>0</v>
      </c>
      <c r="Y1582" s="168" t="str">
        <f>VLOOKUP(Transactions[[#This Row],[Symbol]],Symbols[], COLUMN(Symbols[Currency])-COLUMN(Symbols[])+1,FALSE)</f>
        <v>HKD</v>
      </c>
    </row>
    <row r="1583" spans="1:25">
      <c r="A1583" s="155" t="s">
        <v>82</v>
      </c>
      <c r="B1583" s="156">
        <v>42865</v>
      </c>
      <c r="C1583" s="155" t="s">
        <v>113</v>
      </c>
      <c r="D1583" s="155"/>
      <c r="E1583" s="155" t="s">
        <v>474</v>
      </c>
      <c r="F1583" s="157">
        <v>4000</v>
      </c>
      <c r="G1583" s="158">
        <v>39.86</v>
      </c>
      <c r="H1583" s="157">
        <v>63.71</v>
      </c>
      <c r="I1583" s="157"/>
      <c r="J1583" s="159">
        <v>159503.71</v>
      </c>
      <c r="K1583" s="6" t="s">
        <v>641</v>
      </c>
      <c r="L1583" s="20">
        <f>IF(ISNA(MATCH(Transactions[[#This Row],[TransType]],TransTypes[TransType],0)),1,MATCH(Transactions[[#This Row],[TransType]],TransTypes[TransType],0))</f>
        <v>2</v>
      </c>
      <c r="M1583" s="160">
        <f>IF( AND( INDEX(TransTypes[],Transactions[[#This Row],[TTR]],TT_COL_GLFlag)=1, INDEX(TransTypes[],Transactions[[#This Row],[TTR]],TT_COL_LONGORSHORT)="S" ),
      Transactions[[#This Row],[PL]],
      IF(INDEX(TransTypes[],Transactions[[#This Row],[TTR]],TT_COL_LONGORSHORT)="S",0,Transactions[[#This Row],[CalCashImpact]])
)</f>
        <v>-159503.71</v>
      </c>
      <c r="N1583" s="161">
        <f>IF(VLOOKUP(Transactions[[#This Row],[Symbol]],Symbols[],COLUMN(Symbols[Currency])-COLUMN(Symbols[])+1,FALSE)=
       VLOOKUP(Transactions[[#This Row],[Account]],Accounts[],COLUMN(Accounts[Currency])-COLUMN(Accounts[])+1,FALSE),
     Transactions[[#This Row],[OrigCashImpact]],
     0
)</f>
        <v>-159503.71</v>
      </c>
      <c r="O15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702816.28999999992</v>
      </c>
      <c r="P15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5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583" s="41">
        <f>ROW()</f>
        <v>1583</v>
      </c>
      <c r="S15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159503.71</v>
      </c>
      <c r="T15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322530.89</v>
      </c>
      <c r="U15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583" s="166">
        <f>IF(INDEX(TransTypes[],Transactions[[#This Row],[TTR]],TT_COL_GLFlag)=1,Transactions[[#This Row],[CalCashImpact]]+Transactions[[#This Row],[CostImpact]],0)</f>
        <v>0</v>
      </c>
      <c r="W1583" s="167">
        <f>Transactions[[#This Row],[Amount]]*INDEX(TransTypes[],Transactions[[#This Row],[TTR]],TT_COL_AmntSign)</f>
        <v>-159503.71</v>
      </c>
      <c r="X1583" s="167">
        <f>IF(INDEX(TransTypes[],Transactions[[#This Row],[TTR]],TT_COL_LONGORSHORT)="S",
      IF( OR(INDEX(TransTypes[],Transactions[[#This Row],[TTR]],TT_COL_GLFlag)=1, INDEX(TransTypes[], Transactions[[#This Row],[TTR]], TT_COL_ShareTransferFlag)=1),
            Transactions[[#This Row],[CostImpact]]*-1,
            Transactions[[#This Row],[CalCashImpact]]
      ),
     0
)</f>
        <v>0</v>
      </c>
      <c r="Y1583" s="168" t="str">
        <f>VLOOKUP(Transactions[[#This Row],[Symbol]],Symbols[], COLUMN(Symbols[Currency])-COLUMN(Symbols[])+1,FALSE)</f>
        <v>CNY</v>
      </c>
    </row>
    <row r="1584" spans="1:25">
      <c r="A1584" s="155" t="s">
        <v>82</v>
      </c>
      <c r="B1584" s="156">
        <v>42865</v>
      </c>
      <c r="C1584" s="155" t="s">
        <v>113</v>
      </c>
      <c r="D1584" s="155"/>
      <c r="E1584" s="155" t="s">
        <v>482</v>
      </c>
      <c r="F1584" s="157">
        <v>5000</v>
      </c>
      <c r="G1584" s="158">
        <v>31.47</v>
      </c>
      <c r="H1584" s="157">
        <v>62.94</v>
      </c>
      <c r="I1584" s="157"/>
      <c r="J1584" s="159">
        <v>157412.94</v>
      </c>
      <c r="K1584" s="6" t="s">
        <v>641</v>
      </c>
      <c r="L1584" s="20">
        <f>IF(ISNA(MATCH(Transactions[[#This Row],[TransType]],TransTypes[TransType],0)),1,MATCH(Transactions[[#This Row],[TransType]],TransTypes[TransType],0))</f>
        <v>2</v>
      </c>
      <c r="M1584" s="160">
        <f>IF( AND( INDEX(TransTypes[],Transactions[[#This Row],[TTR]],TT_COL_GLFlag)=1, INDEX(TransTypes[],Transactions[[#This Row],[TTR]],TT_COL_LONGORSHORT)="S" ),
      Transactions[[#This Row],[PL]],
      IF(INDEX(TransTypes[],Transactions[[#This Row],[TTR]],TT_COL_LONGORSHORT)="S",0,Transactions[[#This Row],[CalCashImpact]])
)</f>
        <v>-157412.94</v>
      </c>
      <c r="N1584" s="161">
        <f>IF(VLOOKUP(Transactions[[#This Row],[Symbol]],Symbols[],COLUMN(Symbols[Currency])-COLUMN(Symbols[])+1,FALSE)=
       VLOOKUP(Transactions[[#This Row],[Account]],Accounts[],COLUMN(Accounts[Currency])-COLUMN(Accounts[])+1,FALSE),
     Transactions[[#This Row],[OrigCashImpact]],
     0
)</f>
        <v>-157412.94</v>
      </c>
      <c r="O15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545403.34999999986</v>
      </c>
      <c r="P15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5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584" s="41">
        <f>ROW()</f>
        <v>1584</v>
      </c>
      <c r="S15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157412.94</v>
      </c>
      <c r="T15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363555.3666666667</v>
      </c>
      <c r="U15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584" s="166">
        <f>IF(INDEX(TransTypes[],Transactions[[#This Row],[TTR]],TT_COL_GLFlag)=1,Transactions[[#This Row],[CalCashImpact]]+Transactions[[#This Row],[CostImpact]],0)</f>
        <v>0</v>
      </c>
      <c r="W1584" s="167">
        <f>Transactions[[#This Row],[Amount]]*INDEX(TransTypes[],Transactions[[#This Row],[TTR]],TT_COL_AmntSign)</f>
        <v>-157412.94</v>
      </c>
      <c r="X1584" s="167">
        <f>IF(INDEX(TransTypes[],Transactions[[#This Row],[TTR]],TT_COL_LONGORSHORT)="S",
      IF( OR(INDEX(TransTypes[],Transactions[[#This Row],[TTR]],TT_COL_GLFlag)=1, INDEX(TransTypes[], Transactions[[#This Row],[TTR]], TT_COL_ShareTransferFlag)=1),
            Transactions[[#This Row],[CostImpact]]*-1,
            Transactions[[#This Row],[CalCashImpact]]
      ),
     0
)</f>
        <v>0</v>
      </c>
      <c r="Y1584" s="168" t="str">
        <f>VLOOKUP(Transactions[[#This Row],[Symbol]],Symbols[], COLUMN(Symbols[Currency])-COLUMN(Symbols[])+1,FALSE)</f>
        <v>CNY</v>
      </c>
    </row>
    <row r="1585" spans="1:25">
      <c r="A1585" s="155" t="s">
        <v>82</v>
      </c>
      <c r="B1585" s="156">
        <v>42865</v>
      </c>
      <c r="C1585" s="155" t="s">
        <v>152</v>
      </c>
      <c r="D1585" s="155"/>
      <c r="E1585" s="155" t="s">
        <v>210</v>
      </c>
      <c r="F1585" s="157">
        <v>159179.09</v>
      </c>
      <c r="G1585" s="158">
        <f>Transactions[[#This Row],[Amount]]/Transactions[[#This Row],[Qty]]</f>
        <v>1.1257724240036804</v>
      </c>
      <c r="H1585" s="157"/>
      <c r="I1585" s="157"/>
      <c r="J1585" s="159">
        <v>179199.43</v>
      </c>
      <c r="K1585" s="6" t="s">
        <v>747</v>
      </c>
      <c r="L1585" s="20">
        <f>IF(ISNA(MATCH(Transactions[[#This Row],[TransType]],TransTypes[TransType],0)),1,MATCH(Transactions[[#This Row],[TransType]],TransTypes[TransType],0))</f>
        <v>15</v>
      </c>
      <c r="M1585" s="160">
        <f>IF( AND( INDEX(TransTypes[],Transactions[[#This Row],[TTR]],TT_COL_GLFlag)=1, INDEX(TransTypes[],Transactions[[#This Row],[TTR]],TT_COL_LONGORSHORT)="S" ),
      Transactions[[#This Row],[PL]],
      IF(INDEX(TransTypes[],Transactions[[#This Row],[TTR]],TT_COL_LONGORSHORT)="S",0,Transactions[[#This Row],[CalCashImpact]])
)</f>
        <v>179199.43</v>
      </c>
      <c r="N1585" s="161">
        <f>IF(VLOOKUP(Transactions[[#This Row],[Symbol]],Symbols[],COLUMN(Symbols[Currency])-COLUMN(Symbols[])+1,FALSE)=
       VLOOKUP(Transactions[[#This Row],[Account]],Accounts[],COLUMN(Accounts[Currency])-COLUMN(Accounts[])+1,FALSE),
     Transactions[[#This Row],[OrigCashImpact]],
     0
)</f>
        <v>0</v>
      </c>
      <c r="O15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545403.34999999986</v>
      </c>
      <c r="P15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85" s="41">
        <f>ROW()</f>
        <v>1585</v>
      </c>
      <c r="S15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85" s="166">
        <f>IF(INDEX(TransTypes[],Transactions[[#This Row],[TTR]],TT_COL_GLFlag)=1,Transactions[[#This Row],[CalCashImpact]]+Transactions[[#This Row],[CostImpact]],0)</f>
        <v>0</v>
      </c>
      <c r="W1585" s="167">
        <f>Transactions[[#This Row],[Amount]]*INDEX(TransTypes[],Transactions[[#This Row],[TTR]],TT_COL_AmntSign)</f>
        <v>179199.43</v>
      </c>
      <c r="X1585" s="167">
        <f>IF(INDEX(TransTypes[],Transactions[[#This Row],[TTR]],TT_COL_LONGORSHORT)="S",
      IF( OR(INDEX(TransTypes[],Transactions[[#This Row],[TTR]],TT_COL_GLFlag)=1, INDEX(TransTypes[], Transactions[[#This Row],[TTR]], TT_COL_ShareTransferFlag)=1),
            Transactions[[#This Row],[CostImpact]]*-1,
            Transactions[[#This Row],[CalCashImpact]]
      ),
     0
)</f>
        <v>0</v>
      </c>
      <c r="Y1585" s="168" t="str">
        <f>VLOOKUP(Transactions[[#This Row],[Symbol]],Symbols[], COLUMN(Symbols[Currency])-COLUMN(Symbols[])+1,FALSE)</f>
        <v>HKD</v>
      </c>
    </row>
    <row r="1586" spans="1:25">
      <c r="A1586" s="155" t="s">
        <v>82</v>
      </c>
      <c r="B1586" s="156">
        <v>42865</v>
      </c>
      <c r="C1586" s="155" t="s">
        <v>238</v>
      </c>
      <c r="D1586" s="155"/>
      <c r="E1586" s="155" t="s">
        <v>211</v>
      </c>
      <c r="F1586" s="157">
        <v>159179.09</v>
      </c>
      <c r="G1586" s="158">
        <v>1</v>
      </c>
      <c r="H1586" s="157"/>
      <c r="I1586" s="157"/>
      <c r="J1586" s="159">
        <v>159179.09</v>
      </c>
      <c r="K1586" s="6" t="s">
        <v>748</v>
      </c>
      <c r="L1586" s="20">
        <f>IF(ISNA(MATCH(Transactions[[#This Row],[TransType]],TransTypes[TransType],0)),1,MATCH(Transactions[[#This Row],[TransType]],TransTypes[TransType],0))</f>
        <v>16</v>
      </c>
      <c r="M1586" s="160">
        <f>IF( AND( INDEX(TransTypes[],Transactions[[#This Row],[TTR]],TT_COL_GLFlag)=1, INDEX(TransTypes[],Transactions[[#This Row],[TTR]],TT_COL_LONGORSHORT)="S" ),
      Transactions[[#This Row],[PL]],
      IF(INDEX(TransTypes[],Transactions[[#This Row],[TTR]],TT_COL_LONGORSHORT)="S",0,Transactions[[#This Row],[CalCashImpact]])
)</f>
        <v>-159179.09</v>
      </c>
      <c r="N1586" s="161">
        <f>IF(VLOOKUP(Transactions[[#This Row],[Symbol]],Symbols[],COLUMN(Symbols[Currency])-COLUMN(Symbols[])+1,FALSE)=
       VLOOKUP(Transactions[[#This Row],[Account]],Accounts[],COLUMN(Accounts[Currency])-COLUMN(Accounts[])+1,FALSE),
     Transactions[[#This Row],[OrigCashImpact]],
     0
)</f>
        <v>-159179.09</v>
      </c>
      <c r="O15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386224.25999999989</v>
      </c>
      <c r="P15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86" s="41">
        <f>ROW()</f>
        <v>1586</v>
      </c>
      <c r="S15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86" s="166">
        <f>IF(INDEX(TransTypes[],Transactions[[#This Row],[TTR]],TT_COL_GLFlag)=1,Transactions[[#This Row],[CalCashImpact]]+Transactions[[#This Row],[CostImpact]],0)</f>
        <v>0</v>
      </c>
      <c r="W1586" s="167">
        <f>Transactions[[#This Row],[Amount]]*INDEX(TransTypes[],Transactions[[#This Row],[TTR]],TT_COL_AmntSign)</f>
        <v>-159179.09</v>
      </c>
      <c r="X1586" s="167">
        <f>IF(INDEX(TransTypes[],Transactions[[#This Row],[TTR]],TT_COL_LONGORSHORT)="S",
      IF( OR(INDEX(TransTypes[],Transactions[[#This Row],[TTR]],TT_COL_GLFlag)=1, INDEX(TransTypes[], Transactions[[#This Row],[TTR]], TT_COL_ShareTransferFlag)=1),
            Transactions[[#This Row],[CostImpact]]*-1,
            Transactions[[#This Row],[CalCashImpact]]
      ),
     0
)</f>
        <v>0</v>
      </c>
      <c r="Y1586" s="168" t="str">
        <f>VLOOKUP(Transactions[[#This Row],[Symbol]],Symbols[], COLUMN(Symbols[Currency])-COLUMN(Symbols[])+1,FALSE)</f>
        <v>CNY</v>
      </c>
    </row>
    <row r="1587" spans="1:25">
      <c r="A1587" s="155" t="s">
        <v>82</v>
      </c>
      <c r="B1587" s="156">
        <v>42865</v>
      </c>
      <c r="C1587" s="155" t="s">
        <v>113</v>
      </c>
      <c r="D1587" s="155"/>
      <c r="E1587" s="155" t="s">
        <v>258</v>
      </c>
      <c r="F1587" s="157">
        <v>10000</v>
      </c>
      <c r="G1587" s="158">
        <v>10.24</v>
      </c>
      <c r="H1587" s="157">
        <v>383.28</v>
      </c>
      <c r="I1587" s="157"/>
      <c r="J1587" s="159">
        <v>102783.28</v>
      </c>
      <c r="K1587" s="6" t="s">
        <v>641</v>
      </c>
      <c r="L1587" s="20">
        <f>IF(ISNA(MATCH(Transactions[[#This Row],[TransType]],TransTypes[TransType],0)),1,MATCH(Transactions[[#This Row],[TransType]],TransTypes[TransType],0))</f>
        <v>2</v>
      </c>
      <c r="M1587" s="160">
        <f>IF( AND( INDEX(TransTypes[],Transactions[[#This Row],[TTR]],TT_COL_GLFlag)=1, INDEX(TransTypes[],Transactions[[#This Row],[TTR]],TT_COL_LONGORSHORT)="S" ),
      Transactions[[#This Row],[PL]],
      IF(INDEX(TransTypes[],Transactions[[#This Row],[TTR]],TT_COL_LONGORSHORT)="S",0,Transactions[[#This Row],[CalCashImpact]])
)</f>
        <v>-102783.28</v>
      </c>
      <c r="N1587" s="161">
        <f>IF(VLOOKUP(Transactions[[#This Row],[Symbol]],Symbols[],COLUMN(Symbols[Currency])-COLUMN(Symbols[])+1,FALSE)=
       VLOOKUP(Transactions[[#This Row],[Account]],Accounts[],COLUMN(Accounts[Currency])-COLUMN(Accounts[])+1,FALSE),
     Transactions[[#This Row],[OrigCashImpact]],
     0
)</f>
        <v>0</v>
      </c>
      <c r="O15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386224.25999999989</v>
      </c>
      <c r="P15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5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40000</v>
      </c>
      <c r="R1587" s="41">
        <f>ROW()</f>
        <v>1587</v>
      </c>
      <c r="S15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102783.28</v>
      </c>
      <c r="T15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369572.82333333336</v>
      </c>
      <c r="U15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40000</v>
      </c>
      <c r="V1587" s="166">
        <f>IF(INDEX(TransTypes[],Transactions[[#This Row],[TTR]],TT_COL_GLFlag)=1,Transactions[[#This Row],[CalCashImpact]]+Transactions[[#This Row],[CostImpact]],0)</f>
        <v>0</v>
      </c>
      <c r="W1587" s="167">
        <f>Transactions[[#This Row],[Amount]]*INDEX(TransTypes[],Transactions[[#This Row],[TTR]],TT_COL_AmntSign)</f>
        <v>-102783.28</v>
      </c>
      <c r="X1587" s="167">
        <f>IF(INDEX(TransTypes[],Transactions[[#This Row],[TTR]],TT_COL_LONGORSHORT)="S",
      IF( OR(INDEX(TransTypes[],Transactions[[#This Row],[TTR]],TT_COL_GLFlag)=1, INDEX(TransTypes[], Transactions[[#This Row],[TTR]], TT_COL_ShareTransferFlag)=1),
            Transactions[[#This Row],[CostImpact]]*-1,
            Transactions[[#This Row],[CalCashImpact]]
      ),
     0
)</f>
        <v>0</v>
      </c>
      <c r="Y1587" s="168" t="str">
        <f>VLOOKUP(Transactions[[#This Row],[Symbol]],Symbols[], COLUMN(Symbols[Currency])-COLUMN(Symbols[])+1,FALSE)</f>
        <v>HKD</v>
      </c>
    </row>
    <row r="1588" spans="1:25">
      <c r="A1588" s="155" t="s">
        <v>82</v>
      </c>
      <c r="B1588" s="156">
        <v>42865</v>
      </c>
      <c r="C1588" s="155" t="s">
        <v>113</v>
      </c>
      <c r="D1588" s="155"/>
      <c r="E1588" s="155" t="s">
        <v>746</v>
      </c>
      <c r="F1588" s="157">
        <v>10000</v>
      </c>
      <c r="G1588" s="158">
        <v>7.61</v>
      </c>
      <c r="H1588" s="157">
        <v>316.14999999999998</v>
      </c>
      <c r="I1588" s="157"/>
      <c r="J1588" s="159">
        <v>76416.149999999994</v>
      </c>
      <c r="K1588" s="6" t="s">
        <v>641</v>
      </c>
      <c r="L1588" s="20">
        <f>IF(ISNA(MATCH(Transactions[[#This Row],[TransType]],TransTypes[TransType],0)),1,MATCH(Transactions[[#This Row],[TransType]],TransTypes[TransType],0))</f>
        <v>2</v>
      </c>
      <c r="M1588" s="160">
        <f>IF( AND( INDEX(TransTypes[],Transactions[[#This Row],[TTR]],TT_COL_GLFlag)=1, INDEX(TransTypes[],Transactions[[#This Row],[TTR]],TT_COL_LONGORSHORT)="S" ),
      Transactions[[#This Row],[PL]],
      IF(INDEX(TransTypes[],Transactions[[#This Row],[TTR]],TT_COL_LONGORSHORT)="S",0,Transactions[[#This Row],[CalCashImpact]])
)</f>
        <v>-76416.149999999994</v>
      </c>
      <c r="N1588" s="161">
        <f>IF(VLOOKUP(Transactions[[#This Row],[Symbol]],Symbols[],COLUMN(Symbols[Currency])-COLUMN(Symbols[])+1,FALSE)=
       VLOOKUP(Transactions[[#This Row],[Account]],Accounts[],COLUMN(Accounts[Currency])-COLUMN(Accounts[])+1,FALSE),
     Transactions[[#This Row],[OrigCashImpact]],
     0
)</f>
        <v>0</v>
      </c>
      <c r="O15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386224.25999999989</v>
      </c>
      <c r="P15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5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50000</v>
      </c>
      <c r="R1588" s="41">
        <f>ROW()</f>
        <v>1588</v>
      </c>
      <c r="S15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76416.149999999994</v>
      </c>
      <c r="T15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377649.68000000005</v>
      </c>
      <c r="U15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50000</v>
      </c>
      <c r="V1588" s="166">
        <f>IF(INDEX(TransTypes[],Transactions[[#This Row],[TTR]],TT_COL_GLFlag)=1,Transactions[[#This Row],[CalCashImpact]]+Transactions[[#This Row],[CostImpact]],0)</f>
        <v>0</v>
      </c>
      <c r="W1588" s="167">
        <f>Transactions[[#This Row],[Amount]]*INDEX(TransTypes[],Transactions[[#This Row],[TTR]],TT_COL_AmntSign)</f>
        <v>-76416.149999999994</v>
      </c>
      <c r="X1588" s="167">
        <f>IF(INDEX(TransTypes[],Transactions[[#This Row],[TTR]],TT_COL_LONGORSHORT)="S",
      IF( OR(INDEX(TransTypes[],Transactions[[#This Row],[TTR]],TT_COL_GLFlag)=1, INDEX(TransTypes[], Transactions[[#This Row],[TTR]], TT_COL_ShareTransferFlag)=1),
            Transactions[[#This Row],[CostImpact]]*-1,
            Transactions[[#This Row],[CalCashImpact]]
      ),
     0
)</f>
        <v>0</v>
      </c>
      <c r="Y1588" s="168" t="str">
        <f>VLOOKUP(Transactions[[#This Row],[Symbol]],Symbols[], COLUMN(Symbols[Currency])-COLUMN(Symbols[])+1,FALSE)</f>
        <v>HKD</v>
      </c>
    </row>
    <row r="1589" spans="1:25">
      <c r="A1589" s="155" t="s">
        <v>82</v>
      </c>
      <c r="B1589" s="156">
        <v>42866</v>
      </c>
      <c r="C1589" s="155" t="s">
        <v>118</v>
      </c>
      <c r="D1589" s="155"/>
      <c r="E1589" s="155" t="s">
        <v>474</v>
      </c>
      <c r="F1589" s="157"/>
      <c r="G1589" s="158"/>
      <c r="H1589" s="157"/>
      <c r="I1589" s="157"/>
      <c r="J1589" s="159">
        <v>1040</v>
      </c>
      <c r="K1589" s="6" t="s">
        <v>641</v>
      </c>
      <c r="L1589" s="20">
        <f>IF(ISNA(MATCH(Transactions[[#This Row],[TransType]],TransTypes[TransType],0)),1,MATCH(Transactions[[#This Row],[TransType]],TransTypes[TransType],0))</f>
        <v>4</v>
      </c>
      <c r="M1589" s="160">
        <f>IF( AND( INDEX(TransTypes[],Transactions[[#This Row],[TTR]],TT_COL_GLFlag)=1, INDEX(TransTypes[],Transactions[[#This Row],[TTR]],TT_COL_LONGORSHORT)="S" ),
      Transactions[[#This Row],[PL]],
      IF(INDEX(TransTypes[],Transactions[[#This Row],[TTR]],TT_COL_LONGORSHORT)="S",0,Transactions[[#This Row],[CalCashImpact]])
)</f>
        <v>1040</v>
      </c>
      <c r="N1589" s="161">
        <f>IF(VLOOKUP(Transactions[[#This Row],[Symbol]],Symbols[],COLUMN(Symbols[Currency])-COLUMN(Symbols[])+1,FALSE)=
       VLOOKUP(Transactions[[#This Row],[Account]],Accounts[],COLUMN(Accounts[Currency])-COLUMN(Accounts[])+1,FALSE),
     Transactions[[#This Row],[OrigCashImpact]],
     0
)</f>
        <v>1040</v>
      </c>
      <c r="O15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387264.25999999989</v>
      </c>
      <c r="P15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589" s="41">
        <f>ROW()</f>
        <v>1589</v>
      </c>
      <c r="S15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322530.89</v>
      </c>
      <c r="U15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589" s="166">
        <f>IF(INDEX(TransTypes[],Transactions[[#This Row],[TTR]],TT_COL_GLFlag)=1,Transactions[[#This Row],[CalCashImpact]]+Transactions[[#This Row],[CostImpact]],0)</f>
        <v>0</v>
      </c>
      <c r="W1589" s="167">
        <f>Transactions[[#This Row],[Amount]]*INDEX(TransTypes[],Transactions[[#This Row],[TTR]],TT_COL_AmntSign)</f>
        <v>1040</v>
      </c>
      <c r="X1589" s="167">
        <f>IF(INDEX(TransTypes[],Transactions[[#This Row],[TTR]],TT_COL_LONGORSHORT)="S",
      IF( OR(INDEX(TransTypes[],Transactions[[#This Row],[TTR]],TT_COL_GLFlag)=1, INDEX(TransTypes[], Transactions[[#This Row],[TTR]], TT_COL_ShareTransferFlag)=1),
            Transactions[[#This Row],[CostImpact]]*-1,
            Transactions[[#This Row],[CalCashImpact]]
      ),
     0
)</f>
        <v>0</v>
      </c>
      <c r="Y1589" s="168" t="str">
        <f>VLOOKUP(Transactions[[#This Row],[Symbol]],Symbols[], COLUMN(Symbols[Currency])-COLUMN(Symbols[])+1,FALSE)</f>
        <v>CNY</v>
      </c>
    </row>
    <row r="1590" spans="1:25">
      <c r="A1590" s="155" t="s">
        <v>82</v>
      </c>
      <c r="B1590" s="156">
        <v>42866</v>
      </c>
      <c r="C1590" s="155" t="s">
        <v>118</v>
      </c>
      <c r="D1590" s="155"/>
      <c r="E1590" s="155" t="s">
        <v>704</v>
      </c>
      <c r="F1590" s="157"/>
      <c r="G1590" s="158"/>
      <c r="H1590" s="157"/>
      <c r="I1590" s="157"/>
      <c r="J1590" s="159">
        <v>4800</v>
      </c>
      <c r="K1590" s="6" t="s">
        <v>641</v>
      </c>
      <c r="L1590" s="20">
        <f>IF(ISNA(MATCH(Transactions[[#This Row],[TransType]],TransTypes[TransType],0)),1,MATCH(Transactions[[#This Row],[TransType]],TransTypes[TransType],0))</f>
        <v>4</v>
      </c>
      <c r="M1590" s="160">
        <f>IF( AND( INDEX(TransTypes[],Transactions[[#This Row],[TTR]],TT_COL_GLFlag)=1, INDEX(TransTypes[],Transactions[[#This Row],[TTR]],TT_COL_LONGORSHORT)="S" ),
      Transactions[[#This Row],[PL]],
      IF(INDEX(TransTypes[],Transactions[[#This Row],[TTR]],TT_COL_LONGORSHORT)="S",0,Transactions[[#This Row],[CalCashImpact]])
)</f>
        <v>4800</v>
      </c>
      <c r="N1590" s="161">
        <f>IF(VLOOKUP(Transactions[[#This Row],[Symbol]],Symbols[],COLUMN(Symbols[Currency])-COLUMN(Symbols[])+1,FALSE)=
       VLOOKUP(Transactions[[#This Row],[Account]],Accounts[],COLUMN(Accounts[Currency])-COLUMN(Accounts[])+1,FALSE),
     Transactions[[#This Row],[OrigCashImpact]],
     0
)</f>
        <v>4800</v>
      </c>
      <c r="O15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392064.25999999989</v>
      </c>
      <c r="P15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590" s="41">
        <f>ROW()</f>
        <v>1590</v>
      </c>
      <c r="S15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87001.428317307698</v>
      </c>
      <c r="U15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590" s="166">
        <f>IF(INDEX(TransTypes[],Transactions[[#This Row],[TTR]],TT_COL_GLFlag)=1,Transactions[[#This Row],[CalCashImpact]]+Transactions[[#This Row],[CostImpact]],0)</f>
        <v>0</v>
      </c>
      <c r="W1590" s="167">
        <f>Transactions[[#This Row],[Amount]]*INDEX(TransTypes[],Transactions[[#This Row],[TTR]],TT_COL_AmntSign)</f>
        <v>4800</v>
      </c>
      <c r="X1590" s="167">
        <f>IF(INDEX(TransTypes[],Transactions[[#This Row],[TTR]],TT_COL_LONGORSHORT)="S",
      IF( OR(INDEX(TransTypes[],Transactions[[#This Row],[TTR]],TT_COL_GLFlag)=1, INDEX(TransTypes[], Transactions[[#This Row],[TTR]], TT_COL_ShareTransferFlag)=1),
            Transactions[[#This Row],[CostImpact]]*-1,
            Transactions[[#This Row],[CalCashImpact]]
      ),
     0
)</f>
        <v>0</v>
      </c>
      <c r="Y1590" s="168" t="str">
        <f>VLOOKUP(Transactions[[#This Row],[Symbol]],Symbols[], COLUMN(Symbols[Currency])-COLUMN(Symbols[])+1,FALSE)</f>
        <v>CNY</v>
      </c>
    </row>
    <row r="1591" spans="1:25">
      <c r="A1591" s="155" t="s">
        <v>82</v>
      </c>
      <c r="B1591" s="156">
        <v>42866</v>
      </c>
      <c r="C1591" s="155" t="s">
        <v>113</v>
      </c>
      <c r="D1591" s="155"/>
      <c r="E1591" s="155" t="s">
        <v>474</v>
      </c>
      <c r="F1591" s="157">
        <v>8000</v>
      </c>
      <c r="G1591" s="158">
        <v>0</v>
      </c>
      <c r="H1591" s="157">
        <v>0</v>
      </c>
      <c r="I1591" s="157"/>
      <c r="J1591" s="159">
        <v>0</v>
      </c>
      <c r="K1591" s="6" t="s">
        <v>641</v>
      </c>
      <c r="L1591" s="20">
        <f>IF(ISNA(MATCH(Transactions[[#This Row],[TransType]],TransTypes[TransType],0)),1,MATCH(Transactions[[#This Row],[TransType]],TransTypes[TransType],0))</f>
        <v>2</v>
      </c>
      <c r="M1591" s="160">
        <f>IF( AND( INDEX(TransTypes[],Transactions[[#This Row],[TTR]],TT_COL_GLFlag)=1, INDEX(TransTypes[],Transactions[[#This Row],[TTR]],TT_COL_LONGORSHORT)="S" ),
      Transactions[[#This Row],[PL]],
      IF(INDEX(TransTypes[],Transactions[[#This Row],[TTR]],TT_COL_LONGORSHORT)="S",0,Transactions[[#This Row],[CalCashImpact]])
)</f>
        <v>0</v>
      </c>
      <c r="N1591" s="161">
        <f>IF(VLOOKUP(Transactions[[#This Row],[Symbol]],Symbols[],COLUMN(Symbols[Currency])-COLUMN(Symbols[])+1,FALSE)=
       VLOOKUP(Transactions[[#This Row],[Account]],Accounts[],COLUMN(Accounts[Currency])-COLUMN(Accounts[])+1,FALSE),
     Transactions[[#This Row],[OrigCashImpact]],
     0
)</f>
        <v>0</v>
      </c>
      <c r="O15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392064.25999999989</v>
      </c>
      <c r="P15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5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16000</v>
      </c>
      <c r="R1591" s="41">
        <f>ROW()</f>
        <v>1591</v>
      </c>
      <c r="S15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322530.89</v>
      </c>
      <c r="U15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16000</v>
      </c>
      <c r="V1591" s="166">
        <f>IF(INDEX(TransTypes[],Transactions[[#This Row],[TTR]],TT_COL_GLFlag)=1,Transactions[[#This Row],[CalCashImpact]]+Transactions[[#This Row],[CostImpact]],0)</f>
        <v>0</v>
      </c>
      <c r="W1591" s="167">
        <f>Transactions[[#This Row],[Amount]]*INDEX(TransTypes[],Transactions[[#This Row],[TTR]],TT_COL_AmntSign)</f>
        <v>0</v>
      </c>
      <c r="X1591" s="167">
        <f>IF(INDEX(TransTypes[],Transactions[[#This Row],[TTR]],TT_COL_LONGORSHORT)="S",
      IF( OR(INDEX(TransTypes[],Transactions[[#This Row],[TTR]],TT_COL_GLFlag)=1, INDEX(TransTypes[], Transactions[[#This Row],[TTR]], TT_COL_ShareTransferFlag)=1),
            Transactions[[#This Row],[CostImpact]]*-1,
            Transactions[[#This Row],[CalCashImpact]]
      ),
     0
)</f>
        <v>0</v>
      </c>
      <c r="Y1591" s="168" t="str">
        <f>VLOOKUP(Transactions[[#This Row],[Symbol]],Symbols[], COLUMN(Symbols[Currency])-COLUMN(Symbols[])+1,FALSE)</f>
        <v>CNY</v>
      </c>
    </row>
    <row r="1592" spans="1:25">
      <c r="A1592" s="155" t="s">
        <v>82</v>
      </c>
      <c r="B1592" s="156">
        <v>42867</v>
      </c>
      <c r="C1592" s="155" t="s">
        <v>118</v>
      </c>
      <c r="D1592" s="155"/>
      <c r="E1592" s="155" t="s">
        <v>488</v>
      </c>
      <c r="F1592" s="157"/>
      <c r="G1592" s="158"/>
      <c r="H1592" s="157"/>
      <c r="I1592" s="157"/>
      <c r="J1592" s="159">
        <v>9750</v>
      </c>
      <c r="K1592" s="6" t="s">
        <v>641</v>
      </c>
      <c r="L1592" s="20">
        <f>IF(ISNA(MATCH(Transactions[[#This Row],[TransType]],TransTypes[TransType],0)),1,MATCH(Transactions[[#This Row],[TransType]],TransTypes[TransType],0))</f>
        <v>4</v>
      </c>
      <c r="M1592" s="160">
        <f>IF( AND( INDEX(TransTypes[],Transactions[[#This Row],[TTR]],TT_COL_GLFlag)=1, INDEX(TransTypes[],Transactions[[#This Row],[TTR]],TT_COL_LONGORSHORT)="S" ),
      Transactions[[#This Row],[PL]],
      IF(INDEX(TransTypes[],Transactions[[#This Row],[TTR]],TT_COL_LONGORSHORT)="S",0,Transactions[[#This Row],[CalCashImpact]])
)</f>
        <v>9750</v>
      </c>
      <c r="N1592" s="161">
        <f>IF(VLOOKUP(Transactions[[#This Row],[Symbol]],Symbols[],COLUMN(Symbols[Currency])-COLUMN(Symbols[])+1,FALSE)=
       VLOOKUP(Transactions[[#This Row],[Account]],Accounts[],COLUMN(Accounts[Currency])-COLUMN(Accounts[])+1,FALSE),
     Transactions[[#This Row],[OrigCashImpact]],
     0
)</f>
        <v>9750</v>
      </c>
      <c r="O15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401814.25999999989</v>
      </c>
      <c r="P15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592" s="41">
        <f>ROW()</f>
        <v>1592</v>
      </c>
      <c r="S15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255114.698</v>
      </c>
      <c r="U15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592" s="166">
        <f>IF(INDEX(TransTypes[],Transactions[[#This Row],[TTR]],TT_COL_GLFlag)=1,Transactions[[#This Row],[CalCashImpact]]+Transactions[[#This Row],[CostImpact]],0)</f>
        <v>0</v>
      </c>
      <c r="W1592" s="167">
        <f>Transactions[[#This Row],[Amount]]*INDEX(TransTypes[],Transactions[[#This Row],[TTR]],TT_COL_AmntSign)</f>
        <v>9750</v>
      </c>
      <c r="X1592" s="167">
        <f>IF(INDEX(TransTypes[],Transactions[[#This Row],[TTR]],TT_COL_LONGORSHORT)="S",
      IF( OR(INDEX(TransTypes[],Transactions[[#This Row],[TTR]],TT_COL_GLFlag)=1, INDEX(TransTypes[], Transactions[[#This Row],[TTR]], TT_COL_ShareTransferFlag)=1),
            Transactions[[#This Row],[CostImpact]]*-1,
            Transactions[[#This Row],[CalCashImpact]]
      ),
     0
)</f>
        <v>0</v>
      </c>
      <c r="Y1592" s="168" t="str">
        <f>VLOOKUP(Transactions[[#This Row],[Symbol]],Symbols[], COLUMN(Symbols[Currency])-COLUMN(Symbols[])+1,FALSE)</f>
        <v>CNY</v>
      </c>
    </row>
    <row r="1593" spans="1:25">
      <c r="A1593" s="155" t="s">
        <v>82</v>
      </c>
      <c r="B1593" s="156">
        <v>42873</v>
      </c>
      <c r="C1593" s="155" t="s">
        <v>115</v>
      </c>
      <c r="D1593" s="155"/>
      <c r="E1593" s="155" t="s">
        <v>474</v>
      </c>
      <c r="F1593" s="157">
        <v>6000</v>
      </c>
      <c r="G1593" s="158">
        <v>20.02</v>
      </c>
      <c r="H1593" s="157">
        <v>168.15</v>
      </c>
      <c r="I1593" s="157"/>
      <c r="J1593" s="159">
        <v>119951.85</v>
      </c>
      <c r="K1593" s="6" t="s">
        <v>641</v>
      </c>
      <c r="L1593" s="20">
        <f>IF(ISNA(MATCH(Transactions[[#This Row],[TransType]],TransTypes[TransType],0)),1,MATCH(Transactions[[#This Row],[TransType]],TransTypes[TransType],0))</f>
        <v>3</v>
      </c>
      <c r="M1593" s="160">
        <f>IF( AND( INDEX(TransTypes[],Transactions[[#This Row],[TTR]],TT_COL_GLFlag)=1, INDEX(TransTypes[],Transactions[[#This Row],[TTR]],TT_COL_LONGORSHORT)="S" ),
      Transactions[[#This Row],[PL]],
      IF(INDEX(TransTypes[],Transactions[[#This Row],[TTR]],TT_COL_LONGORSHORT)="S",0,Transactions[[#This Row],[CalCashImpact]])
)</f>
        <v>119951.85</v>
      </c>
      <c r="N1593" s="161">
        <f>IF(VLOOKUP(Transactions[[#This Row],[Symbol]],Symbols[],COLUMN(Symbols[Currency])-COLUMN(Symbols[])+1,FALSE)=
       VLOOKUP(Transactions[[#This Row],[Account]],Accounts[],COLUMN(Accounts[Currency])-COLUMN(Accounts[])+1,FALSE),
     Transactions[[#This Row],[OrigCashImpact]],
     0
)</f>
        <v>119951.85</v>
      </c>
      <c r="O15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521766.10999999987</v>
      </c>
      <c r="P15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5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593" s="41">
        <f>ROW()</f>
        <v>1593</v>
      </c>
      <c r="S15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-120949.08375000001</v>
      </c>
      <c r="T15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201581.80625000002</v>
      </c>
      <c r="U15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16000</v>
      </c>
      <c r="V1593" s="166">
        <f>IF(INDEX(TransTypes[],Transactions[[#This Row],[TTR]],TT_COL_GLFlag)=1,Transactions[[#This Row],[CalCashImpact]]+Transactions[[#This Row],[CostImpact]],0)</f>
        <v>-997.23374999999942</v>
      </c>
      <c r="W1593" s="167">
        <f>Transactions[[#This Row],[Amount]]*INDEX(TransTypes[],Transactions[[#This Row],[TTR]],TT_COL_AmntSign)</f>
        <v>119951.85</v>
      </c>
      <c r="X1593" s="167">
        <f>IF(INDEX(TransTypes[],Transactions[[#This Row],[TTR]],TT_COL_LONGORSHORT)="S",
      IF( OR(INDEX(TransTypes[],Transactions[[#This Row],[TTR]],TT_COL_GLFlag)=1, INDEX(TransTypes[], Transactions[[#This Row],[TTR]], TT_COL_ShareTransferFlag)=1),
            Transactions[[#This Row],[CostImpact]]*-1,
            Transactions[[#This Row],[CalCashImpact]]
      ),
     0
)</f>
        <v>0</v>
      </c>
      <c r="Y1593" s="168" t="str">
        <f>VLOOKUP(Transactions[[#This Row],[Symbol]],Symbols[], COLUMN(Symbols[Currency])-COLUMN(Symbols[])+1,FALSE)</f>
        <v>CNY</v>
      </c>
    </row>
    <row r="1594" spans="1:25">
      <c r="A1594" s="155" t="s">
        <v>82</v>
      </c>
      <c r="B1594" s="156">
        <v>42873</v>
      </c>
      <c r="C1594" s="155" t="s">
        <v>115</v>
      </c>
      <c r="D1594" s="155"/>
      <c r="E1594" s="155" t="s">
        <v>730</v>
      </c>
      <c r="F1594" s="157">
        <v>6000</v>
      </c>
      <c r="G1594" s="158">
        <v>61.311999999999998</v>
      </c>
      <c r="H1594" s="157">
        <v>515.02</v>
      </c>
      <c r="I1594" s="157"/>
      <c r="J1594" s="159">
        <v>367356.98</v>
      </c>
      <c r="K1594" s="6" t="s">
        <v>641</v>
      </c>
      <c r="L1594" s="20">
        <f>IF(ISNA(MATCH(Transactions[[#This Row],[TransType]],TransTypes[TransType],0)),1,MATCH(Transactions[[#This Row],[TransType]],TransTypes[TransType],0))</f>
        <v>3</v>
      </c>
      <c r="M1594" s="160">
        <f>IF( AND( INDEX(TransTypes[],Transactions[[#This Row],[TTR]],TT_COL_GLFlag)=1, INDEX(TransTypes[],Transactions[[#This Row],[TTR]],TT_COL_LONGORSHORT)="S" ),
      Transactions[[#This Row],[PL]],
      IF(INDEX(TransTypes[],Transactions[[#This Row],[TTR]],TT_COL_LONGORSHORT)="S",0,Transactions[[#This Row],[CalCashImpact]])
)</f>
        <v>367356.98</v>
      </c>
      <c r="N1594" s="161">
        <f>IF(VLOOKUP(Transactions[[#This Row],[Symbol]],Symbols[],COLUMN(Symbols[Currency])-COLUMN(Symbols[])+1,FALSE)=
       VLOOKUP(Transactions[[#This Row],[Account]],Accounts[],COLUMN(Accounts[Currency])-COLUMN(Accounts[])+1,FALSE),
     Transactions[[#This Row],[OrigCashImpact]],
     0
)</f>
        <v>367356.98</v>
      </c>
      <c r="O15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889123.08999999985</v>
      </c>
      <c r="P15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5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94" s="41">
        <f>ROW()</f>
        <v>1594</v>
      </c>
      <c r="S15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-377342.88</v>
      </c>
      <c r="T15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594" s="166">
        <f>IF(INDEX(TransTypes[],Transactions[[#This Row],[TTR]],TT_COL_GLFlag)=1,Transactions[[#This Row],[CalCashImpact]]+Transactions[[#This Row],[CostImpact]],0)</f>
        <v>-9985.9000000000233</v>
      </c>
      <c r="W1594" s="167">
        <f>Transactions[[#This Row],[Amount]]*INDEX(TransTypes[],Transactions[[#This Row],[TTR]],TT_COL_AmntSign)</f>
        <v>367356.98</v>
      </c>
      <c r="X1594" s="167">
        <f>IF(INDEX(TransTypes[],Transactions[[#This Row],[TTR]],TT_COL_LONGORSHORT)="S",
      IF( OR(INDEX(TransTypes[],Transactions[[#This Row],[TTR]],TT_COL_GLFlag)=1, INDEX(TransTypes[], Transactions[[#This Row],[TTR]], TT_COL_ShareTransferFlag)=1),
            Transactions[[#This Row],[CostImpact]]*-1,
            Transactions[[#This Row],[CalCashImpact]]
      ),
     0
)</f>
        <v>0</v>
      </c>
      <c r="Y1594" s="168" t="str">
        <f>VLOOKUP(Transactions[[#This Row],[Symbol]],Symbols[], COLUMN(Symbols[Currency])-COLUMN(Symbols[])+1,FALSE)</f>
        <v>CNY</v>
      </c>
    </row>
    <row r="1595" spans="1:25">
      <c r="A1595" s="155" t="s">
        <v>82</v>
      </c>
      <c r="B1595" s="156">
        <v>42873</v>
      </c>
      <c r="C1595" s="155" t="s">
        <v>115</v>
      </c>
      <c r="D1595" s="155"/>
      <c r="E1595" s="155" t="s">
        <v>738</v>
      </c>
      <c r="F1595" s="157">
        <v>7000</v>
      </c>
      <c r="G1595" s="158">
        <v>19.059999999999999</v>
      </c>
      <c r="H1595" s="157">
        <v>186.79</v>
      </c>
      <c r="I1595" s="157"/>
      <c r="J1595" s="159">
        <v>133233.21</v>
      </c>
      <c r="K1595" s="6" t="s">
        <v>641</v>
      </c>
      <c r="L1595" s="20">
        <f>IF(ISNA(MATCH(Transactions[[#This Row],[TransType]],TransTypes[TransType],0)),1,MATCH(Transactions[[#This Row],[TransType]],TransTypes[TransType],0))</f>
        <v>3</v>
      </c>
      <c r="M1595" s="160">
        <f>IF( AND( INDEX(TransTypes[],Transactions[[#This Row],[TTR]],TT_COL_GLFlag)=1, INDEX(TransTypes[],Transactions[[#This Row],[TTR]],TT_COL_LONGORSHORT)="S" ),
      Transactions[[#This Row],[PL]],
      IF(INDEX(TransTypes[],Transactions[[#This Row],[TTR]],TT_COL_LONGORSHORT)="S",0,Transactions[[#This Row],[CalCashImpact]])
)</f>
        <v>133233.21</v>
      </c>
      <c r="N1595" s="161">
        <f>IF(VLOOKUP(Transactions[[#This Row],[Symbol]],Symbols[],COLUMN(Symbols[Currency])-COLUMN(Symbols[])+1,FALSE)=
       VLOOKUP(Transactions[[#This Row],[Account]],Accounts[],COLUMN(Accounts[Currency])-COLUMN(Accounts[])+1,FALSE),
     Transactions[[#This Row],[OrigCashImpact]],
     0
)</f>
        <v>133233.21</v>
      </c>
      <c r="O15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1022356.2999999998</v>
      </c>
      <c r="P15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15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95" s="41">
        <f>ROW()</f>
        <v>1595</v>
      </c>
      <c r="S15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-140303.59437499999</v>
      </c>
      <c r="T15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595" s="166">
        <f>IF(INDEX(TransTypes[],Transactions[[#This Row],[TTR]],TT_COL_GLFlag)=1,Transactions[[#This Row],[CalCashImpact]]+Transactions[[#This Row],[CostImpact]],0)</f>
        <v>-7070.3843749999942</v>
      </c>
      <c r="W1595" s="167">
        <f>Transactions[[#This Row],[Amount]]*INDEX(TransTypes[],Transactions[[#This Row],[TTR]],TT_COL_AmntSign)</f>
        <v>133233.21</v>
      </c>
      <c r="X1595" s="167">
        <f>IF(INDEX(TransTypes[],Transactions[[#This Row],[TTR]],TT_COL_LONGORSHORT)="S",
      IF( OR(INDEX(TransTypes[],Transactions[[#This Row],[TTR]],TT_COL_GLFlag)=1, INDEX(TransTypes[], Transactions[[#This Row],[TTR]], TT_COL_ShareTransferFlag)=1),
            Transactions[[#This Row],[CostImpact]]*-1,
            Transactions[[#This Row],[CalCashImpact]]
      ),
     0
)</f>
        <v>0</v>
      </c>
      <c r="Y1595" s="168" t="str">
        <f>VLOOKUP(Transactions[[#This Row],[Symbol]],Symbols[], COLUMN(Symbols[Currency])-COLUMN(Symbols[])+1,FALSE)</f>
        <v>CNY</v>
      </c>
    </row>
    <row r="1596" spans="1:25">
      <c r="A1596" s="155" t="s">
        <v>82</v>
      </c>
      <c r="B1596" s="156">
        <v>42873</v>
      </c>
      <c r="C1596" s="155" t="s">
        <v>152</v>
      </c>
      <c r="D1596" s="155"/>
      <c r="E1596" s="155" t="s">
        <v>210</v>
      </c>
      <c r="F1596" s="157">
        <v>640431.81999999995</v>
      </c>
      <c r="G1596" s="158">
        <f>Transactions[[#This Row],[Amount]]/Transactions[[#This Row],[Qty]]</f>
        <v>1.1310247513935208</v>
      </c>
      <c r="H1596" s="157"/>
      <c r="I1596" s="157"/>
      <c r="J1596" s="159">
        <v>724344.24</v>
      </c>
      <c r="K1596" s="6" t="s">
        <v>749</v>
      </c>
      <c r="L1596" s="20">
        <f>IF(ISNA(MATCH(Transactions[[#This Row],[TransType]],TransTypes[TransType],0)),1,MATCH(Transactions[[#This Row],[TransType]],TransTypes[TransType],0))</f>
        <v>15</v>
      </c>
      <c r="M1596" s="160">
        <f>IF( AND( INDEX(TransTypes[],Transactions[[#This Row],[TTR]],TT_COL_GLFlag)=1, INDEX(TransTypes[],Transactions[[#This Row],[TTR]],TT_COL_LONGORSHORT)="S" ),
      Transactions[[#This Row],[PL]],
      IF(INDEX(TransTypes[],Transactions[[#This Row],[TTR]],TT_COL_LONGORSHORT)="S",0,Transactions[[#This Row],[CalCashImpact]])
)</f>
        <v>724344.24</v>
      </c>
      <c r="N1596" s="161">
        <f>IF(VLOOKUP(Transactions[[#This Row],[Symbol]],Symbols[],COLUMN(Symbols[Currency])-COLUMN(Symbols[])+1,FALSE)=
       VLOOKUP(Transactions[[#This Row],[Account]],Accounts[],COLUMN(Accounts[Currency])-COLUMN(Accounts[])+1,FALSE),
     Transactions[[#This Row],[OrigCashImpact]],
     0
)</f>
        <v>0</v>
      </c>
      <c r="O15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1022356.2999999998</v>
      </c>
      <c r="P15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96" s="41">
        <f>ROW()</f>
        <v>1596</v>
      </c>
      <c r="S15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96" s="166">
        <f>IF(INDEX(TransTypes[],Transactions[[#This Row],[TTR]],TT_COL_GLFlag)=1,Transactions[[#This Row],[CalCashImpact]]+Transactions[[#This Row],[CostImpact]],0)</f>
        <v>0</v>
      </c>
      <c r="W1596" s="167">
        <f>Transactions[[#This Row],[Amount]]*INDEX(TransTypes[],Transactions[[#This Row],[TTR]],TT_COL_AmntSign)</f>
        <v>724344.24</v>
      </c>
      <c r="X1596" s="167">
        <f>IF(INDEX(TransTypes[],Transactions[[#This Row],[TTR]],TT_COL_LONGORSHORT)="S",
      IF( OR(INDEX(TransTypes[],Transactions[[#This Row],[TTR]],TT_COL_GLFlag)=1, INDEX(TransTypes[], Transactions[[#This Row],[TTR]], TT_COL_ShareTransferFlag)=1),
            Transactions[[#This Row],[CostImpact]]*-1,
            Transactions[[#This Row],[CalCashImpact]]
      ),
     0
)</f>
        <v>0</v>
      </c>
      <c r="Y1596" s="168" t="str">
        <f>VLOOKUP(Transactions[[#This Row],[Symbol]],Symbols[], COLUMN(Symbols[Currency])-COLUMN(Symbols[])+1,FALSE)</f>
        <v>HKD</v>
      </c>
    </row>
    <row r="1597" spans="1:25">
      <c r="A1597" s="155" t="s">
        <v>82</v>
      </c>
      <c r="B1597" s="156">
        <v>42873</v>
      </c>
      <c r="C1597" s="155" t="s">
        <v>238</v>
      </c>
      <c r="D1597" s="155"/>
      <c r="E1597" s="155" t="s">
        <v>211</v>
      </c>
      <c r="F1597" s="157">
        <v>640431.81999999995</v>
      </c>
      <c r="G1597" s="158">
        <v>1</v>
      </c>
      <c r="H1597" s="157"/>
      <c r="I1597" s="157"/>
      <c r="J1597" s="159">
        <v>640431.81999999995</v>
      </c>
      <c r="K1597" s="6" t="s">
        <v>750</v>
      </c>
      <c r="L1597" s="20">
        <f>IF(ISNA(MATCH(Transactions[[#This Row],[TransType]],TransTypes[TransType],0)),1,MATCH(Transactions[[#This Row],[TransType]],TransTypes[TransType],0))</f>
        <v>16</v>
      </c>
      <c r="M1597" s="160">
        <f>IF( AND( INDEX(TransTypes[],Transactions[[#This Row],[TTR]],TT_COL_GLFlag)=1, INDEX(TransTypes[],Transactions[[#This Row],[TTR]],TT_COL_LONGORSHORT)="S" ),
      Transactions[[#This Row],[PL]],
      IF(INDEX(TransTypes[],Transactions[[#This Row],[TTR]],TT_COL_LONGORSHORT)="S",0,Transactions[[#This Row],[CalCashImpact]])
)</f>
        <v>-640431.81999999995</v>
      </c>
      <c r="N1597" s="161">
        <f>IF(VLOOKUP(Transactions[[#This Row],[Symbol]],Symbols[],COLUMN(Symbols[Currency])-COLUMN(Symbols[])+1,FALSE)=
       VLOOKUP(Transactions[[#This Row],[Account]],Accounts[],COLUMN(Accounts[Currency])-COLUMN(Accounts[])+1,FALSE),
     Transactions[[#This Row],[OrigCashImpact]],
     0
)</f>
        <v>-640431.81999999995</v>
      </c>
      <c r="O15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381924.47999999986</v>
      </c>
      <c r="P15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5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97" s="41">
        <f>ROW()</f>
        <v>1597</v>
      </c>
      <c r="S15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5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597" s="166">
        <f>IF(INDEX(TransTypes[],Transactions[[#This Row],[TTR]],TT_COL_GLFlag)=1,Transactions[[#This Row],[CalCashImpact]]+Transactions[[#This Row],[CostImpact]],0)</f>
        <v>0</v>
      </c>
      <c r="W1597" s="167">
        <f>Transactions[[#This Row],[Amount]]*INDEX(TransTypes[],Transactions[[#This Row],[TTR]],TT_COL_AmntSign)</f>
        <v>-640431.81999999995</v>
      </c>
      <c r="X1597" s="167">
        <f>IF(INDEX(TransTypes[],Transactions[[#This Row],[TTR]],TT_COL_LONGORSHORT)="S",
      IF( OR(INDEX(TransTypes[],Transactions[[#This Row],[TTR]],TT_COL_GLFlag)=1, INDEX(TransTypes[], Transactions[[#This Row],[TTR]], TT_COL_ShareTransferFlag)=1),
            Transactions[[#This Row],[CostImpact]]*-1,
            Transactions[[#This Row],[CalCashImpact]]
      ),
     0
)</f>
        <v>0</v>
      </c>
      <c r="Y1597" s="168" t="str">
        <f>VLOOKUP(Transactions[[#This Row],[Symbol]],Symbols[], COLUMN(Symbols[Currency])-COLUMN(Symbols[])+1,FALSE)</f>
        <v>CNY</v>
      </c>
    </row>
    <row r="1598" spans="1:25">
      <c r="A1598" s="155" t="s">
        <v>82</v>
      </c>
      <c r="B1598" s="156">
        <v>42873</v>
      </c>
      <c r="C1598" s="155" t="s">
        <v>113</v>
      </c>
      <c r="D1598" s="155"/>
      <c r="E1598" s="155" t="s">
        <v>646</v>
      </c>
      <c r="F1598" s="157">
        <v>4000</v>
      </c>
      <c r="G1598" s="158">
        <v>270</v>
      </c>
      <c r="H1598" s="157">
        <v>4432.1000000000004</v>
      </c>
      <c r="I1598" s="157"/>
      <c r="J1598" s="159">
        <v>1084432.1000000001</v>
      </c>
      <c r="K1598" s="6" t="s">
        <v>641</v>
      </c>
      <c r="L1598" s="20">
        <f>IF(ISNA(MATCH(Transactions[[#This Row],[TransType]],TransTypes[TransType],0)),1,MATCH(Transactions[[#This Row],[TransType]],TransTypes[TransType],0))</f>
        <v>2</v>
      </c>
      <c r="M1598" s="160">
        <f>IF( AND( INDEX(TransTypes[],Transactions[[#This Row],[TTR]],TT_COL_GLFlag)=1, INDEX(TransTypes[],Transactions[[#This Row],[TTR]],TT_COL_LONGORSHORT)="S" ),
      Transactions[[#This Row],[PL]],
      IF(INDEX(TransTypes[],Transactions[[#This Row],[TTR]],TT_COL_LONGORSHORT)="S",0,Transactions[[#This Row],[CalCashImpact]])
)</f>
        <v>-1084432.1000000001</v>
      </c>
      <c r="N1598" s="161">
        <f>IF(VLOOKUP(Transactions[[#This Row],[Symbol]],Symbols[],COLUMN(Symbols[Currency])-COLUMN(Symbols[])+1,FALSE)=
       VLOOKUP(Transactions[[#This Row],[Account]],Accounts[],COLUMN(Accounts[Currency])-COLUMN(Accounts[])+1,FALSE),
     Transactions[[#This Row],[OrigCashImpact]],
     0
)</f>
        <v>0</v>
      </c>
      <c r="O15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381924.47999999986</v>
      </c>
      <c r="P15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5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11000</v>
      </c>
      <c r="R1598" s="41">
        <f>ROW()</f>
        <v>1598</v>
      </c>
      <c r="S15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1084432.1000000001</v>
      </c>
      <c r="T15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2244876.38</v>
      </c>
      <c r="U15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11000</v>
      </c>
      <c r="V1598" s="166">
        <f>IF(INDEX(TransTypes[],Transactions[[#This Row],[TTR]],TT_COL_GLFlag)=1,Transactions[[#This Row],[CalCashImpact]]+Transactions[[#This Row],[CostImpact]],0)</f>
        <v>0</v>
      </c>
      <c r="W1598" s="167">
        <f>Transactions[[#This Row],[Amount]]*INDEX(TransTypes[],Transactions[[#This Row],[TTR]],TT_COL_AmntSign)</f>
        <v>-1084432.1000000001</v>
      </c>
      <c r="X1598" s="167">
        <f>IF(INDEX(TransTypes[],Transactions[[#This Row],[TTR]],TT_COL_LONGORSHORT)="S",
      IF( OR(INDEX(TransTypes[],Transactions[[#This Row],[TTR]],TT_COL_GLFlag)=1, INDEX(TransTypes[], Transactions[[#This Row],[TTR]], TT_COL_ShareTransferFlag)=1),
            Transactions[[#This Row],[CostImpact]]*-1,
            Transactions[[#This Row],[CalCashImpact]]
      ),
     0
)</f>
        <v>0</v>
      </c>
      <c r="Y1598" s="168" t="str">
        <f>VLOOKUP(Transactions[[#This Row],[Symbol]],Symbols[], COLUMN(Symbols[Currency])-COLUMN(Symbols[])+1,FALSE)</f>
        <v>HKD</v>
      </c>
    </row>
    <row r="1599" spans="1:25">
      <c r="A1599" s="155" t="s">
        <v>82</v>
      </c>
      <c r="B1599" s="156">
        <v>42873</v>
      </c>
      <c r="C1599" s="155" t="s">
        <v>115</v>
      </c>
      <c r="D1599" s="155"/>
      <c r="E1599" s="155" t="s">
        <v>268</v>
      </c>
      <c r="F1599" s="157">
        <v>50000</v>
      </c>
      <c r="G1599" s="158">
        <v>7.2320000000000002</v>
      </c>
      <c r="H1599" s="157">
        <v>1512.14</v>
      </c>
      <c r="I1599" s="157"/>
      <c r="J1599" s="159">
        <v>360087.86</v>
      </c>
      <c r="K1599" s="6" t="s">
        <v>641</v>
      </c>
      <c r="L1599" s="20">
        <f>IF(ISNA(MATCH(Transactions[[#This Row],[TransType]],TransTypes[TransType],0)),1,MATCH(Transactions[[#This Row],[TransType]],TransTypes[TransType],0))</f>
        <v>3</v>
      </c>
      <c r="M1599" s="160">
        <f>IF( AND( INDEX(TransTypes[],Transactions[[#This Row],[TTR]],TT_COL_GLFlag)=1, INDEX(TransTypes[],Transactions[[#This Row],[TTR]],TT_COL_LONGORSHORT)="S" ),
      Transactions[[#This Row],[PL]],
      IF(INDEX(TransTypes[],Transactions[[#This Row],[TTR]],TT_COL_LONGORSHORT)="S",0,Transactions[[#This Row],[CalCashImpact]])
)</f>
        <v>360087.86</v>
      </c>
      <c r="N1599" s="161">
        <f>IF(VLOOKUP(Transactions[[#This Row],[Symbol]],Symbols[],COLUMN(Symbols[Currency])-COLUMN(Symbols[])+1,FALSE)=
       VLOOKUP(Transactions[[#This Row],[Account]],Accounts[],COLUMN(Accounts[Currency])-COLUMN(Accounts[])+1,FALSE),
     Transactions[[#This Row],[OrigCashImpact]],
     0
)</f>
        <v>0</v>
      </c>
      <c r="O15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381924.47999999986</v>
      </c>
      <c r="P15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-50000</v>
      </c>
      <c r="Q15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599" s="41">
        <f>ROW()</f>
        <v>1599</v>
      </c>
      <c r="S15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-397820.40750000003</v>
      </c>
      <c r="T15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5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50000</v>
      </c>
      <c r="V1599" s="166">
        <f>IF(INDEX(TransTypes[],Transactions[[#This Row],[TTR]],TT_COL_GLFlag)=1,Transactions[[#This Row],[CalCashImpact]]+Transactions[[#This Row],[CostImpact]],0)</f>
        <v>-37732.547500000044</v>
      </c>
      <c r="W1599" s="167">
        <f>Transactions[[#This Row],[Amount]]*INDEX(TransTypes[],Transactions[[#This Row],[TTR]],TT_COL_AmntSign)</f>
        <v>360087.86</v>
      </c>
      <c r="X1599" s="167">
        <f>IF(INDEX(TransTypes[],Transactions[[#This Row],[TTR]],TT_COL_LONGORSHORT)="S",
      IF( OR(INDEX(TransTypes[],Transactions[[#This Row],[TTR]],TT_COL_GLFlag)=1, INDEX(TransTypes[], Transactions[[#This Row],[TTR]], TT_COL_ShareTransferFlag)=1),
            Transactions[[#This Row],[CostImpact]]*-1,
            Transactions[[#This Row],[CalCashImpact]]
      ),
     0
)</f>
        <v>0</v>
      </c>
      <c r="Y1599" s="168" t="str">
        <f>VLOOKUP(Transactions[[#This Row],[Symbol]],Symbols[], COLUMN(Symbols[Currency])-COLUMN(Symbols[])+1,FALSE)</f>
        <v>HKD</v>
      </c>
    </row>
    <row r="1600" spans="1:25">
      <c r="A1600" s="155" t="s">
        <v>82</v>
      </c>
      <c r="B1600" s="156">
        <v>42877</v>
      </c>
      <c r="C1600" s="155" t="s">
        <v>115</v>
      </c>
      <c r="D1600" s="155"/>
      <c r="E1600" s="155" t="s">
        <v>491</v>
      </c>
      <c r="F1600" s="157">
        <v>67600</v>
      </c>
      <c r="G1600" s="158">
        <v>2.7130000000000001</v>
      </c>
      <c r="H1600" s="157">
        <v>73.36</v>
      </c>
      <c r="I1600" s="157"/>
      <c r="J1600" s="159">
        <v>183325.44</v>
      </c>
      <c r="K1600" s="6" t="s">
        <v>641</v>
      </c>
      <c r="L1600" s="20">
        <f>IF(ISNA(MATCH(Transactions[[#This Row],[TransType]],TransTypes[TransType],0)),1,MATCH(Transactions[[#This Row],[TransType]],TransTypes[TransType],0))</f>
        <v>3</v>
      </c>
      <c r="M1600" s="160">
        <f>IF( AND( INDEX(TransTypes[],Transactions[[#This Row],[TTR]],TT_COL_GLFlag)=1, INDEX(TransTypes[],Transactions[[#This Row],[TTR]],TT_COL_LONGORSHORT)="S" ),
      Transactions[[#This Row],[PL]],
      IF(INDEX(TransTypes[],Transactions[[#This Row],[TTR]],TT_COL_LONGORSHORT)="S",0,Transactions[[#This Row],[CalCashImpact]])
)</f>
        <v>183325.44</v>
      </c>
      <c r="N1600" s="161">
        <f>IF(VLOOKUP(Transactions[[#This Row],[Symbol]],Symbols[],COLUMN(Symbols[Currency])-COLUMN(Symbols[])+1,FALSE)=
       VLOOKUP(Transactions[[#This Row],[Account]],Accounts[],COLUMN(Accounts[Currency])-COLUMN(Accounts[])+1,FALSE),
     Transactions[[#This Row],[OrigCashImpact]],
     0
)</f>
        <v>183325.44</v>
      </c>
      <c r="O16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565249.91999999993</v>
      </c>
      <c r="P16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-67600</v>
      </c>
      <c r="Q16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100000</v>
      </c>
      <c r="R1600" s="41">
        <f>ROW()</f>
        <v>1600</v>
      </c>
      <c r="S16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-181701.74556085918</v>
      </c>
      <c r="T16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268789.56443914084</v>
      </c>
      <c r="U16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167600</v>
      </c>
      <c r="V1600" s="166">
        <f>IF(INDEX(TransTypes[],Transactions[[#This Row],[TTR]],TT_COL_GLFlag)=1,Transactions[[#This Row],[CalCashImpact]]+Transactions[[#This Row],[CostImpact]],0)</f>
        <v>1623.6944391408178</v>
      </c>
      <c r="W1600" s="167">
        <f>Transactions[[#This Row],[Amount]]*INDEX(TransTypes[],Transactions[[#This Row],[TTR]],TT_COL_AmntSign)</f>
        <v>183325.44</v>
      </c>
      <c r="X1600" s="167">
        <f>IF(INDEX(TransTypes[],Transactions[[#This Row],[TTR]],TT_COL_LONGORSHORT)="S",
      IF( OR(INDEX(TransTypes[],Transactions[[#This Row],[TTR]],TT_COL_GLFlag)=1, INDEX(TransTypes[], Transactions[[#This Row],[TTR]], TT_COL_ShareTransferFlag)=1),
            Transactions[[#This Row],[CostImpact]]*-1,
            Transactions[[#This Row],[CalCashImpact]]
      ),
     0
)</f>
        <v>0</v>
      </c>
      <c r="Y1600" s="168" t="str">
        <f>VLOOKUP(Transactions[[#This Row],[Symbol]],Symbols[], COLUMN(Symbols[Currency])-COLUMN(Symbols[])+1,FALSE)</f>
        <v>CNY</v>
      </c>
    </row>
    <row r="1601" spans="1:25">
      <c r="A1601" s="155" t="s">
        <v>82</v>
      </c>
      <c r="B1601" s="156">
        <v>42877</v>
      </c>
      <c r="C1601" s="155" t="s">
        <v>115</v>
      </c>
      <c r="D1601" s="155"/>
      <c r="E1601" s="155" t="s">
        <v>464</v>
      </c>
      <c r="F1601" s="157">
        <v>400</v>
      </c>
      <c r="G1601" s="158">
        <v>441.9</v>
      </c>
      <c r="H1601" s="157">
        <v>251</v>
      </c>
      <c r="I1601" s="157"/>
      <c r="J1601" s="159">
        <v>176509</v>
      </c>
      <c r="K1601" s="6" t="s">
        <v>641</v>
      </c>
      <c r="L1601" s="20">
        <f>IF(ISNA(MATCH(Transactions[[#This Row],[TransType]],TransTypes[TransType],0)),1,MATCH(Transactions[[#This Row],[TransType]],TransTypes[TransType],0))</f>
        <v>3</v>
      </c>
      <c r="M1601" s="160">
        <f>IF( AND( INDEX(TransTypes[],Transactions[[#This Row],[TTR]],TT_COL_GLFlag)=1, INDEX(TransTypes[],Transactions[[#This Row],[TTR]],TT_COL_LONGORSHORT)="S" ),
      Transactions[[#This Row],[PL]],
      IF(INDEX(TransTypes[],Transactions[[#This Row],[TTR]],TT_COL_LONGORSHORT)="S",0,Transactions[[#This Row],[CalCashImpact]])
)</f>
        <v>176509</v>
      </c>
      <c r="N1601" s="161">
        <f>IF(VLOOKUP(Transactions[[#This Row],[Symbol]],Symbols[],COLUMN(Symbols[Currency])-COLUMN(Symbols[])+1,FALSE)=
       VLOOKUP(Transactions[[#This Row],[Account]],Accounts[],COLUMN(Accounts[Currency])-COLUMN(Accounts[])+1,FALSE),
     Transactions[[#This Row],[OrigCashImpact]],
     0
)</f>
        <v>176509</v>
      </c>
      <c r="O16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741758.91999999993</v>
      </c>
      <c r="P16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6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1601" s="41">
        <f>ROW()</f>
        <v>1601</v>
      </c>
      <c r="S16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-150435.80714626666</v>
      </c>
      <c r="T16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300871.61429253337</v>
      </c>
      <c r="U16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v>
      </c>
      <c r="V1601" s="166">
        <f>IF(INDEX(TransTypes[],Transactions[[#This Row],[TTR]],TT_COL_GLFlag)=1,Transactions[[#This Row],[CalCashImpact]]+Transactions[[#This Row],[CostImpact]],0)</f>
        <v>26073.192853733344</v>
      </c>
      <c r="W1601" s="167">
        <f>Transactions[[#This Row],[Amount]]*INDEX(TransTypes[],Transactions[[#This Row],[TTR]],TT_COL_AmntSign)</f>
        <v>176509</v>
      </c>
      <c r="X1601" s="167">
        <f>IF(INDEX(TransTypes[],Transactions[[#This Row],[TTR]],TT_COL_LONGORSHORT)="S",
      IF( OR(INDEX(TransTypes[],Transactions[[#This Row],[TTR]],TT_COL_GLFlag)=1, INDEX(TransTypes[], Transactions[[#This Row],[TTR]], TT_COL_ShareTransferFlag)=1),
            Transactions[[#This Row],[CostImpact]]*-1,
            Transactions[[#This Row],[CalCashImpact]]
      ),
     0
)</f>
        <v>0</v>
      </c>
      <c r="Y1601" s="168" t="str">
        <f>VLOOKUP(Transactions[[#This Row],[Symbol]],Symbols[], COLUMN(Symbols[Currency])-COLUMN(Symbols[])+1,FALSE)</f>
        <v>CNY</v>
      </c>
    </row>
    <row r="1602" spans="1:25">
      <c r="A1602" s="155" t="s">
        <v>82</v>
      </c>
      <c r="B1602" s="156">
        <v>42877</v>
      </c>
      <c r="C1602" s="155" t="s">
        <v>152</v>
      </c>
      <c r="D1602" s="155"/>
      <c r="E1602" s="155" t="s">
        <v>210</v>
      </c>
      <c r="F1602" s="157">
        <v>484069.05</v>
      </c>
      <c r="G1602" s="158">
        <f>Transactions[[#This Row],[Amount]]/Transactions[[#This Row],[Qty]]</f>
        <v>1.1309147527609955</v>
      </c>
      <c r="H1602" s="157"/>
      <c r="I1602" s="157"/>
      <c r="J1602" s="159">
        <v>547440.82999999996</v>
      </c>
      <c r="K1602" s="6" t="s">
        <v>751</v>
      </c>
      <c r="L1602" s="20">
        <f>IF(ISNA(MATCH(Transactions[[#This Row],[TransType]],TransTypes[TransType],0)),1,MATCH(Transactions[[#This Row],[TransType]],TransTypes[TransType],0))</f>
        <v>15</v>
      </c>
      <c r="M1602" s="160">
        <f>IF( AND( INDEX(TransTypes[],Transactions[[#This Row],[TTR]],TT_COL_GLFlag)=1, INDEX(TransTypes[],Transactions[[#This Row],[TTR]],TT_COL_LONGORSHORT)="S" ),
      Transactions[[#This Row],[PL]],
      IF(INDEX(TransTypes[],Transactions[[#This Row],[TTR]],TT_COL_LONGORSHORT)="S",0,Transactions[[#This Row],[CalCashImpact]])
)</f>
        <v>547440.82999999996</v>
      </c>
      <c r="N1602" s="161">
        <f>IF(VLOOKUP(Transactions[[#This Row],[Symbol]],Symbols[],COLUMN(Symbols[Currency])-COLUMN(Symbols[])+1,FALSE)=
       VLOOKUP(Transactions[[#This Row],[Account]],Accounts[],COLUMN(Accounts[Currency])-COLUMN(Accounts[])+1,FALSE),
     Transactions[[#This Row],[OrigCashImpact]],
     0
)</f>
        <v>0</v>
      </c>
      <c r="O16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741758.91999999993</v>
      </c>
      <c r="P16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02" s="41">
        <f>ROW()</f>
        <v>1602</v>
      </c>
      <c r="S16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02" s="166">
        <f>IF(INDEX(TransTypes[],Transactions[[#This Row],[TTR]],TT_COL_GLFlag)=1,Transactions[[#This Row],[CalCashImpact]]+Transactions[[#This Row],[CostImpact]],0)</f>
        <v>0</v>
      </c>
      <c r="W1602" s="167">
        <f>Transactions[[#This Row],[Amount]]*INDEX(TransTypes[],Transactions[[#This Row],[TTR]],TT_COL_AmntSign)</f>
        <v>547440.82999999996</v>
      </c>
      <c r="X1602" s="167">
        <f>IF(INDEX(TransTypes[],Transactions[[#This Row],[TTR]],TT_COL_LONGORSHORT)="S",
      IF( OR(INDEX(TransTypes[],Transactions[[#This Row],[TTR]],TT_COL_GLFlag)=1, INDEX(TransTypes[], Transactions[[#This Row],[TTR]], TT_COL_ShareTransferFlag)=1),
            Transactions[[#This Row],[CostImpact]]*-1,
            Transactions[[#This Row],[CalCashImpact]]
      ),
     0
)</f>
        <v>0</v>
      </c>
      <c r="Y1602" s="168" t="str">
        <f>VLOOKUP(Transactions[[#This Row],[Symbol]],Symbols[], COLUMN(Symbols[Currency])-COLUMN(Symbols[])+1,FALSE)</f>
        <v>HKD</v>
      </c>
    </row>
    <row r="1603" spans="1:25">
      <c r="A1603" s="155" t="s">
        <v>82</v>
      </c>
      <c r="B1603" s="156">
        <v>42877</v>
      </c>
      <c r="C1603" s="155" t="s">
        <v>238</v>
      </c>
      <c r="D1603" s="155"/>
      <c r="E1603" s="155" t="s">
        <v>211</v>
      </c>
      <c r="F1603" s="157">
        <v>484069.05</v>
      </c>
      <c r="G1603" s="158">
        <v>1</v>
      </c>
      <c r="H1603" s="157"/>
      <c r="I1603" s="157"/>
      <c r="J1603" s="159">
        <v>484069.05</v>
      </c>
      <c r="K1603" s="6" t="s">
        <v>752</v>
      </c>
      <c r="L1603" s="20">
        <f>IF(ISNA(MATCH(Transactions[[#This Row],[TransType]],TransTypes[TransType],0)),1,MATCH(Transactions[[#This Row],[TransType]],TransTypes[TransType],0))</f>
        <v>16</v>
      </c>
      <c r="M1603" s="160">
        <f>IF( AND( INDEX(TransTypes[],Transactions[[#This Row],[TTR]],TT_COL_GLFlag)=1, INDEX(TransTypes[],Transactions[[#This Row],[TTR]],TT_COL_LONGORSHORT)="S" ),
      Transactions[[#This Row],[PL]],
      IF(INDEX(TransTypes[],Transactions[[#This Row],[TTR]],TT_COL_LONGORSHORT)="S",0,Transactions[[#This Row],[CalCashImpact]])
)</f>
        <v>-484069.05</v>
      </c>
      <c r="N1603" s="161">
        <f>IF(VLOOKUP(Transactions[[#This Row],[Symbol]],Symbols[],COLUMN(Symbols[Currency])-COLUMN(Symbols[])+1,FALSE)=
       VLOOKUP(Transactions[[#This Row],[Account]],Accounts[],COLUMN(Accounts[Currency])-COLUMN(Accounts[])+1,FALSE),
     Transactions[[#This Row],[OrigCashImpact]],
     0
)</f>
        <v>-484069.05</v>
      </c>
      <c r="O16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257689.86999999988</v>
      </c>
      <c r="P16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03" s="41">
        <f>ROW()</f>
        <v>1603</v>
      </c>
      <c r="S16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03" s="166">
        <f>IF(INDEX(TransTypes[],Transactions[[#This Row],[TTR]],TT_COL_GLFlag)=1,Transactions[[#This Row],[CalCashImpact]]+Transactions[[#This Row],[CostImpact]],0)</f>
        <v>0</v>
      </c>
      <c r="W1603" s="167">
        <f>Transactions[[#This Row],[Amount]]*INDEX(TransTypes[],Transactions[[#This Row],[TTR]],TT_COL_AmntSign)</f>
        <v>-484069.05</v>
      </c>
      <c r="X1603" s="167">
        <f>IF(INDEX(TransTypes[],Transactions[[#This Row],[TTR]],TT_COL_LONGORSHORT)="S",
      IF( OR(INDEX(TransTypes[],Transactions[[#This Row],[TTR]],TT_COL_GLFlag)=1, INDEX(TransTypes[], Transactions[[#This Row],[TTR]], TT_COL_ShareTransferFlag)=1),
            Transactions[[#This Row],[CostImpact]]*-1,
            Transactions[[#This Row],[CalCashImpact]]
      ),
     0
)</f>
        <v>0</v>
      </c>
      <c r="Y1603" s="168" t="str">
        <f>VLOOKUP(Transactions[[#This Row],[Symbol]],Symbols[], COLUMN(Symbols[Currency])-COLUMN(Symbols[])+1,FALSE)</f>
        <v>CNY</v>
      </c>
    </row>
    <row r="1604" spans="1:25">
      <c r="A1604" s="155" t="s">
        <v>82</v>
      </c>
      <c r="B1604" s="156">
        <v>42877</v>
      </c>
      <c r="C1604" s="155" t="s">
        <v>113</v>
      </c>
      <c r="D1604" s="155"/>
      <c r="E1604" s="155" t="s">
        <v>646</v>
      </c>
      <c r="F1604" s="157">
        <v>2000</v>
      </c>
      <c r="G1604" s="158">
        <v>272.60000000000002</v>
      </c>
      <c r="H1604" s="157">
        <v>2240.83</v>
      </c>
      <c r="I1604" s="157"/>
      <c r="J1604" s="159">
        <v>547440.82999999996</v>
      </c>
      <c r="K1604" s="6" t="s">
        <v>641</v>
      </c>
      <c r="L1604" s="20">
        <f>IF(ISNA(MATCH(Transactions[[#This Row],[TransType]],TransTypes[TransType],0)),1,MATCH(Transactions[[#This Row],[TransType]],TransTypes[TransType],0))</f>
        <v>2</v>
      </c>
      <c r="M1604" s="160">
        <f>IF( AND( INDEX(TransTypes[],Transactions[[#This Row],[TTR]],TT_COL_GLFlag)=1, INDEX(TransTypes[],Transactions[[#This Row],[TTR]],TT_COL_LONGORSHORT)="S" ),
      Transactions[[#This Row],[PL]],
      IF(INDEX(TransTypes[],Transactions[[#This Row],[TTR]],TT_COL_LONGORSHORT)="S",0,Transactions[[#This Row],[CalCashImpact]])
)</f>
        <v>-547440.82999999996</v>
      </c>
      <c r="N1604" s="161">
        <f>IF(VLOOKUP(Transactions[[#This Row],[Symbol]],Symbols[],COLUMN(Symbols[Currency])-COLUMN(Symbols[])+1,FALSE)=
       VLOOKUP(Transactions[[#This Row],[Account]],Accounts[],COLUMN(Accounts[Currency])-COLUMN(Accounts[])+1,FALSE),
     Transactions[[#This Row],[OrigCashImpact]],
     0
)</f>
        <v>0</v>
      </c>
      <c r="O16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257689.86999999988</v>
      </c>
      <c r="P16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604" s="41">
        <f>ROW()</f>
        <v>1604</v>
      </c>
      <c r="S16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547440.82999999996</v>
      </c>
      <c r="T16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2792317.21</v>
      </c>
      <c r="U16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604" s="166">
        <f>IF(INDEX(TransTypes[],Transactions[[#This Row],[TTR]],TT_COL_GLFlag)=1,Transactions[[#This Row],[CalCashImpact]]+Transactions[[#This Row],[CostImpact]],0)</f>
        <v>0</v>
      </c>
      <c r="W1604" s="167">
        <f>Transactions[[#This Row],[Amount]]*INDEX(TransTypes[],Transactions[[#This Row],[TTR]],TT_COL_AmntSign)</f>
        <v>-547440.82999999996</v>
      </c>
      <c r="X1604" s="167">
        <f>IF(INDEX(TransTypes[],Transactions[[#This Row],[TTR]],TT_COL_LONGORSHORT)="S",
      IF( OR(INDEX(TransTypes[],Transactions[[#This Row],[TTR]],TT_COL_GLFlag)=1, INDEX(TransTypes[], Transactions[[#This Row],[TTR]], TT_COL_ShareTransferFlag)=1),
            Transactions[[#This Row],[CostImpact]]*-1,
            Transactions[[#This Row],[CalCashImpact]]
      ),
     0
)</f>
        <v>0</v>
      </c>
      <c r="Y1604" s="168" t="str">
        <f>VLOOKUP(Transactions[[#This Row],[Symbol]],Symbols[], COLUMN(Symbols[Currency])-COLUMN(Symbols[])+1,FALSE)</f>
        <v>HKD</v>
      </c>
    </row>
    <row r="1605" spans="1:25">
      <c r="A1605" s="155" t="s">
        <v>82</v>
      </c>
      <c r="B1605" s="156">
        <v>42879</v>
      </c>
      <c r="C1605" s="155" t="s">
        <v>113</v>
      </c>
      <c r="D1605" s="155"/>
      <c r="E1605" s="155" t="s">
        <v>704</v>
      </c>
      <c r="F1605" s="157">
        <v>2000</v>
      </c>
      <c r="G1605" s="158">
        <v>21.37</v>
      </c>
      <c r="H1605" s="157">
        <v>17.100000000000001</v>
      </c>
      <c r="I1605" s="157"/>
      <c r="J1605" s="159">
        <v>42757.1</v>
      </c>
      <c r="K1605" s="6" t="s">
        <v>641</v>
      </c>
      <c r="L1605" s="20">
        <f>IF(ISNA(MATCH(Transactions[[#This Row],[TransType]],TransTypes[TransType],0)),1,MATCH(Transactions[[#This Row],[TransType]],TransTypes[TransType],0))</f>
        <v>2</v>
      </c>
      <c r="M1605" s="160">
        <f>IF( AND( INDEX(TransTypes[],Transactions[[#This Row],[TTR]],TT_COL_GLFlag)=1, INDEX(TransTypes[],Transactions[[#This Row],[TTR]],TT_COL_LONGORSHORT)="S" ),
      Transactions[[#This Row],[PL]],
      IF(INDEX(TransTypes[],Transactions[[#This Row],[TTR]],TT_COL_LONGORSHORT)="S",0,Transactions[[#This Row],[CalCashImpact]])
)</f>
        <v>-42757.1</v>
      </c>
      <c r="N1605" s="161">
        <f>IF(VLOOKUP(Transactions[[#This Row],[Symbol]],Symbols[],COLUMN(Symbols[Currency])-COLUMN(Symbols[])+1,FALSE)=
       VLOOKUP(Transactions[[#This Row],[Account]],Accounts[],COLUMN(Accounts[Currency])-COLUMN(Accounts[])+1,FALSE),
     Transactions[[#This Row],[OrigCashImpact]],
     0
)</f>
        <v>-42757.1</v>
      </c>
      <c r="O16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214932.76999999993</v>
      </c>
      <c r="P16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605" s="41">
        <f>ROW()</f>
        <v>1605</v>
      </c>
      <c r="S16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42757.1</v>
      </c>
      <c r="T16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129758.5283173077</v>
      </c>
      <c r="U16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605" s="166">
        <f>IF(INDEX(TransTypes[],Transactions[[#This Row],[TTR]],TT_COL_GLFlag)=1,Transactions[[#This Row],[CalCashImpact]]+Transactions[[#This Row],[CostImpact]],0)</f>
        <v>0</v>
      </c>
      <c r="W1605" s="167">
        <f>Transactions[[#This Row],[Amount]]*INDEX(TransTypes[],Transactions[[#This Row],[TTR]],TT_COL_AmntSign)</f>
        <v>-42757.1</v>
      </c>
      <c r="X1605" s="167">
        <f>IF(INDEX(TransTypes[],Transactions[[#This Row],[TTR]],TT_COL_LONGORSHORT)="S",
      IF( OR(INDEX(TransTypes[],Transactions[[#This Row],[TTR]],TT_COL_GLFlag)=1, INDEX(TransTypes[], Transactions[[#This Row],[TTR]], TT_COL_ShareTransferFlag)=1),
            Transactions[[#This Row],[CostImpact]]*-1,
            Transactions[[#This Row],[CalCashImpact]]
      ),
     0
)</f>
        <v>0</v>
      </c>
      <c r="Y1605" s="168" t="str">
        <f>VLOOKUP(Transactions[[#This Row],[Symbol]],Symbols[], COLUMN(Symbols[Currency])-COLUMN(Symbols[])+1,FALSE)</f>
        <v>CNY</v>
      </c>
    </row>
    <row r="1606" spans="1:25">
      <c r="A1606" s="155" t="s">
        <v>82</v>
      </c>
      <c r="B1606" s="156">
        <v>42879</v>
      </c>
      <c r="C1606" s="155" t="s">
        <v>115</v>
      </c>
      <c r="D1606" s="155"/>
      <c r="E1606" s="155" t="s">
        <v>468</v>
      </c>
      <c r="F1606" s="157">
        <v>2000</v>
      </c>
      <c r="G1606" s="158">
        <v>43.16</v>
      </c>
      <c r="H1606" s="157">
        <v>122.58</v>
      </c>
      <c r="I1606" s="157"/>
      <c r="J1606" s="159">
        <v>86197.42</v>
      </c>
      <c r="K1606" s="6" t="s">
        <v>641</v>
      </c>
      <c r="L1606" s="20">
        <f>IF(ISNA(MATCH(Transactions[[#This Row],[TransType]],TransTypes[TransType],0)),1,MATCH(Transactions[[#This Row],[TransType]],TransTypes[TransType],0))</f>
        <v>3</v>
      </c>
      <c r="M1606" s="160">
        <f>IF( AND( INDEX(TransTypes[],Transactions[[#This Row],[TTR]],TT_COL_GLFlag)=1, INDEX(TransTypes[],Transactions[[#This Row],[TTR]],TT_COL_LONGORSHORT)="S" ),
      Transactions[[#This Row],[PL]],
      IF(INDEX(TransTypes[],Transactions[[#This Row],[TTR]],TT_COL_LONGORSHORT)="S",0,Transactions[[#This Row],[CalCashImpact]])
)</f>
        <v>86197.42</v>
      </c>
      <c r="N1606" s="161">
        <f>IF(VLOOKUP(Transactions[[#This Row],[Symbol]],Symbols[],COLUMN(Symbols[Currency])-COLUMN(Symbols[])+1,FALSE)=
       VLOOKUP(Transactions[[#This Row],[Account]],Accounts[],COLUMN(Accounts[Currency])-COLUMN(Accounts[])+1,FALSE),
     Transactions[[#This Row],[OrigCashImpact]],
     0
)</f>
        <v>86197.42</v>
      </c>
      <c r="O16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301130.18999999994</v>
      </c>
      <c r="P16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606" s="41">
        <f>ROW()</f>
        <v>1606</v>
      </c>
      <c r="S16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-73341.971214285717</v>
      </c>
      <c r="T16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733419.71214285726</v>
      </c>
      <c r="U16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22000</v>
      </c>
      <c r="V1606" s="166">
        <f>IF(INDEX(TransTypes[],Transactions[[#This Row],[TTR]],TT_COL_GLFlag)=1,Transactions[[#This Row],[CalCashImpact]]+Transactions[[#This Row],[CostImpact]],0)</f>
        <v>12855.448785714281</v>
      </c>
      <c r="W1606" s="167">
        <f>Transactions[[#This Row],[Amount]]*INDEX(TransTypes[],Transactions[[#This Row],[TTR]],TT_COL_AmntSign)</f>
        <v>86197.42</v>
      </c>
      <c r="X1606" s="167">
        <f>IF(INDEX(TransTypes[],Transactions[[#This Row],[TTR]],TT_COL_LONGORSHORT)="S",
      IF( OR(INDEX(TransTypes[],Transactions[[#This Row],[TTR]],TT_COL_GLFlag)=1, INDEX(TransTypes[], Transactions[[#This Row],[TTR]], TT_COL_ShareTransferFlag)=1),
            Transactions[[#This Row],[CostImpact]]*-1,
            Transactions[[#This Row],[CalCashImpact]]
      ),
     0
)</f>
        <v>0</v>
      </c>
      <c r="Y1606" s="168" t="str">
        <f>VLOOKUP(Transactions[[#This Row],[Symbol]],Symbols[], COLUMN(Symbols[Currency])-COLUMN(Symbols[])+1,FALSE)</f>
        <v>CNY</v>
      </c>
    </row>
    <row r="1607" spans="1:25">
      <c r="A1607" s="155" t="s">
        <v>82</v>
      </c>
      <c r="B1607" s="156">
        <v>42880</v>
      </c>
      <c r="C1607" s="155" t="s">
        <v>115</v>
      </c>
      <c r="D1607" s="155"/>
      <c r="E1607" s="155" t="s">
        <v>468</v>
      </c>
      <c r="F1607" s="157">
        <v>2000</v>
      </c>
      <c r="G1607" s="158">
        <v>44.08</v>
      </c>
      <c r="H1607" s="157">
        <v>125.18</v>
      </c>
      <c r="I1607" s="157"/>
      <c r="J1607" s="159">
        <v>88034.82</v>
      </c>
      <c r="K1607" s="6" t="s">
        <v>641</v>
      </c>
      <c r="L1607" s="20">
        <f>IF(ISNA(MATCH(Transactions[[#This Row],[TransType]],TransTypes[TransType],0)),1,MATCH(Transactions[[#This Row],[TransType]],TransTypes[TransType],0))</f>
        <v>3</v>
      </c>
      <c r="M1607" s="160">
        <f>IF( AND( INDEX(TransTypes[],Transactions[[#This Row],[TTR]],TT_COL_GLFlag)=1, INDEX(TransTypes[],Transactions[[#This Row],[TTR]],TT_COL_LONGORSHORT)="S" ),
      Transactions[[#This Row],[PL]],
      IF(INDEX(TransTypes[],Transactions[[#This Row],[TTR]],TT_COL_LONGORSHORT)="S",0,Transactions[[#This Row],[CalCashImpact]])
)</f>
        <v>88034.82</v>
      </c>
      <c r="N1607" s="161">
        <f>IF(VLOOKUP(Transactions[[#This Row],[Symbol]],Symbols[],COLUMN(Symbols[Currency])-COLUMN(Symbols[])+1,FALSE)=
       VLOOKUP(Transactions[[#This Row],[Account]],Accounts[],COLUMN(Accounts[Currency])-COLUMN(Accounts[])+1,FALSE),
     Transactions[[#This Row],[OrigCashImpact]],
     0
)</f>
        <v>88034.82</v>
      </c>
      <c r="O16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389165.00999999995</v>
      </c>
      <c r="P16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18000</v>
      </c>
      <c r="R1607" s="41">
        <f>ROW()</f>
        <v>1607</v>
      </c>
      <c r="S16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-73341.971214285717</v>
      </c>
      <c r="T16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660077.74092857155</v>
      </c>
      <c r="U16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607" s="166">
        <f>IF(INDEX(TransTypes[],Transactions[[#This Row],[TTR]],TT_COL_GLFlag)=1,Transactions[[#This Row],[CalCashImpact]]+Transactions[[#This Row],[CostImpact]],0)</f>
        <v>14692.84878571429</v>
      </c>
      <c r="W1607" s="167">
        <f>Transactions[[#This Row],[Amount]]*INDEX(TransTypes[],Transactions[[#This Row],[TTR]],TT_COL_AmntSign)</f>
        <v>88034.82</v>
      </c>
      <c r="X1607" s="167">
        <f>IF(INDEX(TransTypes[],Transactions[[#This Row],[TTR]],TT_COL_LONGORSHORT)="S",
      IF( OR(INDEX(TransTypes[],Transactions[[#This Row],[TTR]],TT_COL_GLFlag)=1, INDEX(TransTypes[], Transactions[[#This Row],[TTR]], TT_COL_ShareTransferFlag)=1),
            Transactions[[#This Row],[CostImpact]]*-1,
            Transactions[[#This Row],[CalCashImpact]]
      ),
     0
)</f>
        <v>0</v>
      </c>
      <c r="Y1607" s="168" t="str">
        <f>VLOOKUP(Transactions[[#This Row],[Symbol]],Symbols[], COLUMN(Symbols[Currency])-COLUMN(Symbols[])+1,FALSE)</f>
        <v>CNY</v>
      </c>
    </row>
    <row r="1608" spans="1:25">
      <c r="A1608" s="155" t="s">
        <v>82</v>
      </c>
      <c r="B1608" s="156">
        <v>42880</v>
      </c>
      <c r="C1608" s="155" t="s">
        <v>115</v>
      </c>
      <c r="D1608" s="155"/>
      <c r="E1608" s="155" t="s">
        <v>480</v>
      </c>
      <c r="F1608" s="157">
        <v>1000</v>
      </c>
      <c r="G1608" s="158">
        <v>59.34</v>
      </c>
      <c r="H1608" s="157">
        <v>84.27</v>
      </c>
      <c r="I1608" s="157"/>
      <c r="J1608" s="159">
        <v>59255.73</v>
      </c>
      <c r="K1608" s="6" t="s">
        <v>641</v>
      </c>
      <c r="L1608" s="20">
        <f>IF(ISNA(MATCH(Transactions[[#This Row],[TransType]],TransTypes[TransType],0)),1,MATCH(Transactions[[#This Row],[TransType]],TransTypes[TransType],0))</f>
        <v>3</v>
      </c>
      <c r="M1608" s="160">
        <f>IF( AND( INDEX(TransTypes[],Transactions[[#This Row],[TTR]],TT_COL_GLFlag)=1, INDEX(TransTypes[],Transactions[[#This Row],[TTR]],TT_COL_LONGORSHORT)="S" ),
      Transactions[[#This Row],[PL]],
      IF(INDEX(TransTypes[],Transactions[[#This Row],[TTR]],TT_COL_LONGORSHORT)="S",0,Transactions[[#This Row],[CalCashImpact]])
)</f>
        <v>59255.73</v>
      </c>
      <c r="N1608" s="161">
        <f>IF(VLOOKUP(Transactions[[#This Row],[Symbol]],Symbols[],COLUMN(Symbols[Currency])-COLUMN(Symbols[])+1,FALSE)=
       VLOOKUP(Transactions[[#This Row],[Account]],Accounts[],COLUMN(Accounts[Currency])-COLUMN(Accounts[])+1,FALSE),
     Transactions[[#This Row],[OrigCashImpact]],
     0
)</f>
        <v>59255.73</v>
      </c>
      <c r="O16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448420.74</v>
      </c>
      <c r="P16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6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608" s="41">
        <f>ROW()</f>
        <v>1608</v>
      </c>
      <c r="S16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-52596.71573770493</v>
      </c>
      <c r="T16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262983.57868852461</v>
      </c>
      <c r="U16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608" s="166">
        <f>IF(INDEX(TransTypes[],Transactions[[#This Row],[TTR]],TT_COL_GLFlag)=1,Transactions[[#This Row],[CalCashImpact]]+Transactions[[#This Row],[CostImpact]],0)</f>
        <v>6659.0142622950734</v>
      </c>
      <c r="W1608" s="167">
        <f>Transactions[[#This Row],[Amount]]*INDEX(TransTypes[],Transactions[[#This Row],[TTR]],TT_COL_AmntSign)</f>
        <v>59255.73</v>
      </c>
      <c r="X1608" s="167">
        <f>IF(INDEX(TransTypes[],Transactions[[#This Row],[TTR]],TT_COL_LONGORSHORT)="S",
      IF( OR(INDEX(TransTypes[],Transactions[[#This Row],[TTR]],TT_COL_GLFlag)=1, INDEX(TransTypes[], Transactions[[#This Row],[TTR]], TT_COL_ShareTransferFlag)=1),
            Transactions[[#This Row],[CostImpact]]*-1,
            Transactions[[#This Row],[CalCashImpact]]
      ),
     0
)</f>
        <v>0</v>
      </c>
      <c r="Y1608" s="168" t="str">
        <f>VLOOKUP(Transactions[[#This Row],[Symbol]],Symbols[], COLUMN(Symbols[Currency])-COLUMN(Symbols[])+1,FALSE)</f>
        <v>CNY</v>
      </c>
    </row>
    <row r="1609" spans="1:25">
      <c r="A1609" s="155" t="s">
        <v>82</v>
      </c>
      <c r="B1609" s="156">
        <v>42880</v>
      </c>
      <c r="C1609" s="155" t="s">
        <v>115</v>
      </c>
      <c r="D1609" s="155"/>
      <c r="E1609" s="155" t="s">
        <v>464</v>
      </c>
      <c r="F1609" s="157">
        <v>100</v>
      </c>
      <c r="G1609" s="158">
        <v>449.48</v>
      </c>
      <c r="H1609" s="157">
        <v>63.83</v>
      </c>
      <c r="I1609" s="157"/>
      <c r="J1609" s="159">
        <v>44884.17</v>
      </c>
      <c r="K1609" s="6" t="s">
        <v>641</v>
      </c>
      <c r="L1609" s="20">
        <f>IF(ISNA(MATCH(Transactions[[#This Row],[TransType]],TransTypes[TransType],0)),1,MATCH(Transactions[[#This Row],[TransType]],TransTypes[TransType],0))</f>
        <v>3</v>
      </c>
      <c r="M1609" s="160">
        <f>IF( AND( INDEX(TransTypes[],Transactions[[#This Row],[TTR]],TT_COL_GLFlag)=1, INDEX(TransTypes[],Transactions[[#This Row],[TTR]],TT_COL_LONGORSHORT)="S" ),
      Transactions[[#This Row],[PL]],
      IF(INDEX(TransTypes[],Transactions[[#This Row],[TTR]],TT_COL_LONGORSHORT)="S",0,Transactions[[#This Row],[CalCashImpact]])
)</f>
        <v>44884.17</v>
      </c>
      <c r="N1609" s="161">
        <f>IF(VLOOKUP(Transactions[[#This Row],[Symbol]],Symbols[],COLUMN(Symbols[Currency])-COLUMN(Symbols[])+1,FALSE)=
       VLOOKUP(Transactions[[#This Row],[Account]],Accounts[],COLUMN(Accounts[Currency])-COLUMN(Accounts[])+1,FALSE),
     Transactions[[#This Row],[OrigCashImpact]],
     0
)</f>
        <v>44884.17</v>
      </c>
      <c r="O16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493304.91</v>
      </c>
      <c r="P16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6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1609" s="41">
        <f>ROW()</f>
        <v>1609</v>
      </c>
      <c r="S16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-37608.951786566671</v>
      </c>
      <c r="T16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263262.66250596673</v>
      </c>
      <c r="U16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609" s="166">
        <f>IF(INDEX(TransTypes[],Transactions[[#This Row],[TTR]],TT_COL_GLFlag)=1,Transactions[[#This Row],[CalCashImpact]]+Transactions[[#This Row],[CostImpact]],0)</f>
        <v>7275.218213433327</v>
      </c>
      <c r="W1609" s="167">
        <f>Transactions[[#This Row],[Amount]]*INDEX(TransTypes[],Transactions[[#This Row],[TTR]],TT_COL_AmntSign)</f>
        <v>44884.17</v>
      </c>
      <c r="X1609" s="167">
        <f>IF(INDEX(TransTypes[],Transactions[[#This Row],[TTR]],TT_COL_LONGORSHORT)="S",
      IF( OR(INDEX(TransTypes[],Transactions[[#This Row],[TTR]],TT_COL_GLFlag)=1, INDEX(TransTypes[], Transactions[[#This Row],[TTR]], TT_COL_ShareTransferFlag)=1),
            Transactions[[#This Row],[CostImpact]]*-1,
            Transactions[[#This Row],[CalCashImpact]]
      ),
     0
)</f>
        <v>0</v>
      </c>
      <c r="Y1609" s="168" t="str">
        <f>VLOOKUP(Transactions[[#This Row],[Symbol]],Symbols[], COLUMN(Symbols[Currency])-COLUMN(Symbols[])+1,FALSE)</f>
        <v>CNY</v>
      </c>
    </row>
    <row r="1610" spans="1:25">
      <c r="A1610" s="155" t="s">
        <v>82</v>
      </c>
      <c r="B1610" s="156">
        <v>42880</v>
      </c>
      <c r="C1610" s="155" t="s">
        <v>113</v>
      </c>
      <c r="D1610" s="155"/>
      <c r="E1610" s="155" t="s">
        <v>736</v>
      </c>
      <c r="F1610" s="157">
        <v>9000</v>
      </c>
      <c r="G1610" s="158">
        <v>23.98</v>
      </c>
      <c r="H1610" s="157">
        <v>90.64</v>
      </c>
      <c r="I1610" s="157"/>
      <c r="J1610" s="159">
        <v>215910.64</v>
      </c>
      <c r="K1610" s="6" t="s">
        <v>641</v>
      </c>
      <c r="L1610" s="20">
        <f>IF(ISNA(MATCH(Transactions[[#This Row],[TransType]],TransTypes[TransType],0)),1,MATCH(Transactions[[#This Row],[TransType]],TransTypes[TransType],0))</f>
        <v>2</v>
      </c>
      <c r="M1610" s="160">
        <f>IF( AND( INDEX(TransTypes[],Transactions[[#This Row],[TTR]],TT_COL_GLFlag)=1, INDEX(TransTypes[],Transactions[[#This Row],[TTR]],TT_COL_LONGORSHORT)="S" ),
      Transactions[[#This Row],[PL]],
      IF(INDEX(TransTypes[],Transactions[[#This Row],[TTR]],TT_COL_LONGORSHORT)="S",0,Transactions[[#This Row],[CalCashImpact]])
)</f>
        <v>-215910.64</v>
      </c>
      <c r="N1610" s="161">
        <f>IF(VLOOKUP(Transactions[[#This Row],[Symbol]],Symbols[],COLUMN(Symbols[Currency])-COLUMN(Symbols[])+1,FALSE)=
       VLOOKUP(Transactions[[#This Row],[Account]],Accounts[],COLUMN(Accounts[Currency])-COLUMN(Accounts[])+1,FALSE),
     Transactions[[#This Row],[OrigCashImpact]],
     0
)</f>
        <v>-215910.64</v>
      </c>
      <c r="O16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277394.26999999996</v>
      </c>
      <c r="P16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9000</v>
      </c>
      <c r="Q16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610" s="41">
        <f>ROW()</f>
        <v>1610</v>
      </c>
      <c r="S16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215910.64</v>
      </c>
      <c r="T16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215910.64</v>
      </c>
      <c r="U16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610" s="166">
        <f>IF(INDEX(TransTypes[],Transactions[[#This Row],[TTR]],TT_COL_GLFlag)=1,Transactions[[#This Row],[CalCashImpact]]+Transactions[[#This Row],[CostImpact]],0)</f>
        <v>0</v>
      </c>
      <c r="W1610" s="167">
        <f>Transactions[[#This Row],[Amount]]*INDEX(TransTypes[],Transactions[[#This Row],[TTR]],TT_COL_AmntSign)</f>
        <v>-215910.64</v>
      </c>
      <c r="X1610" s="167">
        <f>IF(INDEX(TransTypes[],Transactions[[#This Row],[TTR]],TT_COL_LONGORSHORT)="S",
      IF( OR(INDEX(TransTypes[],Transactions[[#This Row],[TTR]],TT_COL_GLFlag)=1, INDEX(TransTypes[], Transactions[[#This Row],[TTR]], TT_COL_ShareTransferFlag)=1),
            Transactions[[#This Row],[CostImpact]]*-1,
            Transactions[[#This Row],[CalCashImpact]]
      ),
     0
)</f>
        <v>0</v>
      </c>
      <c r="Y1610" s="168" t="str">
        <f>VLOOKUP(Transactions[[#This Row],[Symbol]],Symbols[], COLUMN(Symbols[Currency])-COLUMN(Symbols[])+1,FALSE)</f>
        <v>CNY</v>
      </c>
    </row>
    <row r="1611" spans="1:25">
      <c r="A1611" s="155" t="s">
        <v>82</v>
      </c>
      <c r="B1611" s="156">
        <v>42880</v>
      </c>
      <c r="C1611" s="155" t="s">
        <v>115</v>
      </c>
      <c r="D1611" s="155"/>
      <c r="E1611" s="155" t="s">
        <v>474</v>
      </c>
      <c r="F1611" s="157">
        <v>8000</v>
      </c>
      <c r="G1611" s="158">
        <v>18.37</v>
      </c>
      <c r="H1611" s="157">
        <v>205.74</v>
      </c>
      <c r="I1611" s="157"/>
      <c r="J1611" s="159">
        <v>146754.26</v>
      </c>
      <c r="K1611" s="6" t="s">
        <v>641</v>
      </c>
      <c r="L1611" s="20">
        <f>IF(ISNA(MATCH(Transactions[[#This Row],[TransType]],TransTypes[TransType],0)),1,MATCH(Transactions[[#This Row],[TransType]],TransTypes[TransType],0))</f>
        <v>3</v>
      </c>
      <c r="M1611" s="160">
        <f>IF( AND( INDEX(TransTypes[],Transactions[[#This Row],[TTR]],TT_COL_GLFlag)=1, INDEX(TransTypes[],Transactions[[#This Row],[TTR]],TT_COL_LONGORSHORT)="S" ),
      Transactions[[#This Row],[PL]],
      IF(INDEX(TransTypes[],Transactions[[#This Row],[TTR]],TT_COL_LONGORSHORT)="S",0,Transactions[[#This Row],[CalCashImpact]])
)</f>
        <v>146754.26</v>
      </c>
      <c r="N1611" s="161">
        <f>IF(VLOOKUP(Transactions[[#This Row],[Symbol]],Symbols[],COLUMN(Symbols[Currency])-COLUMN(Symbols[])+1,FALSE)=
       VLOOKUP(Transactions[[#This Row],[Account]],Accounts[],COLUMN(Accounts[Currency])-COLUMN(Accounts[])+1,FALSE),
     Transactions[[#This Row],[OrigCashImpact]],
     0
)</f>
        <v>146754.26</v>
      </c>
      <c r="O16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424148.52999999997</v>
      </c>
      <c r="P16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6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611" s="41">
        <f>ROW()</f>
        <v>1611</v>
      </c>
      <c r="S16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-161265.44500000004</v>
      </c>
      <c r="T16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40316.361249999987</v>
      </c>
      <c r="U16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11" s="166">
        <f>IF(INDEX(TransTypes[],Transactions[[#This Row],[TTR]],TT_COL_GLFlag)=1,Transactions[[#This Row],[CalCashImpact]]+Transactions[[#This Row],[CostImpact]],0)</f>
        <v>-14511.185000000027</v>
      </c>
      <c r="W1611" s="167">
        <f>Transactions[[#This Row],[Amount]]*INDEX(TransTypes[],Transactions[[#This Row],[TTR]],TT_COL_AmntSign)</f>
        <v>146754.26</v>
      </c>
      <c r="X1611" s="167">
        <f>IF(INDEX(TransTypes[],Transactions[[#This Row],[TTR]],TT_COL_LONGORSHORT)="S",
      IF( OR(INDEX(TransTypes[],Transactions[[#This Row],[TTR]],TT_COL_GLFlag)=1, INDEX(TransTypes[], Transactions[[#This Row],[TTR]], TT_COL_ShareTransferFlag)=1),
            Transactions[[#This Row],[CostImpact]]*-1,
            Transactions[[#This Row],[CalCashImpact]]
      ),
     0
)</f>
        <v>0</v>
      </c>
      <c r="Y1611" s="168" t="str">
        <f>VLOOKUP(Transactions[[#This Row],[Symbol]],Symbols[], COLUMN(Symbols[Currency])-COLUMN(Symbols[])+1,FALSE)</f>
        <v>CNY</v>
      </c>
    </row>
    <row r="1612" spans="1:25">
      <c r="A1612" s="155" t="s">
        <v>82</v>
      </c>
      <c r="B1612" s="156">
        <v>42880</v>
      </c>
      <c r="C1612" s="155" t="s">
        <v>115</v>
      </c>
      <c r="D1612" s="155"/>
      <c r="E1612" s="155" t="s">
        <v>482</v>
      </c>
      <c r="F1612" s="157">
        <v>2000</v>
      </c>
      <c r="G1612" s="158">
        <v>33.65</v>
      </c>
      <c r="H1612" s="157">
        <v>94.22</v>
      </c>
      <c r="I1612" s="157"/>
      <c r="J1612" s="159">
        <v>67205.78</v>
      </c>
      <c r="K1612" s="6" t="s">
        <v>641</v>
      </c>
      <c r="L1612" s="20">
        <f>IF(ISNA(MATCH(Transactions[[#This Row],[TransType]],TransTypes[TransType],0)),1,MATCH(Transactions[[#This Row],[TransType]],TransTypes[TransType],0))</f>
        <v>3</v>
      </c>
      <c r="M1612" s="160">
        <f>IF( AND( INDEX(TransTypes[],Transactions[[#This Row],[TTR]],TT_COL_GLFlag)=1, INDEX(TransTypes[],Transactions[[#This Row],[TTR]],TT_COL_LONGORSHORT)="S" ),
      Transactions[[#This Row],[PL]],
      IF(INDEX(TransTypes[],Transactions[[#This Row],[TTR]],TT_COL_LONGORSHORT)="S",0,Transactions[[#This Row],[CalCashImpact]])
)</f>
        <v>67205.78</v>
      </c>
      <c r="N1612" s="161">
        <f>IF(VLOOKUP(Transactions[[#This Row],[Symbol]],Symbols[],COLUMN(Symbols[Currency])-COLUMN(Symbols[])+1,FALSE)=
       VLOOKUP(Transactions[[#This Row],[Account]],Accounts[],COLUMN(Accounts[Currency])-COLUMN(Accounts[])+1,FALSE),
     Transactions[[#This Row],[OrigCashImpact]],
     0
)</f>
        <v>67205.78</v>
      </c>
      <c r="O16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491354.30999999994</v>
      </c>
      <c r="P16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612" s="41">
        <f>ROW()</f>
        <v>1612</v>
      </c>
      <c r="S16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-60592.561111111114</v>
      </c>
      <c r="T16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302962.80555555556</v>
      </c>
      <c r="U16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612" s="166">
        <f>IF(INDEX(TransTypes[],Transactions[[#This Row],[TTR]],TT_COL_GLFlag)=1,Transactions[[#This Row],[CalCashImpact]]+Transactions[[#This Row],[CostImpact]],0)</f>
        <v>6613.218888888885</v>
      </c>
      <c r="W1612" s="167">
        <f>Transactions[[#This Row],[Amount]]*INDEX(TransTypes[],Transactions[[#This Row],[TTR]],TT_COL_AmntSign)</f>
        <v>67205.78</v>
      </c>
      <c r="X1612" s="167">
        <f>IF(INDEX(TransTypes[],Transactions[[#This Row],[TTR]],TT_COL_LONGORSHORT)="S",
      IF( OR(INDEX(TransTypes[],Transactions[[#This Row],[TTR]],TT_COL_GLFlag)=1, INDEX(TransTypes[], Transactions[[#This Row],[TTR]], TT_COL_ShareTransferFlag)=1),
            Transactions[[#This Row],[CostImpact]]*-1,
            Transactions[[#This Row],[CalCashImpact]]
      ),
     0
)</f>
        <v>0</v>
      </c>
      <c r="Y1612" s="168" t="str">
        <f>VLOOKUP(Transactions[[#This Row],[Symbol]],Symbols[], COLUMN(Symbols[Currency])-COLUMN(Symbols[])+1,FALSE)</f>
        <v>CNY</v>
      </c>
    </row>
    <row r="1613" spans="1:25">
      <c r="A1613" s="155" t="s">
        <v>82</v>
      </c>
      <c r="B1613" s="156">
        <v>42881</v>
      </c>
      <c r="C1613" s="155" t="s">
        <v>118</v>
      </c>
      <c r="D1613" s="155"/>
      <c r="E1613" s="155" t="s">
        <v>480</v>
      </c>
      <c r="F1613" s="157"/>
      <c r="G1613" s="158"/>
      <c r="H1613" s="157"/>
      <c r="I1613" s="157"/>
      <c r="J1613" s="159">
        <v>623</v>
      </c>
      <c r="K1613" s="6" t="s">
        <v>641</v>
      </c>
      <c r="L1613" s="20">
        <f>IF(ISNA(MATCH(Transactions[[#This Row],[TransType]],TransTypes[TransType],0)),1,MATCH(Transactions[[#This Row],[TransType]],TransTypes[TransType],0))</f>
        <v>4</v>
      </c>
      <c r="M1613" s="160">
        <f>IF( AND( INDEX(TransTypes[],Transactions[[#This Row],[TTR]],TT_COL_GLFlag)=1, INDEX(TransTypes[],Transactions[[#This Row],[TTR]],TT_COL_LONGORSHORT)="S" ),
      Transactions[[#This Row],[PL]],
      IF(INDEX(TransTypes[],Transactions[[#This Row],[TTR]],TT_COL_LONGORSHORT)="S",0,Transactions[[#This Row],[CalCashImpact]])
)</f>
        <v>623</v>
      </c>
      <c r="N1613" s="161">
        <f>IF(VLOOKUP(Transactions[[#This Row],[Symbol]],Symbols[],COLUMN(Symbols[Currency])-COLUMN(Symbols[])+1,FALSE)=
       VLOOKUP(Transactions[[#This Row],[Account]],Accounts[],COLUMN(Accounts[Currency])-COLUMN(Accounts[])+1,FALSE),
     Transactions[[#This Row],[OrigCashImpact]],
     0
)</f>
        <v>623</v>
      </c>
      <c r="O16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491977.30999999994</v>
      </c>
      <c r="P16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613" s="41">
        <f>ROW()</f>
        <v>1613</v>
      </c>
      <c r="S16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262983.57868852461</v>
      </c>
      <c r="U16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613" s="166">
        <f>IF(INDEX(TransTypes[],Transactions[[#This Row],[TTR]],TT_COL_GLFlag)=1,Transactions[[#This Row],[CalCashImpact]]+Transactions[[#This Row],[CostImpact]],0)</f>
        <v>0</v>
      </c>
      <c r="W1613" s="167">
        <f>Transactions[[#This Row],[Amount]]*INDEX(TransTypes[],Transactions[[#This Row],[TTR]],TT_COL_AmntSign)</f>
        <v>623</v>
      </c>
      <c r="X1613" s="167">
        <f>IF(INDEX(TransTypes[],Transactions[[#This Row],[TTR]],TT_COL_LONGORSHORT)="S",
      IF( OR(INDEX(TransTypes[],Transactions[[#This Row],[TTR]],TT_COL_GLFlag)=1, INDEX(TransTypes[], Transactions[[#This Row],[TTR]], TT_COL_ShareTransferFlag)=1),
            Transactions[[#This Row],[CostImpact]]*-1,
            Transactions[[#This Row],[CalCashImpact]]
      ),
     0
)</f>
        <v>0</v>
      </c>
      <c r="Y1613" s="168" t="str">
        <f>VLOOKUP(Transactions[[#This Row],[Symbol]],Symbols[], COLUMN(Symbols[Currency])-COLUMN(Symbols[])+1,FALSE)</f>
        <v>CNY</v>
      </c>
    </row>
    <row r="1614" spans="1:25">
      <c r="A1614" s="155" t="s">
        <v>82</v>
      </c>
      <c r="B1614" s="156">
        <v>42881</v>
      </c>
      <c r="C1614" s="155" t="s">
        <v>115</v>
      </c>
      <c r="D1614" s="155"/>
      <c r="E1614" s="155" t="s">
        <v>468</v>
      </c>
      <c r="F1614" s="157">
        <v>4000</v>
      </c>
      <c r="G1614" s="158">
        <v>44.99</v>
      </c>
      <c r="H1614" s="157">
        <v>255.54</v>
      </c>
      <c r="I1614" s="157"/>
      <c r="J1614" s="159">
        <v>179704.46</v>
      </c>
      <c r="K1614" s="6" t="s">
        <v>641</v>
      </c>
      <c r="L1614" s="20">
        <f>IF(ISNA(MATCH(Transactions[[#This Row],[TransType]],TransTypes[TransType],0)),1,MATCH(Transactions[[#This Row],[TransType]],TransTypes[TransType],0))</f>
        <v>3</v>
      </c>
      <c r="M1614" s="160">
        <f>IF( AND( INDEX(TransTypes[],Transactions[[#This Row],[TTR]],TT_COL_GLFlag)=1, INDEX(TransTypes[],Transactions[[#This Row],[TTR]],TT_COL_LONGORSHORT)="S" ),
      Transactions[[#This Row],[PL]],
      IF(INDEX(TransTypes[],Transactions[[#This Row],[TTR]],TT_COL_LONGORSHORT)="S",0,Transactions[[#This Row],[CalCashImpact]])
)</f>
        <v>179704.46</v>
      </c>
      <c r="N1614" s="161">
        <f>IF(VLOOKUP(Transactions[[#This Row],[Symbol]],Symbols[],COLUMN(Symbols[Currency])-COLUMN(Symbols[])+1,FALSE)=
       VLOOKUP(Transactions[[#This Row],[Account]],Accounts[],COLUMN(Accounts[Currency])-COLUMN(Accounts[])+1,FALSE),
     Transactions[[#This Row],[OrigCashImpact]],
     0
)</f>
        <v>179704.46</v>
      </c>
      <c r="O16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671681.7699999999</v>
      </c>
      <c r="P16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6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v>
      </c>
      <c r="R1614" s="41">
        <f>ROW()</f>
        <v>1614</v>
      </c>
      <c r="S16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-146683.94242857146</v>
      </c>
      <c r="T16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513393.79850000009</v>
      </c>
      <c r="U16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1614" s="166">
        <f>IF(INDEX(TransTypes[],Transactions[[#This Row],[TTR]],TT_COL_GLFlag)=1,Transactions[[#This Row],[CalCashImpact]]+Transactions[[#This Row],[CostImpact]],0)</f>
        <v>33020.517571428529</v>
      </c>
      <c r="W1614" s="167">
        <f>Transactions[[#This Row],[Amount]]*INDEX(TransTypes[],Transactions[[#This Row],[TTR]],TT_COL_AmntSign)</f>
        <v>179704.46</v>
      </c>
      <c r="X1614" s="167">
        <f>IF(INDEX(TransTypes[],Transactions[[#This Row],[TTR]],TT_COL_LONGORSHORT)="S",
      IF( OR(INDEX(TransTypes[],Transactions[[#This Row],[TTR]],TT_COL_GLFlag)=1, INDEX(TransTypes[], Transactions[[#This Row],[TTR]], TT_COL_ShareTransferFlag)=1),
            Transactions[[#This Row],[CostImpact]]*-1,
            Transactions[[#This Row],[CalCashImpact]]
      ),
     0
)</f>
        <v>0</v>
      </c>
      <c r="Y1614" s="168" t="str">
        <f>VLOOKUP(Transactions[[#This Row],[Symbol]],Symbols[], COLUMN(Symbols[Currency])-COLUMN(Symbols[])+1,FALSE)</f>
        <v>CNY</v>
      </c>
    </row>
    <row r="1615" spans="1:25">
      <c r="A1615" s="155" t="s">
        <v>82</v>
      </c>
      <c r="B1615" s="156">
        <v>42881</v>
      </c>
      <c r="C1615" s="155" t="s">
        <v>113</v>
      </c>
      <c r="D1615" s="155"/>
      <c r="E1615" s="155" t="s">
        <v>485</v>
      </c>
      <c r="F1615" s="157">
        <v>14000</v>
      </c>
      <c r="G1615" s="158">
        <v>16.329999999999998</v>
      </c>
      <c r="H1615" s="157">
        <v>96.04</v>
      </c>
      <c r="I1615" s="157"/>
      <c r="J1615" s="159">
        <v>228716.04</v>
      </c>
      <c r="K1615" s="6" t="s">
        <v>641</v>
      </c>
      <c r="L1615" s="20">
        <f>IF(ISNA(MATCH(Transactions[[#This Row],[TransType]],TransTypes[TransType],0)),1,MATCH(Transactions[[#This Row],[TransType]],TransTypes[TransType],0))</f>
        <v>2</v>
      </c>
      <c r="M1615" s="160">
        <f>IF( AND( INDEX(TransTypes[],Transactions[[#This Row],[TTR]],TT_COL_GLFlag)=1, INDEX(TransTypes[],Transactions[[#This Row],[TTR]],TT_COL_LONGORSHORT)="S" ),
      Transactions[[#This Row],[PL]],
      IF(INDEX(TransTypes[],Transactions[[#This Row],[TTR]],TT_COL_LONGORSHORT)="S",0,Transactions[[#This Row],[CalCashImpact]])
)</f>
        <v>-228716.04</v>
      </c>
      <c r="N1615" s="161">
        <f>IF(VLOOKUP(Transactions[[#This Row],[Symbol]],Symbols[],COLUMN(Symbols[Currency])-COLUMN(Symbols[])+1,FALSE)=
       VLOOKUP(Transactions[[#This Row],[Account]],Accounts[],COLUMN(Accounts[Currency])-COLUMN(Accounts[])+1,FALSE),
     Transactions[[#This Row],[OrigCashImpact]],
     0
)</f>
        <v>-228716.04</v>
      </c>
      <c r="O16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442965.72999999992</v>
      </c>
      <c r="P16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14000</v>
      </c>
      <c r="Q16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v>
      </c>
      <c r="R1615" s="41">
        <f>ROW()</f>
        <v>1615</v>
      </c>
      <c r="S16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228716.04</v>
      </c>
      <c r="T16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228716.04</v>
      </c>
      <c r="U16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615" s="166">
        <f>IF(INDEX(TransTypes[],Transactions[[#This Row],[TTR]],TT_COL_GLFlag)=1,Transactions[[#This Row],[CalCashImpact]]+Transactions[[#This Row],[CostImpact]],0)</f>
        <v>0</v>
      </c>
      <c r="W1615" s="167">
        <f>Transactions[[#This Row],[Amount]]*INDEX(TransTypes[],Transactions[[#This Row],[TTR]],TT_COL_AmntSign)</f>
        <v>-228716.04</v>
      </c>
      <c r="X1615" s="167">
        <f>IF(INDEX(TransTypes[],Transactions[[#This Row],[TTR]],TT_COL_LONGORSHORT)="S",
      IF( OR(INDEX(TransTypes[],Transactions[[#This Row],[TTR]],TT_COL_GLFlag)=1, INDEX(TransTypes[], Transactions[[#This Row],[TTR]], TT_COL_ShareTransferFlag)=1),
            Transactions[[#This Row],[CostImpact]]*-1,
            Transactions[[#This Row],[CalCashImpact]]
      ),
     0
)</f>
        <v>0</v>
      </c>
      <c r="Y1615" s="168" t="str">
        <f>VLOOKUP(Transactions[[#This Row],[Symbol]],Symbols[], COLUMN(Symbols[Currency])-COLUMN(Symbols[])+1,FALSE)</f>
        <v>CNY</v>
      </c>
    </row>
    <row r="1616" spans="1:25">
      <c r="A1616" s="155" t="s">
        <v>82</v>
      </c>
      <c r="B1616" s="156">
        <v>42886</v>
      </c>
      <c r="C1616" s="155" t="s">
        <v>118</v>
      </c>
      <c r="D1616" s="155"/>
      <c r="E1616" s="155" t="s">
        <v>710</v>
      </c>
      <c r="F1616" s="157"/>
      <c r="G1616" s="158"/>
      <c r="H1616" s="157"/>
      <c r="I1616" s="157"/>
      <c r="J1616" s="159">
        <v>300</v>
      </c>
      <c r="K1616" s="6" t="s">
        <v>641</v>
      </c>
      <c r="L1616" s="20">
        <f>IF(ISNA(MATCH(Transactions[[#This Row],[TransType]],TransTypes[TransType],0)),1,MATCH(Transactions[[#This Row],[TransType]],TransTypes[TransType],0))</f>
        <v>4</v>
      </c>
      <c r="M1616" s="160">
        <f>IF( AND( INDEX(TransTypes[],Transactions[[#This Row],[TTR]],TT_COL_GLFlag)=1, INDEX(TransTypes[],Transactions[[#This Row],[TTR]],TT_COL_LONGORSHORT)="S" ),
      Transactions[[#This Row],[PL]],
      IF(INDEX(TransTypes[],Transactions[[#This Row],[TTR]],TT_COL_LONGORSHORT)="S",0,Transactions[[#This Row],[CalCashImpact]])
)</f>
        <v>300</v>
      </c>
      <c r="N1616" s="161">
        <f>IF(VLOOKUP(Transactions[[#This Row],[Symbol]],Symbols[],COLUMN(Symbols[Currency])-COLUMN(Symbols[])+1,FALSE)=
       VLOOKUP(Transactions[[#This Row],[Account]],Accounts[],COLUMN(Accounts[Currency])-COLUMN(Accounts[])+1,FALSE),
     Transactions[[#This Row],[OrigCashImpact]],
     0
)</f>
        <v>300</v>
      </c>
      <c r="O16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443265.72999999986</v>
      </c>
      <c r="P16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616" s="41">
        <f>ROW()</f>
        <v>1616</v>
      </c>
      <c r="S16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44211.129198412702</v>
      </c>
      <c r="U16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616" s="166">
        <f>IF(INDEX(TransTypes[],Transactions[[#This Row],[TTR]],TT_COL_GLFlag)=1,Transactions[[#This Row],[CalCashImpact]]+Transactions[[#This Row],[CostImpact]],0)</f>
        <v>0</v>
      </c>
      <c r="W1616" s="167">
        <f>Transactions[[#This Row],[Amount]]*INDEX(TransTypes[],Transactions[[#This Row],[TTR]],TT_COL_AmntSign)</f>
        <v>300</v>
      </c>
      <c r="X1616" s="167">
        <f>IF(INDEX(TransTypes[],Transactions[[#This Row],[TTR]],TT_COL_LONGORSHORT)="S",
      IF( OR(INDEX(TransTypes[],Transactions[[#This Row],[TTR]],TT_COL_GLFlag)=1, INDEX(TransTypes[], Transactions[[#This Row],[TTR]], TT_COL_ShareTransferFlag)=1),
            Transactions[[#This Row],[CostImpact]]*-1,
            Transactions[[#This Row],[CalCashImpact]]
      ),
     0
)</f>
        <v>0</v>
      </c>
      <c r="Y1616" s="168" t="str">
        <f>VLOOKUP(Transactions[[#This Row],[Symbol]],Symbols[], COLUMN(Symbols[Currency])-COLUMN(Symbols[])+1,FALSE)</f>
        <v>CNY</v>
      </c>
    </row>
    <row r="1617" spans="1:25">
      <c r="A1617" s="155" t="s">
        <v>82</v>
      </c>
      <c r="B1617" s="156">
        <v>42886</v>
      </c>
      <c r="C1617" s="155" t="s">
        <v>127</v>
      </c>
      <c r="D1617" s="155"/>
      <c r="E1617" s="155" t="s">
        <v>480</v>
      </c>
      <c r="F1617" s="157">
        <v>1000</v>
      </c>
      <c r="G1617" s="158"/>
      <c r="H1617" s="157"/>
      <c r="I1617" s="157"/>
      <c r="J1617" s="159"/>
      <c r="K1617" s="6" t="s">
        <v>641</v>
      </c>
      <c r="L1617" s="20">
        <f>IF(ISNA(MATCH(Transactions[[#This Row],[TransType]],TransTypes[TransType],0)),1,MATCH(Transactions[[#This Row],[TransType]],TransTypes[TransType],0))</f>
        <v>10</v>
      </c>
      <c r="M1617" s="160">
        <f>IF( AND( INDEX(TransTypes[],Transactions[[#This Row],[TTR]],TT_COL_GLFlag)=1, INDEX(TransTypes[],Transactions[[#This Row],[TTR]],TT_COL_LONGORSHORT)="S" ),
      Transactions[[#This Row],[PL]],
      IF(INDEX(TransTypes[],Transactions[[#This Row],[TTR]],TT_COL_LONGORSHORT)="S",0,Transactions[[#This Row],[CalCashImpact]])
)</f>
        <v>0</v>
      </c>
      <c r="N1617" s="161">
        <f>IF(VLOOKUP(Transactions[[#This Row],[Symbol]],Symbols[],COLUMN(Symbols[Currency])-COLUMN(Symbols[])+1,FALSE)=
       VLOOKUP(Transactions[[#This Row],[Account]],Accounts[],COLUMN(Accounts[Currency])-COLUMN(Accounts[])+1,FALSE),
     Transactions[[#This Row],[OrigCashImpact]],
     0
)</f>
        <v>0</v>
      </c>
      <c r="O16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443265.72999999986</v>
      </c>
      <c r="P16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6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617" s="41">
        <f>ROW()</f>
        <v>1617</v>
      </c>
      <c r="S16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262983.57868852461</v>
      </c>
      <c r="U16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617" s="166">
        <f>IF(INDEX(TransTypes[],Transactions[[#This Row],[TTR]],TT_COL_GLFlag)=1,Transactions[[#This Row],[CalCashImpact]]+Transactions[[#This Row],[CostImpact]],0)</f>
        <v>0</v>
      </c>
      <c r="W1617" s="167">
        <f>Transactions[[#This Row],[Amount]]*INDEX(TransTypes[],Transactions[[#This Row],[TTR]],TT_COL_AmntSign)</f>
        <v>0</v>
      </c>
      <c r="X1617" s="167">
        <f>IF(INDEX(TransTypes[],Transactions[[#This Row],[TTR]],TT_COL_LONGORSHORT)="S",
      IF( OR(INDEX(TransTypes[],Transactions[[#This Row],[TTR]],TT_COL_GLFlag)=1, INDEX(TransTypes[], Transactions[[#This Row],[TTR]], TT_COL_ShareTransferFlag)=1),
            Transactions[[#This Row],[CostImpact]]*-1,
            Transactions[[#This Row],[CalCashImpact]]
      ),
     0
)</f>
        <v>0</v>
      </c>
      <c r="Y1617" s="168" t="str">
        <f>VLOOKUP(Transactions[[#This Row],[Symbol]],Symbols[], COLUMN(Symbols[Currency])-COLUMN(Symbols[])+1,FALSE)</f>
        <v>CNY</v>
      </c>
    </row>
    <row r="1618" spans="1:25">
      <c r="A1618" s="155" t="s">
        <v>82</v>
      </c>
      <c r="B1618" s="156">
        <v>42888</v>
      </c>
      <c r="C1618" s="155" t="s">
        <v>118</v>
      </c>
      <c r="D1618" s="155"/>
      <c r="E1618" s="155" t="s">
        <v>736</v>
      </c>
      <c r="F1618" s="157"/>
      <c r="G1618" s="158"/>
      <c r="H1618" s="157"/>
      <c r="I1618" s="157"/>
      <c r="J1618" s="159">
        <v>990</v>
      </c>
      <c r="K1618" s="6" t="s">
        <v>641</v>
      </c>
      <c r="L1618" s="20">
        <f>IF(ISNA(MATCH(Transactions[[#This Row],[TransType]],TransTypes[TransType],0)),1,MATCH(Transactions[[#This Row],[TransType]],TransTypes[TransType],0))</f>
        <v>4</v>
      </c>
      <c r="M1618" s="160">
        <f>IF( AND( INDEX(TransTypes[],Transactions[[#This Row],[TTR]],TT_COL_GLFlag)=1, INDEX(TransTypes[],Transactions[[#This Row],[TTR]],TT_COL_LONGORSHORT)="S" ),
      Transactions[[#This Row],[PL]],
      IF(INDEX(TransTypes[],Transactions[[#This Row],[TTR]],TT_COL_LONGORSHORT)="S",0,Transactions[[#This Row],[CalCashImpact]])
)</f>
        <v>990</v>
      </c>
      <c r="N1618" s="161">
        <f>IF(VLOOKUP(Transactions[[#This Row],[Symbol]],Symbols[],COLUMN(Symbols[Currency])-COLUMN(Symbols[])+1,FALSE)=
       VLOOKUP(Transactions[[#This Row],[Account]],Accounts[],COLUMN(Accounts[Currency])-COLUMN(Accounts[])+1,FALSE),
     Transactions[[#This Row],[OrigCashImpact]],
     0
)</f>
        <v>990</v>
      </c>
      <c r="O16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444255.72999999986</v>
      </c>
      <c r="P16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618" s="41">
        <f>ROW()</f>
        <v>1618</v>
      </c>
      <c r="S16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215910.64</v>
      </c>
      <c r="U16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618" s="166">
        <f>IF(INDEX(TransTypes[],Transactions[[#This Row],[TTR]],TT_COL_GLFlag)=1,Transactions[[#This Row],[CalCashImpact]]+Transactions[[#This Row],[CostImpact]],0)</f>
        <v>0</v>
      </c>
      <c r="W1618" s="167">
        <f>Transactions[[#This Row],[Amount]]*INDEX(TransTypes[],Transactions[[#This Row],[TTR]],TT_COL_AmntSign)</f>
        <v>990</v>
      </c>
      <c r="X1618" s="167">
        <f>IF(INDEX(TransTypes[],Transactions[[#This Row],[TTR]],TT_COL_LONGORSHORT)="S",
      IF( OR(INDEX(TransTypes[],Transactions[[#This Row],[TTR]],TT_COL_GLFlag)=1, INDEX(TransTypes[], Transactions[[#This Row],[TTR]], TT_COL_ShareTransferFlag)=1),
            Transactions[[#This Row],[CostImpact]]*-1,
            Transactions[[#This Row],[CalCashImpact]]
      ),
     0
)</f>
        <v>0</v>
      </c>
      <c r="Y1618" s="168" t="str">
        <f>VLOOKUP(Transactions[[#This Row],[Symbol]],Symbols[], COLUMN(Symbols[Currency])-COLUMN(Symbols[])+1,FALSE)</f>
        <v>CNY</v>
      </c>
    </row>
    <row r="1619" spans="1:25">
      <c r="A1619" s="155" t="s">
        <v>82</v>
      </c>
      <c r="B1619" s="156">
        <v>42892</v>
      </c>
      <c r="C1619" s="155" t="s">
        <v>113</v>
      </c>
      <c r="D1619" s="155"/>
      <c r="E1619" s="155" t="s">
        <v>474</v>
      </c>
      <c r="F1619" s="157">
        <v>3000</v>
      </c>
      <c r="G1619" s="158">
        <v>18.847999999999999</v>
      </c>
      <c r="H1619" s="157">
        <v>22.62</v>
      </c>
      <c r="I1619" s="157"/>
      <c r="J1619" s="159">
        <v>56566.62</v>
      </c>
      <c r="K1619" s="6" t="s">
        <v>641</v>
      </c>
      <c r="L1619" s="20">
        <f>IF(ISNA(MATCH(Transactions[[#This Row],[TransType]],TransTypes[TransType],0)),1,MATCH(Transactions[[#This Row],[TransType]],TransTypes[TransType],0))</f>
        <v>2</v>
      </c>
      <c r="M1619" s="160">
        <f>IF( AND( INDEX(TransTypes[],Transactions[[#This Row],[TTR]],TT_COL_GLFlag)=1, INDEX(TransTypes[],Transactions[[#This Row],[TTR]],TT_COL_LONGORSHORT)="S" ),
      Transactions[[#This Row],[PL]],
      IF(INDEX(TransTypes[],Transactions[[#This Row],[TTR]],TT_COL_LONGORSHORT)="S",0,Transactions[[#This Row],[CalCashImpact]])
)</f>
        <v>-56566.62</v>
      </c>
      <c r="N1619" s="161">
        <f>IF(VLOOKUP(Transactions[[#This Row],[Symbol]],Symbols[],COLUMN(Symbols[Currency])-COLUMN(Symbols[])+1,FALSE)=
       VLOOKUP(Transactions[[#This Row],[Account]],Accounts[],COLUMN(Accounts[Currency])-COLUMN(Accounts[])+1,FALSE),
     Transactions[[#This Row],[OrigCashImpact]],
     0
)</f>
        <v>-56566.62</v>
      </c>
      <c r="O16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387689.10999999987</v>
      </c>
      <c r="P16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6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619" s="41">
        <f>ROW()</f>
        <v>1619</v>
      </c>
      <c r="S16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56566.62</v>
      </c>
      <c r="T16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96882.981249999983</v>
      </c>
      <c r="U16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619" s="166">
        <f>IF(INDEX(TransTypes[],Transactions[[#This Row],[TTR]],TT_COL_GLFlag)=1,Transactions[[#This Row],[CalCashImpact]]+Transactions[[#This Row],[CostImpact]],0)</f>
        <v>0</v>
      </c>
      <c r="W1619" s="167">
        <f>Transactions[[#This Row],[Amount]]*INDEX(TransTypes[],Transactions[[#This Row],[TTR]],TT_COL_AmntSign)</f>
        <v>-56566.62</v>
      </c>
      <c r="X1619" s="167">
        <f>IF(INDEX(TransTypes[],Transactions[[#This Row],[TTR]],TT_COL_LONGORSHORT)="S",
      IF( OR(INDEX(TransTypes[],Transactions[[#This Row],[TTR]],TT_COL_GLFlag)=1, INDEX(TransTypes[], Transactions[[#This Row],[TTR]], TT_COL_ShareTransferFlag)=1),
            Transactions[[#This Row],[CostImpact]]*-1,
            Transactions[[#This Row],[CalCashImpact]]
      ),
     0
)</f>
        <v>0</v>
      </c>
      <c r="Y1619" s="168" t="str">
        <f>VLOOKUP(Transactions[[#This Row],[Symbol]],Symbols[], COLUMN(Symbols[Currency])-COLUMN(Symbols[])+1,FALSE)</f>
        <v>CNY</v>
      </c>
    </row>
    <row r="1620" spans="1:25">
      <c r="A1620" s="155" t="s">
        <v>82</v>
      </c>
      <c r="B1620" s="156">
        <v>42892</v>
      </c>
      <c r="C1620" s="155" t="s">
        <v>115</v>
      </c>
      <c r="D1620" s="155"/>
      <c r="E1620" s="155" t="s">
        <v>468</v>
      </c>
      <c r="F1620" s="157">
        <v>2000</v>
      </c>
      <c r="G1620" s="158">
        <v>45.03</v>
      </c>
      <c r="H1620" s="157">
        <v>127.88</v>
      </c>
      <c r="I1620" s="157"/>
      <c r="J1620" s="159">
        <v>89932.12</v>
      </c>
      <c r="K1620" s="6" t="s">
        <v>641</v>
      </c>
      <c r="L1620" s="20">
        <f>IF(ISNA(MATCH(Transactions[[#This Row],[TransType]],TransTypes[TransType],0)),1,MATCH(Transactions[[#This Row],[TransType]],TransTypes[TransType],0))</f>
        <v>3</v>
      </c>
      <c r="M1620" s="160">
        <f>IF( AND( INDEX(TransTypes[],Transactions[[#This Row],[TTR]],TT_COL_GLFlag)=1, INDEX(TransTypes[],Transactions[[#This Row],[TTR]],TT_COL_LONGORSHORT)="S" ),
      Transactions[[#This Row],[PL]],
      IF(INDEX(TransTypes[],Transactions[[#This Row],[TTR]],TT_COL_LONGORSHORT)="S",0,Transactions[[#This Row],[CalCashImpact]])
)</f>
        <v>89932.12</v>
      </c>
      <c r="N1620" s="161">
        <f>IF(VLOOKUP(Transactions[[#This Row],[Symbol]],Symbols[],COLUMN(Symbols[Currency])-COLUMN(Symbols[])+1,FALSE)=
       VLOOKUP(Transactions[[#This Row],[Account]],Accounts[],COLUMN(Accounts[Currency])-COLUMN(Accounts[])+1,FALSE),
     Transactions[[#This Row],[OrigCashImpact]],
     0
)</f>
        <v>89932.12</v>
      </c>
      <c r="O16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477621.22999999986</v>
      </c>
      <c r="P16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620" s="41">
        <f>ROW()</f>
        <v>1620</v>
      </c>
      <c r="S16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-73341.971214285717</v>
      </c>
      <c r="T16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440051.82728571439</v>
      </c>
      <c r="U16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620" s="166">
        <f>IF(INDEX(TransTypes[],Transactions[[#This Row],[TTR]],TT_COL_GLFlag)=1,Transactions[[#This Row],[CalCashImpact]]+Transactions[[#This Row],[CostImpact]],0)</f>
        <v>16590.148785714278</v>
      </c>
      <c r="W1620" s="167">
        <f>Transactions[[#This Row],[Amount]]*INDEX(TransTypes[],Transactions[[#This Row],[TTR]],TT_COL_AmntSign)</f>
        <v>89932.12</v>
      </c>
      <c r="X1620" s="167">
        <f>IF(INDEX(TransTypes[],Transactions[[#This Row],[TTR]],TT_COL_LONGORSHORT)="S",
      IF( OR(INDEX(TransTypes[],Transactions[[#This Row],[TTR]],TT_COL_GLFlag)=1, INDEX(TransTypes[], Transactions[[#This Row],[TTR]], TT_COL_ShareTransferFlag)=1),
            Transactions[[#This Row],[CostImpact]]*-1,
            Transactions[[#This Row],[CalCashImpact]]
      ),
     0
)</f>
        <v>0</v>
      </c>
      <c r="Y1620" s="168" t="str">
        <f>VLOOKUP(Transactions[[#This Row],[Symbol]],Symbols[], COLUMN(Symbols[Currency])-COLUMN(Symbols[])+1,FALSE)</f>
        <v>CNY</v>
      </c>
    </row>
    <row r="1621" spans="1:25">
      <c r="A1621" s="155" t="s">
        <v>82</v>
      </c>
      <c r="B1621" s="156">
        <v>42892</v>
      </c>
      <c r="C1621" s="155" t="s">
        <v>118</v>
      </c>
      <c r="D1621" s="155"/>
      <c r="E1621" s="155" t="s">
        <v>646</v>
      </c>
      <c r="F1621" s="157"/>
      <c r="G1621" s="158"/>
      <c r="H1621" s="157"/>
      <c r="I1621" s="157"/>
      <c r="J1621" s="159">
        <v>5369</v>
      </c>
      <c r="K1621" s="6" t="s">
        <v>641</v>
      </c>
      <c r="L1621" s="20">
        <f>IF(ISNA(MATCH(Transactions[[#This Row],[TransType]],TransTypes[TransType],0)),1,MATCH(Transactions[[#This Row],[TransType]],TransTypes[TransType],0))</f>
        <v>4</v>
      </c>
      <c r="M1621" s="160">
        <f>IF( AND( INDEX(TransTypes[],Transactions[[#This Row],[TTR]],TT_COL_GLFlag)=1, INDEX(TransTypes[],Transactions[[#This Row],[TTR]],TT_COL_LONGORSHORT)="S" ),
      Transactions[[#This Row],[PL]],
      IF(INDEX(TransTypes[],Transactions[[#This Row],[TTR]],TT_COL_LONGORSHORT)="S",0,Transactions[[#This Row],[CalCashImpact]])
)</f>
        <v>5369</v>
      </c>
      <c r="N1621" s="161">
        <f>IF(VLOOKUP(Transactions[[#This Row],[Symbol]],Symbols[],COLUMN(Symbols[Currency])-COLUMN(Symbols[])+1,FALSE)=
       VLOOKUP(Transactions[[#This Row],[Account]],Accounts[],COLUMN(Accounts[Currency])-COLUMN(Accounts[])+1,FALSE),
     Transactions[[#This Row],[OrigCashImpact]],
     0
)</f>
        <v>0</v>
      </c>
      <c r="O16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477621.22999999986</v>
      </c>
      <c r="P16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621" s="41">
        <f>ROW()</f>
        <v>1621</v>
      </c>
      <c r="S16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2792317.21</v>
      </c>
      <c r="U16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621" s="166">
        <f>IF(INDEX(TransTypes[],Transactions[[#This Row],[TTR]],TT_COL_GLFlag)=1,Transactions[[#This Row],[CalCashImpact]]+Transactions[[#This Row],[CostImpact]],0)</f>
        <v>0</v>
      </c>
      <c r="W1621" s="167">
        <f>Transactions[[#This Row],[Amount]]*INDEX(TransTypes[],Transactions[[#This Row],[TTR]],TT_COL_AmntSign)</f>
        <v>5369</v>
      </c>
      <c r="X1621" s="167">
        <f>IF(INDEX(TransTypes[],Transactions[[#This Row],[TTR]],TT_COL_LONGORSHORT)="S",
      IF( OR(INDEX(TransTypes[],Transactions[[#This Row],[TTR]],TT_COL_GLFlag)=1, INDEX(TransTypes[], Transactions[[#This Row],[TTR]], TT_COL_ShareTransferFlag)=1),
            Transactions[[#This Row],[CostImpact]]*-1,
            Transactions[[#This Row],[CalCashImpact]]
      ),
     0
)</f>
        <v>0</v>
      </c>
      <c r="Y1621" s="168" t="str">
        <f>VLOOKUP(Transactions[[#This Row],[Symbol]],Symbols[], COLUMN(Symbols[Currency])-COLUMN(Symbols[])+1,FALSE)</f>
        <v>HKD</v>
      </c>
    </row>
    <row r="1622" spans="1:25">
      <c r="A1622" s="155" t="s">
        <v>82</v>
      </c>
      <c r="B1622" s="156">
        <v>42892</v>
      </c>
      <c r="C1622" s="155" t="s">
        <v>156</v>
      </c>
      <c r="D1622" s="155"/>
      <c r="E1622" s="155" t="s">
        <v>210</v>
      </c>
      <c r="F1622" s="157">
        <v>4666.93</v>
      </c>
      <c r="G1622" s="158">
        <f>Transactions[[#This Row],[Amount]]/Transactions[[#This Row],[Qty]]</f>
        <v>1.150435082591768</v>
      </c>
      <c r="H1622" s="157"/>
      <c r="I1622" s="157"/>
      <c r="J1622" s="159">
        <v>5369</v>
      </c>
      <c r="K1622" s="6" t="s">
        <v>641</v>
      </c>
      <c r="L1622" s="20">
        <f>IF(ISNA(MATCH(Transactions[[#This Row],[TransType]],TransTypes[TransType],0)),1,MATCH(Transactions[[#This Row],[TransType]],TransTypes[TransType],0))</f>
        <v>17</v>
      </c>
      <c r="M1622" s="160">
        <f>IF( AND( INDEX(TransTypes[],Transactions[[#This Row],[TTR]],TT_COL_GLFlag)=1, INDEX(TransTypes[],Transactions[[#This Row],[TTR]],TT_COL_LONGORSHORT)="S" ),
      Transactions[[#This Row],[PL]],
      IF(INDEX(TransTypes[],Transactions[[#This Row],[TTR]],TT_COL_LONGORSHORT)="S",0,Transactions[[#This Row],[CalCashImpact]])
)</f>
        <v>-5369</v>
      </c>
      <c r="N1622" s="161">
        <f>IF(VLOOKUP(Transactions[[#This Row],[Symbol]],Symbols[],COLUMN(Symbols[Currency])-COLUMN(Symbols[])+1,FALSE)=
       VLOOKUP(Transactions[[#This Row],[Account]],Accounts[],COLUMN(Accounts[Currency])-COLUMN(Accounts[])+1,FALSE),
     Transactions[[#This Row],[OrigCashImpact]],
     0
)</f>
        <v>0</v>
      </c>
      <c r="O16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477621.22999999986</v>
      </c>
      <c r="P16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22" s="41">
        <f>ROW()</f>
        <v>1622</v>
      </c>
      <c r="S16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22" s="166">
        <f>IF(INDEX(TransTypes[],Transactions[[#This Row],[TTR]],TT_COL_GLFlag)=1,Transactions[[#This Row],[CalCashImpact]]+Transactions[[#This Row],[CostImpact]],0)</f>
        <v>0</v>
      </c>
      <c r="W1622" s="167">
        <f>Transactions[[#This Row],[Amount]]*INDEX(TransTypes[],Transactions[[#This Row],[TTR]],TT_COL_AmntSign)</f>
        <v>-5369</v>
      </c>
      <c r="X1622" s="167">
        <f>IF(INDEX(TransTypes[],Transactions[[#This Row],[TTR]],TT_COL_LONGORSHORT)="S",
      IF( OR(INDEX(TransTypes[],Transactions[[#This Row],[TTR]],TT_COL_GLFlag)=1, INDEX(TransTypes[], Transactions[[#This Row],[TTR]], TT_COL_ShareTransferFlag)=1),
            Transactions[[#This Row],[CostImpact]]*-1,
            Transactions[[#This Row],[CalCashImpact]]
      ),
     0
)</f>
        <v>0</v>
      </c>
      <c r="Y1622" s="168" t="str">
        <f>VLOOKUP(Transactions[[#This Row],[Symbol]],Symbols[], COLUMN(Symbols[Currency])-COLUMN(Symbols[])+1,FALSE)</f>
        <v>HKD</v>
      </c>
    </row>
    <row r="1623" spans="1:25">
      <c r="A1623" s="155" t="s">
        <v>82</v>
      </c>
      <c r="B1623" s="156">
        <v>42892</v>
      </c>
      <c r="C1623" s="155" t="s">
        <v>239</v>
      </c>
      <c r="D1623" s="155"/>
      <c r="E1623" s="155" t="s">
        <v>211</v>
      </c>
      <c r="F1623" s="157">
        <v>4666.93</v>
      </c>
      <c r="G1623" s="158">
        <v>1</v>
      </c>
      <c r="H1623" s="157"/>
      <c r="I1623" s="157"/>
      <c r="J1623" s="159">
        <v>4666.93</v>
      </c>
      <c r="K1623" s="6" t="s">
        <v>641</v>
      </c>
      <c r="L1623" s="20">
        <f>IF(ISNA(MATCH(Transactions[[#This Row],[TransType]],TransTypes[TransType],0)),1,MATCH(Transactions[[#This Row],[TransType]],TransTypes[TransType],0))</f>
        <v>18</v>
      </c>
      <c r="M1623" s="160">
        <f>IF( AND( INDEX(TransTypes[],Transactions[[#This Row],[TTR]],TT_COL_GLFlag)=1, INDEX(TransTypes[],Transactions[[#This Row],[TTR]],TT_COL_LONGORSHORT)="S" ),
      Transactions[[#This Row],[PL]],
      IF(INDEX(TransTypes[],Transactions[[#This Row],[TTR]],TT_COL_LONGORSHORT)="S",0,Transactions[[#This Row],[CalCashImpact]])
)</f>
        <v>4666.93</v>
      </c>
      <c r="N1623" s="161">
        <f>IF(VLOOKUP(Transactions[[#This Row],[Symbol]],Symbols[],COLUMN(Symbols[Currency])-COLUMN(Symbols[])+1,FALSE)=
       VLOOKUP(Transactions[[#This Row],[Account]],Accounts[],COLUMN(Accounts[Currency])-COLUMN(Accounts[])+1,FALSE),
     Transactions[[#This Row],[OrigCashImpact]],
     0
)</f>
        <v>4666.93</v>
      </c>
      <c r="O16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482288.15999999986</v>
      </c>
      <c r="P16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23" s="41">
        <f>ROW()</f>
        <v>1623</v>
      </c>
      <c r="S16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23" s="166">
        <f>IF(INDEX(TransTypes[],Transactions[[#This Row],[TTR]],TT_COL_GLFlag)=1,Transactions[[#This Row],[CalCashImpact]]+Transactions[[#This Row],[CostImpact]],0)</f>
        <v>0</v>
      </c>
      <c r="W1623" s="167">
        <f>Transactions[[#This Row],[Amount]]*INDEX(TransTypes[],Transactions[[#This Row],[TTR]],TT_COL_AmntSign)</f>
        <v>4666.93</v>
      </c>
      <c r="X1623" s="167">
        <f>IF(INDEX(TransTypes[],Transactions[[#This Row],[TTR]],TT_COL_LONGORSHORT)="S",
      IF( OR(INDEX(TransTypes[],Transactions[[#This Row],[TTR]],TT_COL_GLFlag)=1, INDEX(TransTypes[], Transactions[[#This Row],[TTR]], TT_COL_ShareTransferFlag)=1),
            Transactions[[#This Row],[CostImpact]]*-1,
            Transactions[[#This Row],[CalCashImpact]]
      ),
     0
)</f>
        <v>0</v>
      </c>
      <c r="Y1623" s="168" t="str">
        <f>VLOOKUP(Transactions[[#This Row],[Symbol]],Symbols[], COLUMN(Symbols[Currency])-COLUMN(Symbols[])+1,FALSE)</f>
        <v>CNY</v>
      </c>
    </row>
    <row r="1624" spans="1:25">
      <c r="A1624" s="155" t="s">
        <v>82</v>
      </c>
      <c r="B1624" s="156">
        <v>42893</v>
      </c>
      <c r="C1624" s="155" t="s">
        <v>118</v>
      </c>
      <c r="D1624" s="155"/>
      <c r="E1624" s="155" t="s">
        <v>741</v>
      </c>
      <c r="F1624" s="157"/>
      <c r="G1624" s="158"/>
      <c r="H1624" s="157"/>
      <c r="I1624" s="157"/>
      <c r="J1624" s="159">
        <v>500</v>
      </c>
      <c r="K1624" s="6" t="s">
        <v>641</v>
      </c>
      <c r="L1624" s="20">
        <f>IF(ISNA(MATCH(Transactions[[#This Row],[TransType]],TransTypes[TransType],0)),1,MATCH(Transactions[[#This Row],[TransType]],TransTypes[TransType],0))</f>
        <v>4</v>
      </c>
      <c r="M1624" s="160">
        <f>IF( AND( INDEX(TransTypes[],Transactions[[#This Row],[TTR]],TT_COL_GLFlag)=1, INDEX(TransTypes[],Transactions[[#This Row],[TTR]],TT_COL_LONGORSHORT)="S" ),
      Transactions[[#This Row],[PL]],
      IF(INDEX(TransTypes[],Transactions[[#This Row],[TTR]],TT_COL_LONGORSHORT)="S",0,Transactions[[#This Row],[CalCashImpact]])
)</f>
        <v>500</v>
      </c>
      <c r="N1624" s="161">
        <f>IF(VLOOKUP(Transactions[[#This Row],[Symbol]],Symbols[],COLUMN(Symbols[Currency])-COLUMN(Symbols[])+1,FALSE)=
       VLOOKUP(Transactions[[#This Row],[Account]],Accounts[],COLUMN(Accounts[Currency])-COLUMN(Accounts[])+1,FALSE),
     Transactions[[#This Row],[OrigCashImpact]],
     0
)</f>
        <v>500</v>
      </c>
      <c r="O16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482788.15999999986</v>
      </c>
      <c r="P16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624" s="41">
        <f>ROW()</f>
        <v>1624</v>
      </c>
      <c r="S16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89929.707211538465</v>
      </c>
      <c r="U16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624" s="166">
        <f>IF(INDEX(TransTypes[],Transactions[[#This Row],[TTR]],TT_COL_GLFlag)=1,Transactions[[#This Row],[CalCashImpact]]+Transactions[[#This Row],[CostImpact]],0)</f>
        <v>0</v>
      </c>
      <c r="W1624" s="167">
        <f>Transactions[[#This Row],[Amount]]*INDEX(TransTypes[],Transactions[[#This Row],[TTR]],TT_COL_AmntSign)</f>
        <v>500</v>
      </c>
      <c r="X1624" s="167">
        <f>IF(INDEX(TransTypes[],Transactions[[#This Row],[TTR]],TT_COL_LONGORSHORT)="S",
      IF( OR(INDEX(TransTypes[],Transactions[[#This Row],[TTR]],TT_COL_GLFlag)=1, INDEX(TransTypes[], Transactions[[#This Row],[TTR]], TT_COL_ShareTransferFlag)=1),
            Transactions[[#This Row],[CostImpact]]*-1,
            Transactions[[#This Row],[CalCashImpact]]
      ),
     0
)</f>
        <v>0</v>
      </c>
      <c r="Y1624" s="168" t="str">
        <f>VLOOKUP(Transactions[[#This Row],[Symbol]],Symbols[], COLUMN(Symbols[Currency])-COLUMN(Symbols[])+1,FALSE)</f>
        <v>CNY</v>
      </c>
    </row>
    <row r="1625" spans="1:25">
      <c r="A1625" s="155" t="s">
        <v>82</v>
      </c>
      <c r="B1625" s="156">
        <v>42893</v>
      </c>
      <c r="C1625" s="155" t="s">
        <v>113</v>
      </c>
      <c r="D1625" s="155"/>
      <c r="E1625" s="155" t="s">
        <v>474</v>
      </c>
      <c r="F1625" s="157">
        <v>2000</v>
      </c>
      <c r="G1625" s="158">
        <v>18.88</v>
      </c>
      <c r="H1625" s="157">
        <v>15.1</v>
      </c>
      <c r="I1625" s="157"/>
      <c r="J1625" s="159">
        <v>37775.1</v>
      </c>
      <c r="K1625" s="6" t="s">
        <v>641</v>
      </c>
      <c r="L1625" s="20">
        <f>IF(ISNA(MATCH(Transactions[[#This Row],[TransType]],TransTypes[TransType],0)),1,MATCH(Transactions[[#This Row],[TransType]],TransTypes[TransType],0))</f>
        <v>2</v>
      </c>
      <c r="M1625" s="160">
        <f>IF( AND( INDEX(TransTypes[],Transactions[[#This Row],[TTR]],TT_COL_GLFlag)=1, INDEX(TransTypes[],Transactions[[#This Row],[TTR]],TT_COL_LONGORSHORT)="S" ),
      Transactions[[#This Row],[PL]],
      IF(INDEX(TransTypes[],Transactions[[#This Row],[TTR]],TT_COL_LONGORSHORT)="S",0,Transactions[[#This Row],[CalCashImpact]])
)</f>
        <v>-37775.1</v>
      </c>
      <c r="N1625" s="161">
        <f>IF(VLOOKUP(Transactions[[#This Row],[Symbol]],Symbols[],COLUMN(Symbols[Currency])-COLUMN(Symbols[])+1,FALSE)=
       VLOOKUP(Transactions[[#This Row],[Account]],Accounts[],COLUMN(Accounts[Currency])-COLUMN(Accounts[])+1,FALSE),
     Transactions[[#This Row],[OrigCashImpact]],
     0
)</f>
        <v>-37775.1</v>
      </c>
      <c r="O16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445013.05999999988</v>
      </c>
      <c r="P16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625" s="41">
        <f>ROW()</f>
        <v>1625</v>
      </c>
      <c r="S16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37775.1</v>
      </c>
      <c r="T16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134658.08124999999</v>
      </c>
      <c r="U16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625" s="166">
        <f>IF(INDEX(TransTypes[],Transactions[[#This Row],[TTR]],TT_COL_GLFlag)=1,Transactions[[#This Row],[CalCashImpact]]+Transactions[[#This Row],[CostImpact]],0)</f>
        <v>0</v>
      </c>
      <c r="W1625" s="167">
        <f>Transactions[[#This Row],[Amount]]*INDEX(TransTypes[],Transactions[[#This Row],[TTR]],TT_COL_AmntSign)</f>
        <v>-37775.1</v>
      </c>
      <c r="X1625" s="167">
        <f>IF(INDEX(TransTypes[],Transactions[[#This Row],[TTR]],TT_COL_LONGORSHORT)="S",
      IF( OR(INDEX(TransTypes[],Transactions[[#This Row],[TTR]],TT_COL_GLFlag)=1, INDEX(TransTypes[], Transactions[[#This Row],[TTR]], TT_COL_ShareTransferFlag)=1),
            Transactions[[#This Row],[CostImpact]]*-1,
            Transactions[[#This Row],[CalCashImpact]]
      ),
     0
)</f>
        <v>0</v>
      </c>
      <c r="Y1625" s="168" t="str">
        <f>VLOOKUP(Transactions[[#This Row],[Symbol]],Symbols[], COLUMN(Symbols[Currency])-COLUMN(Symbols[])+1,FALSE)</f>
        <v>CNY</v>
      </c>
    </row>
    <row r="1626" spans="1:25">
      <c r="A1626" s="155" t="s">
        <v>82</v>
      </c>
      <c r="B1626" s="156">
        <v>42895</v>
      </c>
      <c r="C1626" s="155" t="s">
        <v>113</v>
      </c>
      <c r="D1626" s="155"/>
      <c r="E1626" s="155" t="s">
        <v>474</v>
      </c>
      <c r="F1626" s="157">
        <v>3000</v>
      </c>
      <c r="G1626" s="158">
        <v>18.977</v>
      </c>
      <c r="H1626" s="157">
        <v>22.77</v>
      </c>
      <c r="I1626" s="157"/>
      <c r="J1626" s="159">
        <v>56953.77</v>
      </c>
      <c r="K1626" s="6" t="s">
        <v>641</v>
      </c>
      <c r="L1626" s="20">
        <f>IF(ISNA(MATCH(Transactions[[#This Row],[TransType]],TransTypes[TransType],0)),1,MATCH(Transactions[[#This Row],[TransType]],TransTypes[TransType],0))</f>
        <v>2</v>
      </c>
      <c r="M1626" s="160">
        <f>IF( AND( INDEX(TransTypes[],Transactions[[#This Row],[TTR]],TT_COL_GLFlag)=1, INDEX(TransTypes[],Transactions[[#This Row],[TTR]],TT_COL_LONGORSHORT)="S" ),
      Transactions[[#This Row],[PL]],
      IF(INDEX(TransTypes[],Transactions[[#This Row],[TTR]],TT_COL_LONGORSHORT)="S",0,Transactions[[#This Row],[CalCashImpact]])
)</f>
        <v>-56953.77</v>
      </c>
      <c r="N1626" s="161">
        <f>IF(VLOOKUP(Transactions[[#This Row],[Symbol]],Symbols[],COLUMN(Symbols[Currency])-COLUMN(Symbols[])+1,FALSE)=
       VLOOKUP(Transactions[[#This Row],[Account]],Accounts[],COLUMN(Accounts[Currency])-COLUMN(Accounts[])+1,FALSE),
     Transactions[[#This Row],[OrigCashImpact]],
     0
)</f>
        <v>-56953.77</v>
      </c>
      <c r="O16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388059.28999999986</v>
      </c>
      <c r="P16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6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626" s="41">
        <f>ROW()</f>
        <v>1626</v>
      </c>
      <c r="S16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56953.77</v>
      </c>
      <c r="T16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191611.85124999998</v>
      </c>
      <c r="U16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26" s="166">
        <f>IF(INDEX(TransTypes[],Transactions[[#This Row],[TTR]],TT_COL_GLFlag)=1,Transactions[[#This Row],[CalCashImpact]]+Transactions[[#This Row],[CostImpact]],0)</f>
        <v>0</v>
      </c>
      <c r="W1626" s="167">
        <f>Transactions[[#This Row],[Amount]]*INDEX(TransTypes[],Transactions[[#This Row],[TTR]],TT_COL_AmntSign)</f>
        <v>-56953.77</v>
      </c>
      <c r="X1626" s="167">
        <f>IF(INDEX(TransTypes[],Transactions[[#This Row],[TTR]],TT_COL_LONGORSHORT)="S",
      IF( OR(INDEX(TransTypes[],Transactions[[#This Row],[TTR]],TT_COL_GLFlag)=1, INDEX(TransTypes[], Transactions[[#This Row],[TTR]], TT_COL_ShareTransferFlag)=1),
            Transactions[[#This Row],[CostImpact]]*-1,
            Transactions[[#This Row],[CalCashImpact]]
      ),
     0
)</f>
        <v>0</v>
      </c>
      <c r="Y1626" s="168" t="str">
        <f>VLOOKUP(Transactions[[#This Row],[Symbol]],Symbols[], COLUMN(Symbols[Currency])-COLUMN(Symbols[])+1,FALSE)</f>
        <v>CNY</v>
      </c>
    </row>
    <row r="1627" spans="1:25">
      <c r="A1627" s="155" t="s">
        <v>82</v>
      </c>
      <c r="B1627" s="156">
        <v>42895</v>
      </c>
      <c r="C1627" s="155" t="s">
        <v>115</v>
      </c>
      <c r="D1627" s="155"/>
      <c r="E1627" s="155" t="s">
        <v>482</v>
      </c>
      <c r="F1627" s="157">
        <v>1000</v>
      </c>
      <c r="G1627" s="158">
        <v>36.67</v>
      </c>
      <c r="H1627" s="157">
        <v>51.34</v>
      </c>
      <c r="I1627" s="157"/>
      <c r="J1627" s="159">
        <v>36618.660000000003</v>
      </c>
      <c r="K1627" s="6" t="s">
        <v>641</v>
      </c>
      <c r="L1627" s="20">
        <f>IF(ISNA(MATCH(Transactions[[#This Row],[TransType]],TransTypes[TransType],0)),1,MATCH(Transactions[[#This Row],[TransType]],TransTypes[TransType],0))</f>
        <v>3</v>
      </c>
      <c r="M1627" s="160">
        <f>IF( AND( INDEX(TransTypes[],Transactions[[#This Row],[TTR]],TT_COL_GLFlag)=1, INDEX(TransTypes[],Transactions[[#This Row],[TTR]],TT_COL_LONGORSHORT)="S" ),
      Transactions[[#This Row],[PL]],
      IF(INDEX(TransTypes[],Transactions[[#This Row],[TTR]],TT_COL_LONGORSHORT)="S",0,Transactions[[#This Row],[CalCashImpact]])
)</f>
        <v>36618.660000000003</v>
      </c>
      <c r="N1627" s="161">
        <f>IF(VLOOKUP(Transactions[[#This Row],[Symbol]],Symbols[],COLUMN(Symbols[Currency])-COLUMN(Symbols[])+1,FALSE)=
       VLOOKUP(Transactions[[#This Row],[Account]],Accounts[],COLUMN(Accounts[Currency])-COLUMN(Accounts[])+1,FALSE),
     Transactions[[#This Row],[OrigCashImpact]],
     0
)</f>
        <v>36618.660000000003</v>
      </c>
      <c r="O16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424677.9499999999</v>
      </c>
      <c r="P16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6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627" s="41">
        <f>ROW()</f>
        <v>1627</v>
      </c>
      <c r="S16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-30296.280555555553</v>
      </c>
      <c r="T16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272666.52500000002</v>
      </c>
      <c r="U16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27" s="166">
        <f>IF(INDEX(TransTypes[],Transactions[[#This Row],[TTR]],TT_COL_GLFlag)=1,Transactions[[#This Row],[CalCashImpact]]+Transactions[[#This Row],[CostImpact]],0)</f>
        <v>6322.3794444444502</v>
      </c>
      <c r="W1627" s="167">
        <f>Transactions[[#This Row],[Amount]]*INDEX(TransTypes[],Transactions[[#This Row],[TTR]],TT_COL_AmntSign)</f>
        <v>36618.660000000003</v>
      </c>
      <c r="X1627" s="167">
        <f>IF(INDEX(TransTypes[],Transactions[[#This Row],[TTR]],TT_COL_LONGORSHORT)="S",
      IF( OR(INDEX(TransTypes[],Transactions[[#This Row],[TTR]],TT_COL_GLFlag)=1, INDEX(TransTypes[], Transactions[[#This Row],[TTR]], TT_COL_ShareTransferFlag)=1),
            Transactions[[#This Row],[CostImpact]]*-1,
            Transactions[[#This Row],[CalCashImpact]]
      ),
     0
)</f>
        <v>0</v>
      </c>
      <c r="Y1627" s="168" t="str">
        <f>VLOOKUP(Transactions[[#This Row],[Symbol]],Symbols[], COLUMN(Symbols[Currency])-COLUMN(Symbols[])+1,FALSE)</f>
        <v>CNY</v>
      </c>
    </row>
    <row r="1628" spans="1:25">
      <c r="A1628" s="155" t="s">
        <v>82</v>
      </c>
      <c r="B1628" s="156">
        <v>42895</v>
      </c>
      <c r="C1628" s="155" t="s">
        <v>113</v>
      </c>
      <c r="D1628" s="155"/>
      <c r="E1628" s="155" t="s">
        <v>736</v>
      </c>
      <c r="F1628" s="157">
        <v>4000</v>
      </c>
      <c r="G1628" s="158">
        <v>24.882000000000001</v>
      </c>
      <c r="H1628" s="157">
        <v>41.8</v>
      </c>
      <c r="I1628" s="157"/>
      <c r="J1628" s="159">
        <v>99569.8</v>
      </c>
      <c r="K1628" s="6" t="s">
        <v>641</v>
      </c>
      <c r="L1628" s="20">
        <f>IF(ISNA(MATCH(Transactions[[#This Row],[TransType]],TransTypes[TransType],0)),1,MATCH(Transactions[[#This Row],[TransType]],TransTypes[TransType],0))</f>
        <v>2</v>
      </c>
      <c r="M1628" s="160">
        <f>IF( AND( INDEX(TransTypes[],Transactions[[#This Row],[TTR]],TT_COL_GLFlag)=1, INDEX(TransTypes[],Transactions[[#This Row],[TTR]],TT_COL_LONGORSHORT)="S" ),
      Transactions[[#This Row],[PL]],
      IF(INDEX(TransTypes[],Transactions[[#This Row],[TTR]],TT_COL_LONGORSHORT)="S",0,Transactions[[#This Row],[CalCashImpact]])
)</f>
        <v>-99569.8</v>
      </c>
      <c r="N1628" s="161">
        <f>IF(VLOOKUP(Transactions[[#This Row],[Symbol]],Symbols[],COLUMN(Symbols[Currency])-COLUMN(Symbols[])+1,FALSE)=
       VLOOKUP(Transactions[[#This Row],[Account]],Accounts[],COLUMN(Accounts[Currency])-COLUMN(Accounts[])+1,FALSE),
     Transactions[[#This Row],[OrigCashImpact]],
     0
)</f>
        <v>-99569.8</v>
      </c>
      <c r="O16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325108.14999999991</v>
      </c>
      <c r="P16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6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628" s="41">
        <f>ROW()</f>
        <v>1628</v>
      </c>
      <c r="S16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99569.8</v>
      </c>
      <c r="T16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315480.44</v>
      </c>
      <c r="U16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628" s="166">
        <f>IF(INDEX(TransTypes[],Transactions[[#This Row],[TTR]],TT_COL_GLFlag)=1,Transactions[[#This Row],[CalCashImpact]]+Transactions[[#This Row],[CostImpact]],0)</f>
        <v>0</v>
      </c>
      <c r="W1628" s="167">
        <f>Transactions[[#This Row],[Amount]]*INDEX(TransTypes[],Transactions[[#This Row],[TTR]],TT_COL_AmntSign)</f>
        <v>-99569.8</v>
      </c>
      <c r="X1628" s="167">
        <f>IF(INDEX(TransTypes[],Transactions[[#This Row],[TTR]],TT_COL_LONGORSHORT)="S",
      IF( OR(INDEX(TransTypes[],Transactions[[#This Row],[TTR]],TT_COL_GLFlag)=1, INDEX(TransTypes[], Transactions[[#This Row],[TTR]], TT_COL_ShareTransferFlag)=1),
            Transactions[[#This Row],[CostImpact]]*-1,
            Transactions[[#This Row],[CalCashImpact]]
      ),
     0
)</f>
        <v>0</v>
      </c>
      <c r="Y1628" s="168" t="str">
        <f>VLOOKUP(Transactions[[#This Row],[Symbol]],Symbols[], COLUMN(Symbols[Currency])-COLUMN(Symbols[])+1,FALSE)</f>
        <v>CNY</v>
      </c>
    </row>
    <row r="1629" spans="1:25">
      <c r="A1629" s="155" t="s">
        <v>82</v>
      </c>
      <c r="B1629" s="156">
        <v>42895</v>
      </c>
      <c r="C1629" s="155" t="s">
        <v>115</v>
      </c>
      <c r="D1629" s="155"/>
      <c r="E1629" s="155" t="s">
        <v>468</v>
      </c>
      <c r="F1629" s="157">
        <v>2000</v>
      </c>
      <c r="G1629" s="158">
        <v>48.23</v>
      </c>
      <c r="H1629" s="157">
        <v>136.97</v>
      </c>
      <c r="I1629" s="157"/>
      <c r="J1629" s="159">
        <v>96323.03</v>
      </c>
      <c r="K1629" s="6" t="s">
        <v>641</v>
      </c>
      <c r="L1629" s="20">
        <f>IF(ISNA(MATCH(Transactions[[#This Row],[TransType]],TransTypes[TransType],0)),1,MATCH(Transactions[[#This Row],[TransType]],TransTypes[TransType],0))</f>
        <v>3</v>
      </c>
      <c r="M1629" s="160">
        <f>IF( AND( INDEX(TransTypes[],Transactions[[#This Row],[TTR]],TT_COL_GLFlag)=1, INDEX(TransTypes[],Transactions[[#This Row],[TTR]],TT_COL_LONGORSHORT)="S" ),
      Transactions[[#This Row],[PL]],
      IF(INDEX(TransTypes[],Transactions[[#This Row],[TTR]],TT_COL_LONGORSHORT)="S",0,Transactions[[#This Row],[CalCashImpact]])
)</f>
        <v>96323.03</v>
      </c>
      <c r="N1629" s="161">
        <f>IF(VLOOKUP(Transactions[[#This Row],[Symbol]],Symbols[],COLUMN(Symbols[Currency])-COLUMN(Symbols[])+1,FALSE)=
       VLOOKUP(Transactions[[#This Row],[Account]],Accounts[],COLUMN(Accounts[Currency])-COLUMN(Accounts[])+1,FALSE),
     Transactions[[#This Row],[OrigCashImpact]],
     0
)</f>
        <v>96323.03</v>
      </c>
      <c r="O16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421431.17999999988</v>
      </c>
      <c r="P16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629" s="41">
        <f>ROW()</f>
        <v>1629</v>
      </c>
      <c r="S16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-73341.971214285732</v>
      </c>
      <c r="T16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366709.85607142863</v>
      </c>
      <c r="U16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629" s="166">
        <f>IF(INDEX(TransTypes[],Transactions[[#This Row],[TTR]],TT_COL_GLFlag)=1,Transactions[[#This Row],[CalCashImpact]]+Transactions[[#This Row],[CostImpact]],0)</f>
        <v>22981.058785714267</v>
      </c>
      <c r="W1629" s="167">
        <f>Transactions[[#This Row],[Amount]]*INDEX(TransTypes[],Transactions[[#This Row],[TTR]],TT_COL_AmntSign)</f>
        <v>96323.03</v>
      </c>
      <c r="X1629" s="167">
        <f>IF(INDEX(TransTypes[],Transactions[[#This Row],[TTR]],TT_COL_LONGORSHORT)="S",
      IF( OR(INDEX(TransTypes[],Transactions[[#This Row],[TTR]],TT_COL_GLFlag)=1, INDEX(TransTypes[], Transactions[[#This Row],[TTR]], TT_COL_ShareTransferFlag)=1),
            Transactions[[#This Row],[CostImpact]]*-1,
            Transactions[[#This Row],[CalCashImpact]]
      ),
     0
)</f>
        <v>0</v>
      </c>
      <c r="Y1629" s="168" t="str">
        <f>VLOOKUP(Transactions[[#This Row],[Symbol]],Symbols[], COLUMN(Symbols[Currency])-COLUMN(Symbols[])+1,FALSE)</f>
        <v>CNY</v>
      </c>
    </row>
    <row r="1630" spans="1:25">
      <c r="A1630" s="155" t="s">
        <v>82</v>
      </c>
      <c r="B1630" s="156">
        <v>42895</v>
      </c>
      <c r="C1630" s="155" t="s">
        <v>115</v>
      </c>
      <c r="D1630" s="155"/>
      <c r="E1630" s="155" t="s">
        <v>488</v>
      </c>
      <c r="F1630" s="157">
        <v>2000</v>
      </c>
      <c r="G1630" s="158">
        <v>26.2</v>
      </c>
      <c r="H1630" s="157">
        <v>74.41</v>
      </c>
      <c r="I1630" s="157"/>
      <c r="J1630" s="159">
        <v>52325.59</v>
      </c>
      <c r="K1630" s="6" t="s">
        <v>641</v>
      </c>
      <c r="L1630" s="20">
        <f>IF(ISNA(MATCH(Transactions[[#This Row],[TransType]],TransTypes[TransType],0)),1,MATCH(Transactions[[#This Row],[TransType]],TransTypes[TransType],0))</f>
        <v>3</v>
      </c>
      <c r="M1630" s="160">
        <f>IF( AND( INDEX(TransTypes[],Transactions[[#This Row],[TTR]],TT_COL_GLFlag)=1, INDEX(TransTypes[],Transactions[[#This Row],[TTR]],TT_COL_LONGORSHORT)="S" ),
      Transactions[[#This Row],[PL]],
      IF(INDEX(TransTypes[],Transactions[[#This Row],[TTR]],TT_COL_LONGORSHORT)="S",0,Transactions[[#This Row],[CalCashImpact]])
)</f>
        <v>52325.59</v>
      </c>
      <c r="N1630" s="161">
        <f>IF(VLOOKUP(Transactions[[#This Row],[Symbol]],Symbols[],COLUMN(Symbols[Currency])-COLUMN(Symbols[])+1,FALSE)=
       VLOOKUP(Transactions[[#This Row],[Account]],Accounts[],COLUMN(Accounts[Currency])-COLUMN(Accounts[])+1,FALSE),
     Transactions[[#This Row],[OrigCashImpact]],
     0
)</f>
        <v>52325.59</v>
      </c>
      <c r="O16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473756.7699999999</v>
      </c>
      <c r="P16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11000</v>
      </c>
      <c r="R1630" s="41">
        <f>ROW()</f>
        <v>1630</v>
      </c>
      <c r="S16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-39248.415076923084</v>
      </c>
      <c r="T16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215866.28292307691</v>
      </c>
      <c r="U16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630" s="166">
        <f>IF(INDEX(TransTypes[],Transactions[[#This Row],[TTR]],TT_COL_GLFlag)=1,Transactions[[#This Row],[CalCashImpact]]+Transactions[[#This Row],[CostImpact]],0)</f>
        <v>13077.174923076913</v>
      </c>
      <c r="W1630" s="167">
        <f>Transactions[[#This Row],[Amount]]*INDEX(TransTypes[],Transactions[[#This Row],[TTR]],TT_COL_AmntSign)</f>
        <v>52325.59</v>
      </c>
      <c r="X1630" s="167">
        <f>IF(INDEX(TransTypes[],Transactions[[#This Row],[TTR]],TT_COL_LONGORSHORT)="S",
      IF( OR(INDEX(TransTypes[],Transactions[[#This Row],[TTR]],TT_COL_GLFlag)=1, INDEX(TransTypes[], Transactions[[#This Row],[TTR]], TT_COL_ShareTransferFlag)=1),
            Transactions[[#This Row],[CostImpact]]*-1,
            Transactions[[#This Row],[CalCashImpact]]
      ),
     0
)</f>
        <v>0</v>
      </c>
      <c r="Y1630" s="168" t="str">
        <f>VLOOKUP(Transactions[[#This Row],[Symbol]],Symbols[], COLUMN(Symbols[Currency])-COLUMN(Symbols[])+1,FALSE)</f>
        <v>CNY</v>
      </c>
    </row>
    <row r="1631" spans="1:25">
      <c r="A1631" s="155" t="s">
        <v>82</v>
      </c>
      <c r="B1631" s="156">
        <v>42895</v>
      </c>
      <c r="C1631" s="155" t="s">
        <v>115</v>
      </c>
      <c r="D1631" s="155"/>
      <c r="E1631" s="155" t="s">
        <v>684</v>
      </c>
      <c r="F1631" s="157">
        <v>1000</v>
      </c>
      <c r="G1631" s="158">
        <v>30.99</v>
      </c>
      <c r="H1631" s="157">
        <v>44.01</v>
      </c>
      <c r="I1631" s="157"/>
      <c r="J1631" s="159">
        <v>30945.99</v>
      </c>
      <c r="K1631" s="6" t="s">
        <v>641</v>
      </c>
      <c r="L1631" s="20">
        <f>IF(ISNA(MATCH(Transactions[[#This Row],[TransType]],TransTypes[TransType],0)),1,MATCH(Transactions[[#This Row],[TransType]],TransTypes[TransType],0))</f>
        <v>3</v>
      </c>
      <c r="M1631" s="160">
        <f>IF( AND( INDEX(TransTypes[],Transactions[[#This Row],[TTR]],TT_COL_GLFlag)=1, INDEX(TransTypes[],Transactions[[#This Row],[TTR]],TT_COL_LONGORSHORT)="S" ),
      Transactions[[#This Row],[PL]],
      IF(INDEX(TransTypes[],Transactions[[#This Row],[TTR]],TT_COL_LONGORSHORT)="S",0,Transactions[[#This Row],[CalCashImpact]])
)</f>
        <v>30945.99</v>
      </c>
      <c r="N1631" s="161">
        <f>IF(VLOOKUP(Transactions[[#This Row],[Symbol]],Symbols[],COLUMN(Symbols[Currency])-COLUMN(Symbols[])+1,FALSE)=
       VLOOKUP(Transactions[[#This Row],[Account]],Accounts[],COLUMN(Accounts[Currency])-COLUMN(Accounts[])+1,FALSE),
     Transactions[[#This Row],[OrigCashImpact]],
     0
)</f>
        <v>30945.99</v>
      </c>
      <c r="O16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504702.75999999989</v>
      </c>
      <c r="P16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6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631" s="41">
        <f>ROW()</f>
        <v>1631</v>
      </c>
      <c r="S16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-25600.748000000003</v>
      </c>
      <c r="T16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76802.244000000006</v>
      </c>
      <c r="U16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631" s="166">
        <f>IF(INDEX(TransTypes[],Transactions[[#This Row],[TTR]],TT_COL_GLFlag)=1,Transactions[[#This Row],[CalCashImpact]]+Transactions[[#This Row],[CostImpact]],0)</f>
        <v>5345.2419999999984</v>
      </c>
      <c r="W1631" s="167">
        <f>Transactions[[#This Row],[Amount]]*INDEX(TransTypes[],Transactions[[#This Row],[TTR]],TT_COL_AmntSign)</f>
        <v>30945.99</v>
      </c>
      <c r="X1631" s="167">
        <f>IF(INDEX(TransTypes[],Transactions[[#This Row],[TTR]],TT_COL_LONGORSHORT)="S",
      IF( OR(INDEX(TransTypes[],Transactions[[#This Row],[TTR]],TT_COL_GLFlag)=1, INDEX(TransTypes[], Transactions[[#This Row],[TTR]], TT_COL_ShareTransferFlag)=1),
            Transactions[[#This Row],[CostImpact]]*-1,
            Transactions[[#This Row],[CalCashImpact]]
      ),
     0
)</f>
        <v>0</v>
      </c>
      <c r="Y1631" s="168" t="str">
        <f>VLOOKUP(Transactions[[#This Row],[Symbol]],Symbols[], COLUMN(Symbols[Currency])-COLUMN(Symbols[])+1,FALSE)</f>
        <v>CNY</v>
      </c>
    </row>
    <row r="1632" spans="1:25">
      <c r="A1632" s="155" t="s">
        <v>82</v>
      </c>
      <c r="B1632" s="156">
        <v>42895</v>
      </c>
      <c r="C1632" s="155" t="s">
        <v>115</v>
      </c>
      <c r="D1632" s="155"/>
      <c r="E1632" s="155" t="s">
        <v>485</v>
      </c>
      <c r="F1632" s="157">
        <v>4000</v>
      </c>
      <c r="G1632" s="158">
        <v>18.021999999999998</v>
      </c>
      <c r="H1632" s="157">
        <v>102.35</v>
      </c>
      <c r="I1632" s="157"/>
      <c r="J1632" s="159">
        <v>71985.649999999994</v>
      </c>
      <c r="K1632" s="6" t="s">
        <v>641</v>
      </c>
      <c r="L1632" s="20">
        <f>IF(ISNA(MATCH(Transactions[[#This Row],[TransType]],TransTypes[TransType],0)),1,MATCH(Transactions[[#This Row],[TransType]],TransTypes[TransType],0))</f>
        <v>3</v>
      </c>
      <c r="M1632" s="160">
        <f>IF( AND( INDEX(TransTypes[],Transactions[[#This Row],[TTR]],TT_COL_GLFlag)=1, INDEX(TransTypes[],Transactions[[#This Row],[TTR]],TT_COL_LONGORSHORT)="S" ),
      Transactions[[#This Row],[PL]],
      IF(INDEX(TransTypes[],Transactions[[#This Row],[TTR]],TT_COL_LONGORSHORT)="S",0,Transactions[[#This Row],[CalCashImpact]])
)</f>
        <v>71985.649999999994</v>
      </c>
      <c r="N1632" s="161">
        <f>IF(VLOOKUP(Transactions[[#This Row],[Symbol]],Symbols[],COLUMN(Symbols[Currency])-COLUMN(Symbols[])+1,FALSE)=
       VLOOKUP(Transactions[[#This Row],[Account]],Accounts[],COLUMN(Accounts[Currency])-COLUMN(Accounts[])+1,FALSE),
     Transactions[[#This Row],[OrigCashImpact]],
     0
)</f>
        <v>71985.649999999994</v>
      </c>
      <c r="O16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576688.40999999992</v>
      </c>
      <c r="P16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6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632" s="41">
        <f>ROW()</f>
        <v>1632</v>
      </c>
      <c r="S16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-65347.44</v>
      </c>
      <c r="T16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163368.6</v>
      </c>
      <c r="U16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632" s="166">
        <f>IF(INDEX(TransTypes[],Transactions[[#This Row],[TTR]],TT_COL_GLFlag)=1,Transactions[[#This Row],[CalCashImpact]]+Transactions[[#This Row],[CostImpact]],0)</f>
        <v>6638.2099999999919</v>
      </c>
      <c r="W1632" s="167">
        <f>Transactions[[#This Row],[Amount]]*INDEX(TransTypes[],Transactions[[#This Row],[TTR]],TT_COL_AmntSign)</f>
        <v>71985.649999999994</v>
      </c>
      <c r="X1632" s="167">
        <f>IF(INDEX(TransTypes[],Transactions[[#This Row],[TTR]],TT_COL_LONGORSHORT)="S",
      IF( OR(INDEX(TransTypes[],Transactions[[#This Row],[TTR]],TT_COL_GLFlag)=1, INDEX(TransTypes[], Transactions[[#This Row],[TTR]], TT_COL_ShareTransferFlag)=1),
            Transactions[[#This Row],[CostImpact]]*-1,
            Transactions[[#This Row],[CalCashImpact]]
      ),
     0
)</f>
        <v>0</v>
      </c>
      <c r="Y1632" s="168" t="str">
        <f>VLOOKUP(Transactions[[#This Row],[Symbol]],Symbols[], COLUMN(Symbols[Currency])-COLUMN(Symbols[])+1,FALSE)</f>
        <v>CNY</v>
      </c>
    </row>
    <row r="1633" spans="1:25">
      <c r="A1633" s="155" t="s">
        <v>82</v>
      </c>
      <c r="B1633" s="156">
        <v>42898</v>
      </c>
      <c r="C1633" s="155" t="s">
        <v>123</v>
      </c>
      <c r="D1633" s="155"/>
      <c r="E1633" s="155" t="s">
        <v>488</v>
      </c>
      <c r="F1633" s="157"/>
      <c r="G1633" s="158"/>
      <c r="H1633" s="157"/>
      <c r="I1633" s="157"/>
      <c r="J1633" s="159">
        <v>-150</v>
      </c>
      <c r="K1633" s="6" t="s">
        <v>641</v>
      </c>
      <c r="L1633" s="20">
        <f>IF(ISNA(MATCH(Transactions[[#This Row],[TransType]],TransTypes[TransType],0)),1,MATCH(Transactions[[#This Row],[TransType]],TransTypes[TransType],0))</f>
        <v>7</v>
      </c>
      <c r="M1633" s="160">
        <f>IF( AND( INDEX(TransTypes[],Transactions[[#This Row],[TTR]],TT_COL_GLFlag)=1, INDEX(TransTypes[],Transactions[[#This Row],[TTR]],TT_COL_LONGORSHORT)="S" ),
      Transactions[[#This Row],[PL]],
      IF(INDEX(TransTypes[],Transactions[[#This Row],[TTR]],TT_COL_LONGORSHORT)="S",0,Transactions[[#This Row],[CalCashImpact]])
)</f>
        <v>150</v>
      </c>
      <c r="N1633" s="161">
        <f>IF(VLOOKUP(Transactions[[#This Row],[Symbol]],Symbols[],COLUMN(Symbols[Currency])-COLUMN(Symbols[])+1,FALSE)=
       VLOOKUP(Transactions[[#This Row],[Account]],Accounts[],COLUMN(Accounts[Currency])-COLUMN(Accounts[])+1,FALSE),
     Transactions[[#This Row],[OrigCashImpact]],
     0
)</f>
        <v>150</v>
      </c>
      <c r="O16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576838.4099999998</v>
      </c>
      <c r="P16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11000</v>
      </c>
      <c r="R1633" s="41">
        <f>ROW()</f>
        <v>1633</v>
      </c>
      <c r="S16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215866.28292307691</v>
      </c>
      <c r="U16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11000</v>
      </c>
      <c r="V1633" s="166">
        <f>IF(INDEX(TransTypes[],Transactions[[#This Row],[TTR]],TT_COL_GLFlag)=1,Transactions[[#This Row],[CalCashImpact]]+Transactions[[#This Row],[CostImpact]],0)</f>
        <v>0</v>
      </c>
      <c r="W1633" s="167">
        <f>Transactions[[#This Row],[Amount]]*INDEX(TransTypes[],Transactions[[#This Row],[TTR]],TT_COL_AmntSign)</f>
        <v>150</v>
      </c>
      <c r="X1633" s="167">
        <f>IF(INDEX(TransTypes[],Transactions[[#This Row],[TTR]],TT_COL_LONGORSHORT)="S",
      IF( OR(INDEX(TransTypes[],Transactions[[#This Row],[TTR]],TT_COL_GLFlag)=1, INDEX(TransTypes[], Transactions[[#This Row],[TTR]], TT_COL_ShareTransferFlag)=1),
            Transactions[[#This Row],[CostImpact]]*-1,
            Transactions[[#This Row],[CalCashImpact]]
      ),
     0
)</f>
        <v>0</v>
      </c>
      <c r="Y1633" s="168" t="str">
        <f>VLOOKUP(Transactions[[#This Row],[Symbol]],Symbols[], COLUMN(Symbols[Currency])-COLUMN(Symbols[])+1,FALSE)</f>
        <v>CNY</v>
      </c>
    </row>
    <row r="1634" spans="1:25">
      <c r="A1634" s="155" t="s">
        <v>82</v>
      </c>
      <c r="B1634" s="156">
        <v>42898</v>
      </c>
      <c r="C1634" s="155" t="s">
        <v>113</v>
      </c>
      <c r="D1634" s="155"/>
      <c r="E1634" s="155" t="s">
        <v>474</v>
      </c>
      <c r="F1634" s="157">
        <v>2000</v>
      </c>
      <c r="G1634" s="158">
        <v>18.64</v>
      </c>
      <c r="H1634" s="157">
        <v>14.91</v>
      </c>
      <c r="I1634" s="157"/>
      <c r="J1634" s="159">
        <v>37294.910000000003</v>
      </c>
      <c r="K1634" s="6" t="s">
        <v>641</v>
      </c>
      <c r="L1634" s="20">
        <f>IF(ISNA(MATCH(Transactions[[#This Row],[TransType]],TransTypes[TransType],0)),1,MATCH(Transactions[[#This Row],[TransType]],TransTypes[TransType],0))</f>
        <v>2</v>
      </c>
      <c r="M1634" s="160">
        <f>IF( AND( INDEX(TransTypes[],Transactions[[#This Row],[TTR]],TT_COL_GLFlag)=1, INDEX(TransTypes[],Transactions[[#This Row],[TTR]],TT_COL_LONGORSHORT)="S" ),
      Transactions[[#This Row],[PL]],
      IF(INDEX(TransTypes[],Transactions[[#This Row],[TTR]],TT_COL_LONGORSHORT)="S",0,Transactions[[#This Row],[CalCashImpact]])
)</f>
        <v>-37294.910000000003</v>
      </c>
      <c r="N1634" s="161">
        <f>IF(VLOOKUP(Transactions[[#This Row],[Symbol]],Symbols[],COLUMN(Symbols[Currency])-COLUMN(Symbols[])+1,FALSE)=
       VLOOKUP(Transactions[[#This Row],[Account]],Accounts[],COLUMN(Accounts[Currency])-COLUMN(Accounts[])+1,FALSE),
     Transactions[[#This Row],[OrigCashImpact]],
     0
)</f>
        <v>-37294.910000000003</v>
      </c>
      <c r="O16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539543.49999999977</v>
      </c>
      <c r="P16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634" s="41">
        <f>ROW()</f>
        <v>1634</v>
      </c>
      <c r="S16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37294.910000000003</v>
      </c>
      <c r="T16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228906.76124999998</v>
      </c>
      <c r="U16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634" s="166">
        <f>IF(INDEX(TransTypes[],Transactions[[#This Row],[TTR]],TT_COL_GLFlag)=1,Transactions[[#This Row],[CalCashImpact]]+Transactions[[#This Row],[CostImpact]],0)</f>
        <v>0</v>
      </c>
      <c r="W1634" s="167">
        <f>Transactions[[#This Row],[Amount]]*INDEX(TransTypes[],Transactions[[#This Row],[TTR]],TT_COL_AmntSign)</f>
        <v>-37294.910000000003</v>
      </c>
      <c r="X1634" s="167">
        <f>IF(INDEX(TransTypes[],Transactions[[#This Row],[TTR]],TT_COL_LONGORSHORT)="S",
      IF( OR(INDEX(TransTypes[],Transactions[[#This Row],[TTR]],TT_COL_GLFlag)=1, INDEX(TransTypes[], Transactions[[#This Row],[TTR]], TT_COL_ShareTransferFlag)=1),
            Transactions[[#This Row],[CostImpact]]*-1,
            Transactions[[#This Row],[CalCashImpact]]
      ),
     0
)</f>
        <v>0</v>
      </c>
      <c r="Y1634" s="168" t="str">
        <f>VLOOKUP(Transactions[[#This Row],[Symbol]],Symbols[], COLUMN(Symbols[Currency])-COLUMN(Symbols[])+1,FALSE)</f>
        <v>CNY</v>
      </c>
    </row>
    <row r="1635" spans="1:25">
      <c r="A1635" s="155" t="s">
        <v>82</v>
      </c>
      <c r="B1635" s="156">
        <v>42899</v>
      </c>
      <c r="C1635" s="155" t="s">
        <v>115</v>
      </c>
      <c r="D1635" s="155"/>
      <c r="E1635" s="155" t="s">
        <v>485</v>
      </c>
      <c r="F1635" s="157">
        <v>10000</v>
      </c>
      <c r="G1635" s="158">
        <v>18.14</v>
      </c>
      <c r="H1635" s="157">
        <v>257.52</v>
      </c>
      <c r="I1635" s="157"/>
      <c r="J1635" s="159">
        <v>181142.48</v>
      </c>
      <c r="K1635" s="6" t="s">
        <v>641</v>
      </c>
      <c r="L1635" s="20">
        <f>IF(ISNA(MATCH(Transactions[[#This Row],[TransType]],TransTypes[TransType],0)),1,MATCH(Transactions[[#This Row],[TransType]],TransTypes[TransType],0))</f>
        <v>3</v>
      </c>
      <c r="M1635" s="160">
        <f>IF( AND( INDEX(TransTypes[],Transactions[[#This Row],[TTR]],TT_COL_GLFlag)=1, INDEX(TransTypes[],Transactions[[#This Row],[TTR]],TT_COL_LONGORSHORT)="S" ),
      Transactions[[#This Row],[PL]],
      IF(INDEX(TransTypes[],Transactions[[#This Row],[TTR]],TT_COL_LONGORSHORT)="S",0,Transactions[[#This Row],[CalCashImpact]])
)</f>
        <v>181142.48</v>
      </c>
      <c r="N1635" s="161">
        <f>IF(VLOOKUP(Transactions[[#This Row],[Symbol]],Symbols[],COLUMN(Symbols[Currency])-COLUMN(Symbols[])+1,FALSE)=
       VLOOKUP(Transactions[[#This Row],[Account]],Accounts[],COLUMN(Accounts[Currency])-COLUMN(Accounts[])+1,FALSE),
     Transactions[[#This Row],[OrigCashImpact]],
     0
)</f>
        <v>181142.48</v>
      </c>
      <c r="O16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720685.97999999975</v>
      </c>
      <c r="P16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35" s="41">
        <f>ROW()</f>
        <v>1635</v>
      </c>
      <c r="S16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-163368.6</v>
      </c>
      <c r="T16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35" s="166">
        <f>IF(INDEX(TransTypes[],Transactions[[#This Row],[TTR]],TT_COL_GLFlag)=1,Transactions[[#This Row],[CalCashImpact]]+Transactions[[#This Row],[CostImpact]],0)</f>
        <v>17773.880000000005</v>
      </c>
      <c r="W1635" s="167">
        <f>Transactions[[#This Row],[Amount]]*INDEX(TransTypes[],Transactions[[#This Row],[TTR]],TT_COL_AmntSign)</f>
        <v>181142.48</v>
      </c>
      <c r="X1635" s="167">
        <f>IF(INDEX(TransTypes[],Transactions[[#This Row],[TTR]],TT_COL_LONGORSHORT)="S",
      IF( OR(INDEX(TransTypes[],Transactions[[#This Row],[TTR]],TT_COL_GLFlag)=1, INDEX(TransTypes[], Transactions[[#This Row],[TTR]], TT_COL_ShareTransferFlag)=1),
            Transactions[[#This Row],[CostImpact]]*-1,
            Transactions[[#This Row],[CalCashImpact]]
      ),
     0
)</f>
        <v>0</v>
      </c>
      <c r="Y1635" s="168" t="str">
        <f>VLOOKUP(Transactions[[#This Row],[Symbol]],Symbols[], COLUMN(Symbols[Currency])-COLUMN(Symbols[])+1,FALSE)</f>
        <v>CNY</v>
      </c>
    </row>
    <row r="1636" spans="1:25">
      <c r="A1636" s="155" t="s">
        <v>82</v>
      </c>
      <c r="B1636" s="156">
        <v>42899</v>
      </c>
      <c r="C1636" s="155" t="s">
        <v>115</v>
      </c>
      <c r="D1636" s="155"/>
      <c r="E1636" s="155" t="s">
        <v>468</v>
      </c>
      <c r="F1636" s="157">
        <v>1000</v>
      </c>
      <c r="G1636" s="158">
        <v>48.29</v>
      </c>
      <c r="H1636" s="157">
        <v>68.58</v>
      </c>
      <c r="I1636" s="157"/>
      <c r="J1636" s="159">
        <v>48221.42</v>
      </c>
      <c r="K1636" s="6" t="s">
        <v>641</v>
      </c>
      <c r="L1636" s="20">
        <f>IF(ISNA(MATCH(Transactions[[#This Row],[TransType]],TransTypes[TransType],0)),1,MATCH(Transactions[[#This Row],[TransType]],TransTypes[TransType],0))</f>
        <v>3</v>
      </c>
      <c r="M1636" s="160">
        <f>IF( AND( INDEX(TransTypes[],Transactions[[#This Row],[TTR]],TT_COL_GLFlag)=1, INDEX(TransTypes[],Transactions[[#This Row],[TTR]],TT_COL_LONGORSHORT)="S" ),
      Transactions[[#This Row],[PL]],
      IF(INDEX(TransTypes[],Transactions[[#This Row],[TTR]],TT_COL_LONGORSHORT)="S",0,Transactions[[#This Row],[CalCashImpact]])
)</f>
        <v>48221.42</v>
      </c>
      <c r="N1636" s="161">
        <f>IF(VLOOKUP(Transactions[[#This Row],[Symbol]],Symbols[],COLUMN(Symbols[Currency])-COLUMN(Symbols[])+1,FALSE)=
       VLOOKUP(Transactions[[#This Row],[Account]],Accounts[],COLUMN(Accounts[Currency])-COLUMN(Accounts[])+1,FALSE),
     Transactions[[#This Row],[OrigCashImpact]],
     0
)</f>
        <v>48221.42</v>
      </c>
      <c r="O16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768907.39999999979</v>
      </c>
      <c r="P16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6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636" s="41">
        <f>ROW()</f>
        <v>1636</v>
      </c>
      <c r="S16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-36670.985607142858</v>
      </c>
      <c r="T16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330038.87046428578</v>
      </c>
      <c r="U16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36" s="166">
        <f>IF(INDEX(TransTypes[],Transactions[[#This Row],[TTR]],TT_COL_GLFlag)=1,Transactions[[#This Row],[CalCashImpact]]+Transactions[[#This Row],[CostImpact]],0)</f>
        <v>11550.43439285714</v>
      </c>
      <c r="W1636" s="167">
        <f>Transactions[[#This Row],[Amount]]*INDEX(TransTypes[],Transactions[[#This Row],[TTR]],TT_COL_AmntSign)</f>
        <v>48221.42</v>
      </c>
      <c r="X1636" s="167">
        <f>IF(INDEX(TransTypes[],Transactions[[#This Row],[TTR]],TT_COL_LONGORSHORT)="S",
      IF( OR(INDEX(TransTypes[],Transactions[[#This Row],[TTR]],TT_COL_GLFlag)=1, INDEX(TransTypes[], Transactions[[#This Row],[TTR]], TT_COL_ShareTransferFlag)=1),
            Transactions[[#This Row],[CostImpact]]*-1,
            Transactions[[#This Row],[CalCashImpact]]
      ),
     0
)</f>
        <v>0</v>
      </c>
      <c r="Y1636" s="168" t="str">
        <f>VLOOKUP(Transactions[[#This Row],[Symbol]],Symbols[], COLUMN(Symbols[Currency])-COLUMN(Symbols[])+1,FALSE)</f>
        <v>CNY</v>
      </c>
    </row>
    <row r="1637" spans="1:25">
      <c r="A1637" s="155" t="s">
        <v>82</v>
      </c>
      <c r="B1637" s="156">
        <v>42899</v>
      </c>
      <c r="C1637" s="155" t="s">
        <v>113</v>
      </c>
      <c r="D1637" s="155"/>
      <c r="E1637" s="155" t="s">
        <v>474</v>
      </c>
      <c r="F1637" s="157">
        <v>3000</v>
      </c>
      <c r="G1637" s="158">
        <v>18.579999999999998</v>
      </c>
      <c r="H1637" s="157">
        <v>22.3</v>
      </c>
      <c r="I1637" s="157"/>
      <c r="J1637" s="159">
        <v>55762.3</v>
      </c>
      <c r="K1637" s="6" t="s">
        <v>641</v>
      </c>
      <c r="L1637" s="20">
        <f>IF(ISNA(MATCH(Transactions[[#This Row],[TransType]],TransTypes[TransType],0)),1,MATCH(Transactions[[#This Row],[TransType]],TransTypes[TransType],0))</f>
        <v>2</v>
      </c>
      <c r="M1637" s="160">
        <f>IF( AND( INDEX(TransTypes[],Transactions[[#This Row],[TTR]],TT_COL_GLFlag)=1, INDEX(TransTypes[],Transactions[[#This Row],[TTR]],TT_COL_LONGORSHORT)="S" ),
      Transactions[[#This Row],[PL]],
      IF(INDEX(TransTypes[],Transactions[[#This Row],[TTR]],TT_COL_LONGORSHORT)="S",0,Transactions[[#This Row],[CalCashImpact]])
)</f>
        <v>-55762.3</v>
      </c>
      <c r="N1637" s="161">
        <f>IF(VLOOKUP(Transactions[[#This Row],[Symbol]],Symbols[],COLUMN(Symbols[Currency])-COLUMN(Symbols[])+1,FALSE)=
       VLOOKUP(Transactions[[#This Row],[Account]],Accounts[],COLUMN(Accounts[Currency])-COLUMN(Accounts[])+1,FALSE),
     Transactions[[#This Row],[OrigCashImpact]],
     0
)</f>
        <v>-55762.3</v>
      </c>
      <c r="O16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713145.09999999986</v>
      </c>
      <c r="P16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6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15000</v>
      </c>
      <c r="R1637" s="41">
        <f>ROW()</f>
        <v>1637</v>
      </c>
      <c r="S16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55762.3</v>
      </c>
      <c r="T16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284669.06124999997</v>
      </c>
      <c r="U16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15000</v>
      </c>
      <c r="V1637" s="166">
        <f>IF(INDEX(TransTypes[],Transactions[[#This Row],[TTR]],TT_COL_GLFlag)=1,Transactions[[#This Row],[CalCashImpact]]+Transactions[[#This Row],[CostImpact]],0)</f>
        <v>0</v>
      </c>
      <c r="W1637" s="167">
        <f>Transactions[[#This Row],[Amount]]*INDEX(TransTypes[],Transactions[[#This Row],[TTR]],TT_COL_AmntSign)</f>
        <v>-55762.3</v>
      </c>
      <c r="X1637" s="167">
        <f>IF(INDEX(TransTypes[],Transactions[[#This Row],[TTR]],TT_COL_LONGORSHORT)="S",
      IF( OR(INDEX(TransTypes[],Transactions[[#This Row],[TTR]],TT_COL_GLFlag)=1, INDEX(TransTypes[], Transactions[[#This Row],[TTR]], TT_COL_ShareTransferFlag)=1),
            Transactions[[#This Row],[CostImpact]]*-1,
            Transactions[[#This Row],[CalCashImpact]]
      ),
     0
)</f>
        <v>0</v>
      </c>
      <c r="Y1637" s="168" t="str">
        <f>VLOOKUP(Transactions[[#This Row],[Symbol]],Symbols[], COLUMN(Symbols[Currency])-COLUMN(Symbols[])+1,FALSE)</f>
        <v>CNY</v>
      </c>
    </row>
    <row r="1638" spans="1:25">
      <c r="A1638" s="155" t="s">
        <v>82</v>
      </c>
      <c r="B1638" s="156">
        <v>42899</v>
      </c>
      <c r="C1638" s="155" t="s">
        <v>115</v>
      </c>
      <c r="D1638" s="155"/>
      <c r="E1638" s="155" t="s">
        <v>482</v>
      </c>
      <c r="F1638" s="157">
        <v>1000</v>
      </c>
      <c r="G1638" s="158">
        <v>37.11</v>
      </c>
      <c r="H1638" s="157">
        <v>51.95</v>
      </c>
      <c r="I1638" s="157"/>
      <c r="J1638" s="159">
        <v>37058.050000000003</v>
      </c>
      <c r="K1638" s="6" t="s">
        <v>641</v>
      </c>
      <c r="L1638" s="20">
        <f>IF(ISNA(MATCH(Transactions[[#This Row],[TransType]],TransTypes[TransType],0)),1,MATCH(Transactions[[#This Row],[TransType]],TransTypes[TransType],0))</f>
        <v>3</v>
      </c>
      <c r="M1638" s="160">
        <f>IF( AND( INDEX(TransTypes[],Transactions[[#This Row],[TTR]],TT_COL_GLFlag)=1, INDEX(TransTypes[],Transactions[[#This Row],[TTR]],TT_COL_LONGORSHORT)="S" ),
      Transactions[[#This Row],[PL]],
      IF(INDEX(TransTypes[],Transactions[[#This Row],[TTR]],TT_COL_LONGORSHORT)="S",0,Transactions[[#This Row],[CalCashImpact]])
)</f>
        <v>37058.050000000003</v>
      </c>
      <c r="N1638" s="161">
        <f>IF(VLOOKUP(Transactions[[#This Row],[Symbol]],Symbols[],COLUMN(Symbols[Currency])-COLUMN(Symbols[])+1,FALSE)=
       VLOOKUP(Transactions[[#This Row],[Account]],Accounts[],COLUMN(Accounts[Currency])-COLUMN(Accounts[])+1,FALSE),
     Transactions[[#This Row],[OrigCashImpact]],
     0
)</f>
        <v>37058.050000000003</v>
      </c>
      <c r="O16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750203.14999999979</v>
      </c>
      <c r="P16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6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638" s="41">
        <f>ROW()</f>
        <v>1638</v>
      </c>
      <c r="S16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-30296.280555555557</v>
      </c>
      <c r="T16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242370.24444444446</v>
      </c>
      <c r="U16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638" s="166">
        <f>IF(INDEX(TransTypes[],Transactions[[#This Row],[TTR]],TT_COL_GLFlag)=1,Transactions[[#This Row],[CalCashImpact]]+Transactions[[#This Row],[CostImpact]],0)</f>
        <v>6761.769444444446</v>
      </c>
      <c r="W1638" s="167">
        <f>Transactions[[#This Row],[Amount]]*INDEX(TransTypes[],Transactions[[#This Row],[TTR]],TT_COL_AmntSign)</f>
        <v>37058.050000000003</v>
      </c>
      <c r="X1638" s="167">
        <f>IF(INDEX(TransTypes[],Transactions[[#This Row],[TTR]],TT_COL_LONGORSHORT)="S",
      IF( OR(INDEX(TransTypes[],Transactions[[#This Row],[TTR]],TT_COL_GLFlag)=1, INDEX(TransTypes[], Transactions[[#This Row],[TTR]], TT_COL_ShareTransferFlag)=1),
            Transactions[[#This Row],[CostImpact]]*-1,
            Transactions[[#This Row],[CalCashImpact]]
      ),
     0
)</f>
        <v>0</v>
      </c>
      <c r="Y1638" s="168" t="str">
        <f>VLOOKUP(Transactions[[#This Row],[Symbol]],Symbols[], COLUMN(Symbols[Currency])-COLUMN(Symbols[])+1,FALSE)</f>
        <v>CNY</v>
      </c>
    </row>
    <row r="1639" spans="1:25">
      <c r="A1639" s="155" t="s">
        <v>82</v>
      </c>
      <c r="B1639" s="156">
        <v>42899</v>
      </c>
      <c r="C1639" s="155" t="s">
        <v>115</v>
      </c>
      <c r="D1639" s="155"/>
      <c r="E1639" s="155" t="s">
        <v>741</v>
      </c>
      <c r="F1639" s="157">
        <v>5000</v>
      </c>
      <c r="G1639" s="158">
        <v>21.86</v>
      </c>
      <c r="H1639" s="157">
        <v>153.02000000000001</v>
      </c>
      <c r="I1639" s="157"/>
      <c r="J1639" s="159">
        <v>109146.98</v>
      </c>
      <c r="K1639" s="6" t="s">
        <v>641</v>
      </c>
      <c r="L1639" s="20">
        <f>IF(ISNA(MATCH(Transactions[[#This Row],[TransType]],TransTypes[TransType],0)),1,MATCH(Transactions[[#This Row],[TransType]],TransTypes[TransType],0))</f>
        <v>3</v>
      </c>
      <c r="M1639" s="160">
        <f>IF( AND( INDEX(TransTypes[],Transactions[[#This Row],[TTR]],TT_COL_GLFlag)=1, INDEX(TransTypes[],Transactions[[#This Row],[TTR]],TT_COL_LONGORSHORT)="S" ),
      Transactions[[#This Row],[PL]],
      IF(INDEX(TransTypes[],Transactions[[#This Row],[TTR]],TT_COL_LONGORSHORT)="S",0,Transactions[[#This Row],[CalCashImpact]])
)</f>
        <v>109146.98</v>
      </c>
      <c r="N1639" s="161">
        <f>IF(VLOOKUP(Transactions[[#This Row],[Symbol]],Symbols[],COLUMN(Symbols[Currency])-COLUMN(Symbols[])+1,FALSE)=
       VLOOKUP(Transactions[[#This Row],[Account]],Accounts[],COLUMN(Accounts[Currency])-COLUMN(Accounts[])+1,FALSE),
     Transactions[[#This Row],[OrigCashImpact]],
     0
)</f>
        <v>109146.98</v>
      </c>
      <c r="O16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859350.12999999977</v>
      </c>
      <c r="P16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39" s="41">
        <f>ROW()</f>
        <v>1639</v>
      </c>
      <c r="S16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-89929.707211538451</v>
      </c>
      <c r="T16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639" s="166">
        <f>IF(INDEX(TransTypes[],Transactions[[#This Row],[TTR]],TT_COL_GLFlag)=1,Transactions[[#This Row],[CalCashImpact]]+Transactions[[#This Row],[CostImpact]],0)</f>
        <v>19217.272788461545</v>
      </c>
      <c r="W1639" s="167">
        <f>Transactions[[#This Row],[Amount]]*INDEX(TransTypes[],Transactions[[#This Row],[TTR]],TT_COL_AmntSign)</f>
        <v>109146.98</v>
      </c>
      <c r="X1639" s="167">
        <f>IF(INDEX(TransTypes[],Transactions[[#This Row],[TTR]],TT_COL_LONGORSHORT)="S",
      IF( OR(INDEX(TransTypes[],Transactions[[#This Row],[TTR]],TT_COL_GLFlag)=1, INDEX(TransTypes[], Transactions[[#This Row],[TTR]], TT_COL_ShareTransferFlag)=1),
            Transactions[[#This Row],[CostImpact]]*-1,
            Transactions[[#This Row],[CalCashImpact]]
      ),
     0
)</f>
        <v>0</v>
      </c>
      <c r="Y1639" s="168" t="str">
        <f>VLOOKUP(Transactions[[#This Row],[Symbol]],Symbols[], COLUMN(Symbols[Currency])-COLUMN(Symbols[])+1,FALSE)</f>
        <v>CNY</v>
      </c>
    </row>
    <row r="1640" spans="1:25">
      <c r="A1640" s="155" t="s">
        <v>82</v>
      </c>
      <c r="B1640" s="156">
        <v>42899</v>
      </c>
      <c r="C1640" s="155" t="s">
        <v>113</v>
      </c>
      <c r="D1640" s="155"/>
      <c r="E1640" s="155" t="s">
        <v>467</v>
      </c>
      <c r="F1640" s="157">
        <v>20000</v>
      </c>
      <c r="G1640" s="158">
        <v>12.57</v>
      </c>
      <c r="H1640" s="157">
        <v>100.56</v>
      </c>
      <c r="I1640" s="157"/>
      <c r="J1640" s="159">
        <v>251500.56</v>
      </c>
      <c r="K1640" s="6" t="s">
        <v>641</v>
      </c>
      <c r="L1640" s="20">
        <f>IF(ISNA(MATCH(Transactions[[#This Row],[TransType]],TransTypes[TransType],0)),1,MATCH(Transactions[[#This Row],[TransType]],TransTypes[TransType],0))</f>
        <v>2</v>
      </c>
      <c r="M1640" s="160">
        <f>IF( AND( INDEX(TransTypes[],Transactions[[#This Row],[TTR]],TT_COL_GLFlag)=1, INDEX(TransTypes[],Transactions[[#This Row],[TTR]],TT_COL_LONGORSHORT)="S" ),
      Transactions[[#This Row],[PL]],
      IF(INDEX(TransTypes[],Transactions[[#This Row],[TTR]],TT_COL_LONGORSHORT)="S",0,Transactions[[#This Row],[CalCashImpact]])
)</f>
        <v>-251500.56</v>
      </c>
      <c r="N1640" s="161">
        <f>IF(VLOOKUP(Transactions[[#This Row],[Symbol]],Symbols[],COLUMN(Symbols[Currency])-COLUMN(Symbols[])+1,FALSE)=
       VLOOKUP(Transactions[[#This Row],[Account]],Accounts[],COLUMN(Accounts[Currency])-COLUMN(Accounts[])+1,FALSE),
     Transactions[[#This Row],[OrigCashImpact]],
     0
)</f>
        <v>-251500.56</v>
      </c>
      <c r="O16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607849.56999999983</v>
      </c>
      <c r="P16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6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640" s="41">
        <f>ROW()</f>
        <v>1640</v>
      </c>
      <c r="S16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251500.56</v>
      </c>
      <c r="T16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251500.56</v>
      </c>
      <c r="U16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640" s="166">
        <f>IF(INDEX(TransTypes[],Transactions[[#This Row],[TTR]],TT_COL_GLFlag)=1,Transactions[[#This Row],[CalCashImpact]]+Transactions[[#This Row],[CostImpact]],0)</f>
        <v>0</v>
      </c>
      <c r="W1640" s="167">
        <f>Transactions[[#This Row],[Amount]]*INDEX(TransTypes[],Transactions[[#This Row],[TTR]],TT_COL_AmntSign)</f>
        <v>-251500.56</v>
      </c>
      <c r="X1640" s="167">
        <f>IF(INDEX(TransTypes[],Transactions[[#This Row],[TTR]],TT_COL_LONGORSHORT)="S",
      IF( OR(INDEX(TransTypes[],Transactions[[#This Row],[TTR]],TT_COL_GLFlag)=1, INDEX(TransTypes[], Transactions[[#This Row],[TTR]], TT_COL_ShareTransferFlag)=1),
            Transactions[[#This Row],[CostImpact]]*-1,
            Transactions[[#This Row],[CalCashImpact]]
      ),
     0
)</f>
        <v>0</v>
      </c>
      <c r="Y1640" s="168" t="str">
        <f>VLOOKUP(Transactions[[#This Row],[Symbol]],Symbols[], COLUMN(Symbols[Currency])-COLUMN(Symbols[])+1,FALSE)</f>
        <v>CNY</v>
      </c>
    </row>
    <row r="1641" spans="1:25">
      <c r="A1641" s="155" t="s">
        <v>82</v>
      </c>
      <c r="B1641" s="156">
        <v>42900</v>
      </c>
      <c r="C1641" s="155" t="s">
        <v>115</v>
      </c>
      <c r="D1641" s="155"/>
      <c r="E1641" s="155" t="s">
        <v>468</v>
      </c>
      <c r="F1641" s="157">
        <v>2000</v>
      </c>
      <c r="G1641" s="158">
        <v>48.08</v>
      </c>
      <c r="H1641" s="157">
        <v>136.56</v>
      </c>
      <c r="I1641" s="157"/>
      <c r="J1641" s="159">
        <v>96023.44</v>
      </c>
      <c r="K1641" s="6" t="s">
        <v>641</v>
      </c>
      <c r="L1641" s="20">
        <f>IF(ISNA(MATCH(Transactions[[#This Row],[TransType]],TransTypes[TransType],0)),1,MATCH(Transactions[[#This Row],[TransType]],TransTypes[TransType],0))</f>
        <v>3</v>
      </c>
      <c r="M1641" s="160">
        <f>IF( AND( INDEX(TransTypes[],Transactions[[#This Row],[TTR]],TT_COL_GLFlag)=1, INDEX(TransTypes[],Transactions[[#This Row],[TTR]],TT_COL_LONGORSHORT)="S" ),
      Transactions[[#This Row],[PL]],
      IF(INDEX(TransTypes[],Transactions[[#This Row],[TTR]],TT_COL_LONGORSHORT)="S",0,Transactions[[#This Row],[CalCashImpact]])
)</f>
        <v>96023.44</v>
      </c>
      <c r="N1641" s="161">
        <f>IF(VLOOKUP(Transactions[[#This Row],[Symbol]],Symbols[],COLUMN(Symbols[Currency])-COLUMN(Symbols[])+1,FALSE)=
       VLOOKUP(Transactions[[#This Row],[Account]],Accounts[],COLUMN(Accounts[Currency])-COLUMN(Accounts[])+1,FALSE),
     Transactions[[#This Row],[OrigCashImpact]],
     0
)</f>
        <v>96023.44</v>
      </c>
      <c r="O16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703873.00999999978</v>
      </c>
      <c r="P16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641" s="41">
        <f>ROW()</f>
        <v>1641</v>
      </c>
      <c r="S16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-73341.971214285732</v>
      </c>
      <c r="T16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256696.89925000005</v>
      </c>
      <c r="U16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641" s="166">
        <f>IF(INDEX(TransTypes[],Transactions[[#This Row],[TTR]],TT_COL_GLFlag)=1,Transactions[[#This Row],[CalCashImpact]]+Transactions[[#This Row],[CostImpact]],0)</f>
        <v>22681.468785714271</v>
      </c>
      <c r="W1641" s="167">
        <f>Transactions[[#This Row],[Amount]]*INDEX(TransTypes[],Transactions[[#This Row],[TTR]],TT_COL_AmntSign)</f>
        <v>96023.44</v>
      </c>
      <c r="X1641" s="167">
        <f>IF(INDEX(TransTypes[],Transactions[[#This Row],[TTR]],TT_COL_LONGORSHORT)="S",
      IF( OR(INDEX(TransTypes[],Transactions[[#This Row],[TTR]],TT_COL_GLFlag)=1, INDEX(TransTypes[], Transactions[[#This Row],[TTR]], TT_COL_ShareTransferFlag)=1),
            Transactions[[#This Row],[CostImpact]]*-1,
            Transactions[[#This Row],[CalCashImpact]]
      ),
     0
)</f>
        <v>0</v>
      </c>
      <c r="Y1641" s="168" t="str">
        <f>VLOOKUP(Transactions[[#This Row],[Symbol]],Symbols[], COLUMN(Symbols[Currency])-COLUMN(Symbols[])+1,FALSE)</f>
        <v>CNY</v>
      </c>
    </row>
    <row r="1642" spans="1:25">
      <c r="A1642" s="155" t="s">
        <v>82</v>
      </c>
      <c r="B1642" s="156">
        <v>42900</v>
      </c>
      <c r="C1642" s="155" t="s">
        <v>113</v>
      </c>
      <c r="D1642" s="155"/>
      <c r="E1642" s="155" t="s">
        <v>463</v>
      </c>
      <c r="F1642" s="157">
        <v>5000</v>
      </c>
      <c r="G1642" s="158">
        <v>21.75</v>
      </c>
      <c r="H1642" s="157">
        <v>45.67</v>
      </c>
      <c r="I1642" s="157"/>
      <c r="J1642" s="159">
        <v>108795.67</v>
      </c>
      <c r="K1642" s="6" t="s">
        <v>641</v>
      </c>
      <c r="L1642" s="20">
        <f>IF(ISNA(MATCH(Transactions[[#This Row],[TransType]],TransTypes[TransType],0)),1,MATCH(Transactions[[#This Row],[TransType]],TransTypes[TransType],0))</f>
        <v>2</v>
      </c>
      <c r="M1642" s="160">
        <f>IF( AND( INDEX(TransTypes[],Transactions[[#This Row],[TTR]],TT_COL_GLFlag)=1, INDEX(TransTypes[],Transactions[[#This Row],[TTR]],TT_COL_LONGORSHORT)="S" ),
      Transactions[[#This Row],[PL]],
      IF(INDEX(TransTypes[],Transactions[[#This Row],[TTR]],TT_COL_LONGORSHORT)="S",0,Transactions[[#This Row],[CalCashImpact]])
)</f>
        <v>-108795.67</v>
      </c>
      <c r="N1642" s="161">
        <f>IF(VLOOKUP(Transactions[[#This Row],[Symbol]],Symbols[],COLUMN(Symbols[Currency])-COLUMN(Symbols[])+1,FALSE)=
       VLOOKUP(Transactions[[#This Row],[Account]],Accounts[],COLUMN(Accounts[Currency])-COLUMN(Accounts[])+1,FALSE),
     Transactions[[#This Row],[OrigCashImpact]],
     0
)</f>
        <v>-108795.67</v>
      </c>
      <c r="O16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595077.33999999985</v>
      </c>
      <c r="P16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642" s="41">
        <f>ROW()</f>
        <v>1642</v>
      </c>
      <c r="S16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108795.67</v>
      </c>
      <c r="T16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108795.67</v>
      </c>
      <c r="U16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642" s="166">
        <f>IF(INDEX(TransTypes[],Transactions[[#This Row],[TTR]],TT_COL_GLFlag)=1,Transactions[[#This Row],[CalCashImpact]]+Transactions[[#This Row],[CostImpact]],0)</f>
        <v>0</v>
      </c>
      <c r="W1642" s="167">
        <f>Transactions[[#This Row],[Amount]]*INDEX(TransTypes[],Transactions[[#This Row],[TTR]],TT_COL_AmntSign)</f>
        <v>-108795.67</v>
      </c>
      <c r="X1642" s="167">
        <f>IF(INDEX(TransTypes[],Transactions[[#This Row],[TTR]],TT_COL_LONGORSHORT)="S",
      IF( OR(INDEX(TransTypes[],Transactions[[#This Row],[TTR]],TT_COL_GLFlag)=1, INDEX(TransTypes[], Transactions[[#This Row],[TTR]], TT_COL_ShareTransferFlag)=1),
            Transactions[[#This Row],[CostImpact]]*-1,
            Transactions[[#This Row],[CalCashImpact]]
      ),
     0
)</f>
        <v>0</v>
      </c>
      <c r="Y1642" s="168" t="str">
        <f>VLOOKUP(Transactions[[#This Row],[Symbol]],Symbols[], COLUMN(Symbols[Currency])-COLUMN(Symbols[])+1,FALSE)</f>
        <v>CNY</v>
      </c>
    </row>
    <row r="1643" spans="1:25">
      <c r="A1643" s="155" t="s">
        <v>82</v>
      </c>
      <c r="B1643" s="156">
        <v>42900</v>
      </c>
      <c r="C1643" s="155" t="s">
        <v>113</v>
      </c>
      <c r="D1643" s="155"/>
      <c r="E1643" s="155" t="s">
        <v>713</v>
      </c>
      <c r="F1643" s="157">
        <v>10000</v>
      </c>
      <c r="G1643" s="158">
        <v>15.99</v>
      </c>
      <c r="H1643" s="157">
        <v>67.16</v>
      </c>
      <c r="I1643" s="157"/>
      <c r="J1643" s="159">
        <v>159967.16</v>
      </c>
      <c r="K1643" s="6" t="s">
        <v>641</v>
      </c>
      <c r="L1643" s="20">
        <f>IF(ISNA(MATCH(Transactions[[#This Row],[TransType]],TransTypes[TransType],0)),1,MATCH(Transactions[[#This Row],[TransType]],TransTypes[TransType],0))</f>
        <v>2</v>
      </c>
      <c r="M1643" s="160">
        <f>IF( AND( INDEX(TransTypes[],Transactions[[#This Row],[TTR]],TT_COL_GLFlag)=1, INDEX(TransTypes[],Transactions[[#This Row],[TTR]],TT_COL_LONGORSHORT)="S" ),
      Transactions[[#This Row],[PL]],
      IF(INDEX(TransTypes[],Transactions[[#This Row],[TTR]],TT_COL_LONGORSHORT)="S",0,Transactions[[#This Row],[CalCashImpact]])
)</f>
        <v>-159967.16</v>
      </c>
      <c r="N1643" s="161">
        <f>IF(VLOOKUP(Transactions[[#This Row],[Symbol]],Symbols[],COLUMN(Symbols[Currency])-COLUMN(Symbols[])+1,FALSE)=
       VLOOKUP(Transactions[[#This Row],[Account]],Accounts[],COLUMN(Accounts[Currency])-COLUMN(Accounts[])+1,FALSE),
     Transactions[[#This Row],[OrigCashImpact]],
     0
)</f>
        <v>-159967.16</v>
      </c>
      <c r="O16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435110.17999999982</v>
      </c>
      <c r="P16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643" s="41">
        <f>ROW()</f>
        <v>1643</v>
      </c>
      <c r="S16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159967.16</v>
      </c>
      <c r="T16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159967.16</v>
      </c>
      <c r="U16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43" s="166">
        <f>IF(INDEX(TransTypes[],Transactions[[#This Row],[TTR]],TT_COL_GLFlag)=1,Transactions[[#This Row],[CalCashImpact]]+Transactions[[#This Row],[CostImpact]],0)</f>
        <v>0</v>
      </c>
      <c r="W1643" s="167">
        <f>Transactions[[#This Row],[Amount]]*INDEX(TransTypes[],Transactions[[#This Row],[TTR]],TT_COL_AmntSign)</f>
        <v>-159967.16</v>
      </c>
      <c r="X1643" s="167">
        <f>IF(INDEX(TransTypes[],Transactions[[#This Row],[TTR]],TT_COL_LONGORSHORT)="S",
      IF( OR(INDEX(TransTypes[],Transactions[[#This Row],[TTR]],TT_COL_GLFlag)=1, INDEX(TransTypes[], Transactions[[#This Row],[TTR]], TT_COL_ShareTransferFlag)=1),
            Transactions[[#This Row],[CostImpact]]*-1,
            Transactions[[#This Row],[CalCashImpact]]
      ),
     0
)</f>
        <v>0</v>
      </c>
      <c r="Y1643" s="168" t="str">
        <f>VLOOKUP(Transactions[[#This Row],[Symbol]],Symbols[], COLUMN(Symbols[Currency])-COLUMN(Symbols[])+1,FALSE)</f>
        <v>CNY</v>
      </c>
    </row>
    <row r="1644" spans="1:25">
      <c r="A1644" s="155" t="s">
        <v>82</v>
      </c>
      <c r="B1644" s="156">
        <v>42900</v>
      </c>
      <c r="C1644" s="155" t="s">
        <v>123</v>
      </c>
      <c r="D1644" s="155"/>
      <c r="E1644" s="155" t="s">
        <v>482</v>
      </c>
      <c r="F1644" s="157"/>
      <c r="G1644" s="158"/>
      <c r="H1644" s="157"/>
      <c r="I1644" s="157"/>
      <c r="J1644" s="159">
        <v>50</v>
      </c>
      <c r="K1644" s="6" t="s">
        <v>641</v>
      </c>
      <c r="L1644" s="20">
        <f>IF(ISNA(MATCH(Transactions[[#This Row],[TransType]],TransTypes[TransType],0)),1,MATCH(Transactions[[#This Row],[TransType]],TransTypes[TransType],0))</f>
        <v>7</v>
      </c>
      <c r="M1644" s="160">
        <f>IF( AND( INDEX(TransTypes[],Transactions[[#This Row],[TTR]],TT_COL_GLFlag)=1, INDEX(TransTypes[],Transactions[[#This Row],[TTR]],TT_COL_LONGORSHORT)="S" ),
      Transactions[[#This Row],[PL]],
      IF(INDEX(TransTypes[],Transactions[[#This Row],[TTR]],TT_COL_LONGORSHORT)="S",0,Transactions[[#This Row],[CalCashImpact]])
)</f>
        <v>-50</v>
      </c>
      <c r="N1644" s="161">
        <f>IF(VLOOKUP(Transactions[[#This Row],[Symbol]],Symbols[],COLUMN(Symbols[Currency])-COLUMN(Symbols[])+1,FALSE)=
       VLOOKUP(Transactions[[#This Row],[Account]],Accounts[],COLUMN(Accounts[Currency])-COLUMN(Accounts[])+1,FALSE),
     Transactions[[#This Row],[OrigCashImpact]],
     0
)</f>
        <v>-50</v>
      </c>
      <c r="O16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435060.17999999982</v>
      </c>
      <c r="P16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644" s="41">
        <f>ROW()</f>
        <v>1644</v>
      </c>
      <c r="S16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242370.24444444446</v>
      </c>
      <c r="U16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644" s="166">
        <f>IF(INDEX(TransTypes[],Transactions[[#This Row],[TTR]],TT_COL_GLFlag)=1,Transactions[[#This Row],[CalCashImpact]]+Transactions[[#This Row],[CostImpact]],0)</f>
        <v>0</v>
      </c>
      <c r="W1644" s="167">
        <f>Transactions[[#This Row],[Amount]]*INDEX(TransTypes[],Transactions[[#This Row],[TTR]],TT_COL_AmntSign)</f>
        <v>-50</v>
      </c>
      <c r="X1644" s="167">
        <f>IF(INDEX(TransTypes[],Transactions[[#This Row],[TTR]],TT_COL_LONGORSHORT)="S",
      IF( OR(INDEX(TransTypes[],Transactions[[#This Row],[TTR]],TT_COL_GLFlag)=1, INDEX(TransTypes[], Transactions[[#This Row],[TTR]], TT_COL_ShareTransferFlag)=1),
            Transactions[[#This Row],[CostImpact]]*-1,
            Transactions[[#This Row],[CalCashImpact]]
      ),
     0
)</f>
        <v>0</v>
      </c>
      <c r="Y1644" s="168" t="str">
        <f>VLOOKUP(Transactions[[#This Row],[Symbol]],Symbols[], COLUMN(Symbols[Currency])-COLUMN(Symbols[])+1,FALSE)</f>
        <v>CNY</v>
      </c>
    </row>
    <row r="1645" spans="1:25">
      <c r="A1645" s="155" t="s">
        <v>82</v>
      </c>
      <c r="B1645" s="156">
        <v>42901</v>
      </c>
      <c r="C1645" s="155" t="s">
        <v>118</v>
      </c>
      <c r="D1645" s="155"/>
      <c r="E1645" s="155" t="s">
        <v>684</v>
      </c>
      <c r="F1645" s="157"/>
      <c r="G1645" s="158"/>
      <c r="H1645" s="157"/>
      <c r="I1645" s="157"/>
      <c r="J1645" s="159">
        <v>4950</v>
      </c>
      <c r="K1645" s="6" t="s">
        <v>641</v>
      </c>
      <c r="L1645" s="20">
        <f>IF(ISNA(MATCH(Transactions[[#This Row],[TransType]],TransTypes[TransType],0)),1,MATCH(Transactions[[#This Row],[TransType]],TransTypes[TransType],0))</f>
        <v>4</v>
      </c>
      <c r="M1645" s="160">
        <f>IF( AND( INDEX(TransTypes[],Transactions[[#This Row],[TTR]],TT_COL_GLFlag)=1, INDEX(TransTypes[],Transactions[[#This Row],[TTR]],TT_COL_LONGORSHORT)="S" ),
      Transactions[[#This Row],[PL]],
      IF(INDEX(TransTypes[],Transactions[[#This Row],[TTR]],TT_COL_LONGORSHORT)="S",0,Transactions[[#This Row],[CalCashImpact]])
)</f>
        <v>4950</v>
      </c>
      <c r="N1645" s="161">
        <f>IF(VLOOKUP(Transactions[[#This Row],[Symbol]],Symbols[],COLUMN(Symbols[Currency])-COLUMN(Symbols[])+1,FALSE)=
       VLOOKUP(Transactions[[#This Row],[Account]],Accounts[],COLUMN(Accounts[Currency])-COLUMN(Accounts[])+1,FALSE),
     Transactions[[#This Row],[OrigCashImpact]],
     0
)</f>
        <v>4950</v>
      </c>
      <c r="O16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440010.1799999997</v>
      </c>
      <c r="P16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645" s="41">
        <f>ROW()</f>
        <v>1645</v>
      </c>
      <c r="S16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76802.244000000006</v>
      </c>
      <c r="U16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645" s="166">
        <f>IF(INDEX(TransTypes[],Transactions[[#This Row],[TTR]],TT_COL_GLFlag)=1,Transactions[[#This Row],[CalCashImpact]]+Transactions[[#This Row],[CostImpact]],0)</f>
        <v>0</v>
      </c>
      <c r="W1645" s="167">
        <f>Transactions[[#This Row],[Amount]]*INDEX(TransTypes[],Transactions[[#This Row],[TTR]],TT_COL_AmntSign)</f>
        <v>4950</v>
      </c>
      <c r="X1645" s="167">
        <f>IF(INDEX(TransTypes[],Transactions[[#This Row],[TTR]],TT_COL_LONGORSHORT)="S",
      IF( OR(INDEX(TransTypes[],Transactions[[#This Row],[TTR]],TT_COL_GLFlag)=1, INDEX(TransTypes[], Transactions[[#This Row],[TTR]], TT_COL_ShareTransferFlag)=1),
            Transactions[[#This Row],[CostImpact]]*-1,
            Transactions[[#This Row],[CalCashImpact]]
      ),
     0
)</f>
        <v>0</v>
      </c>
      <c r="Y1645" s="168" t="str">
        <f>VLOOKUP(Transactions[[#This Row],[Symbol]],Symbols[], COLUMN(Symbols[Currency])-COLUMN(Symbols[])+1,FALSE)</f>
        <v>CNY</v>
      </c>
    </row>
    <row r="1646" spans="1:25">
      <c r="A1646" s="155" t="s">
        <v>82</v>
      </c>
      <c r="B1646" s="156">
        <v>42901</v>
      </c>
      <c r="C1646" s="155" t="s">
        <v>115</v>
      </c>
      <c r="D1646" s="155"/>
      <c r="E1646" s="155" t="s">
        <v>468</v>
      </c>
      <c r="F1646" s="157">
        <v>1000</v>
      </c>
      <c r="G1646" s="158">
        <v>46.11</v>
      </c>
      <c r="H1646" s="157">
        <v>65.47</v>
      </c>
      <c r="I1646" s="157"/>
      <c r="J1646" s="159">
        <v>46044.53</v>
      </c>
      <c r="K1646" s="6" t="s">
        <v>641</v>
      </c>
      <c r="L1646" s="20">
        <f>IF(ISNA(MATCH(Transactions[[#This Row],[TransType]],TransTypes[TransType],0)),1,MATCH(Transactions[[#This Row],[TransType]],TransTypes[TransType],0))</f>
        <v>3</v>
      </c>
      <c r="M1646" s="160">
        <f>IF( AND( INDEX(TransTypes[],Transactions[[#This Row],[TTR]],TT_COL_GLFlag)=1, INDEX(TransTypes[],Transactions[[#This Row],[TTR]],TT_COL_LONGORSHORT)="S" ),
      Transactions[[#This Row],[PL]],
      IF(INDEX(TransTypes[],Transactions[[#This Row],[TTR]],TT_COL_LONGORSHORT)="S",0,Transactions[[#This Row],[CalCashImpact]])
)</f>
        <v>46044.53</v>
      </c>
      <c r="N1646" s="161">
        <f>IF(VLOOKUP(Transactions[[#This Row],[Symbol]],Symbols[],COLUMN(Symbols[Currency])-COLUMN(Symbols[])+1,FALSE)=
       VLOOKUP(Transactions[[#This Row],[Account]],Accounts[],COLUMN(Accounts[Currency])-COLUMN(Accounts[])+1,FALSE),
     Transactions[[#This Row],[OrigCashImpact]],
     0
)</f>
        <v>46044.53</v>
      </c>
      <c r="O16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486054.70999999973</v>
      </c>
      <c r="P16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6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646" s="41">
        <f>ROW()</f>
        <v>1646</v>
      </c>
      <c r="S16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-36670.985607142858</v>
      </c>
      <c r="T16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220025.91364285719</v>
      </c>
      <c r="U16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646" s="166">
        <f>IF(INDEX(TransTypes[],Transactions[[#This Row],[TTR]],TT_COL_GLFlag)=1,Transactions[[#This Row],[CalCashImpact]]+Transactions[[#This Row],[CostImpact]],0)</f>
        <v>9373.5443928571403</v>
      </c>
      <c r="W1646" s="167">
        <f>Transactions[[#This Row],[Amount]]*INDEX(TransTypes[],Transactions[[#This Row],[TTR]],TT_COL_AmntSign)</f>
        <v>46044.53</v>
      </c>
      <c r="X1646" s="167">
        <f>IF(INDEX(TransTypes[],Transactions[[#This Row],[TTR]],TT_COL_LONGORSHORT)="S",
      IF( OR(INDEX(TransTypes[],Transactions[[#This Row],[TTR]],TT_COL_GLFlag)=1, INDEX(TransTypes[], Transactions[[#This Row],[TTR]], TT_COL_ShareTransferFlag)=1),
            Transactions[[#This Row],[CostImpact]]*-1,
            Transactions[[#This Row],[CalCashImpact]]
      ),
     0
)</f>
        <v>0</v>
      </c>
      <c r="Y1646" s="168" t="str">
        <f>VLOOKUP(Transactions[[#This Row],[Symbol]],Symbols[], COLUMN(Symbols[Currency])-COLUMN(Symbols[])+1,FALSE)</f>
        <v>CNY</v>
      </c>
    </row>
    <row r="1647" spans="1:25">
      <c r="A1647" s="155" t="s">
        <v>82</v>
      </c>
      <c r="B1647" s="156">
        <v>42901</v>
      </c>
      <c r="C1647" s="155" t="s">
        <v>115</v>
      </c>
      <c r="D1647" s="155"/>
      <c r="E1647" s="155" t="s">
        <v>482</v>
      </c>
      <c r="F1647" s="157">
        <v>2000</v>
      </c>
      <c r="G1647" s="158">
        <v>36.19</v>
      </c>
      <c r="H1647" s="157">
        <v>101.33</v>
      </c>
      <c r="I1647" s="157"/>
      <c r="J1647" s="159">
        <v>72278.67</v>
      </c>
      <c r="K1647" s="6" t="s">
        <v>641</v>
      </c>
      <c r="L1647" s="20">
        <f>IF(ISNA(MATCH(Transactions[[#This Row],[TransType]],TransTypes[TransType],0)),1,MATCH(Transactions[[#This Row],[TransType]],TransTypes[TransType],0))</f>
        <v>3</v>
      </c>
      <c r="M1647" s="160">
        <f>IF( AND( INDEX(TransTypes[],Transactions[[#This Row],[TTR]],TT_COL_GLFlag)=1, INDEX(TransTypes[],Transactions[[#This Row],[TTR]],TT_COL_LONGORSHORT)="S" ),
      Transactions[[#This Row],[PL]],
      IF(INDEX(TransTypes[],Transactions[[#This Row],[TTR]],TT_COL_LONGORSHORT)="S",0,Transactions[[#This Row],[CalCashImpact]])
)</f>
        <v>72278.67</v>
      </c>
      <c r="N1647" s="161">
        <f>IF(VLOOKUP(Transactions[[#This Row],[Symbol]],Symbols[],COLUMN(Symbols[Currency])-COLUMN(Symbols[])+1,FALSE)=
       VLOOKUP(Transactions[[#This Row],[Account]],Accounts[],COLUMN(Accounts[Currency])-COLUMN(Accounts[])+1,FALSE),
     Transactions[[#This Row],[OrigCashImpact]],
     0
)</f>
        <v>72278.67</v>
      </c>
      <c r="O16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558333.37999999966</v>
      </c>
      <c r="P16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647" s="41">
        <f>ROW()</f>
        <v>1647</v>
      </c>
      <c r="S16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-60592.561111111114</v>
      </c>
      <c r="T16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181777.68333333335</v>
      </c>
      <c r="U16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647" s="166">
        <f>IF(INDEX(TransTypes[],Transactions[[#This Row],[TTR]],TT_COL_GLFlag)=1,Transactions[[#This Row],[CalCashImpact]]+Transactions[[#This Row],[CostImpact]],0)</f>
        <v>11686.108888888884</v>
      </c>
      <c r="W1647" s="167">
        <f>Transactions[[#This Row],[Amount]]*INDEX(TransTypes[],Transactions[[#This Row],[TTR]],TT_COL_AmntSign)</f>
        <v>72278.67</v>
      </c>
      <c r="X1647" s="167">
        <f>IF(INDEX(TransTypes[],Transactions[[#This Row],[TTR]],TT_COL_LONGORSHORT)="S",
      IF( OR(INDEX(TransTypes[],Transactions[[#This Row],[TTR]],TT_COL_GLFlag)=1, INDEX(TransTypes[], Transactions[[#This Row],[TTR]], TT_COL_ShareTransferFlag)=1),
            Transactions[[#This Row],[CostImpact]]*-1,
            Transactions[[#This Row],[CalCashImpact]]
      ),
     0
)</f>
        <v>0</v>
      </c>
      <c r="Y1647" s="168" t="str">
        <f>VLOOKUP(Transactions[[#This Row],[Symbol]],Symbols[], COLUMN(Symbols[Currency])-COLUMN(Symbols[])+1,FALSE)</f>
        <v>CNY</v>
      </c>
    </row>
    <row r="1648" spans="1:25">
      <c r="A1648" s="155" t="s">
        <v>82</v>
      </c>
      <c r="B1648" s="156">
        <v>42901</v>
      </c>
      <c r="C1648" s="155" t="s">
        <v>113</v>
      </c>
      <c r="D1648" s="155"/>
      <c r="E1648" s="155" t="s">
        <v>467</v>
      </c>
      <c r="F1648" s="157">
        <v>5000</v>
      </c>
      <c r="G1648" s="158">
        <v>12.65</v>
      </c>
      <c r="H1648" s="157">
        <v>25.3</v>
      </c>
      <c r="I1648" s="157"/>
      <c r="J1648" s="159">
        <v>63275.3</v>
      </c>
      <c r="K1648" s="6" t="s">
        <v>641</v>
      </c>
      <c r="L1648" s="20">
        <f>IF(ISNA(MATCH(Transactions[[#This Row],[TransType]],TransTypes[TransType],0)),1,MATCH(Transactions[[#This Row],[TransType]],TransTypes[TransType],0))</f>
        <v>2</v>
      </c>
      <c r="M1648" s="160">
        <f>IF( AND( INDEX(TransTypes[],Transactions[[#This Row],[TTR]],TT_COL_GLFlag)=1, INDEX(TransTypes[],Transactions[[#This Row],[TTR]],TT_COL_LONGORSHORT)="S" ),
      Transactions[[#This Row],[PL]],
      IF(INDEX(TransTypes[],Transactions[[#This Row],[TTR]],TT_COL_LONGORSHORT)="S",0,Transactions[[#This Row],[CalCashImpact]])
)</f>
        <v>-63275.3</v>
      </c>
      <c r="N1648" s="161">
        <f>IF(VLOOKUP(Transactions[[#This Row],[Symbol]],Symbols[],COLUMN(Symbols[Currency])-COLUMN(Symbols[])+1,FALSE)=
       VLOOKUP(Transactions[[#This Row],[Account]],Accounts[],COLUMN(Accounts[Currency])-COLUMN(Accounts[])+1,FALSE),
     Transactions[[#This Row],[OrigCashImpact]],
     0
)</f>
        <v>-63275.3</v>
      </c>
      <c r="O16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495058.07999999973</v>
      </c>
      <c r="P16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v>
      </c>
      <c r="R1648" s="41">
        <f>ROW()</f>
        <v>1648</v>
      </c>
      <c r="S16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63275.3</v>
      </c>
      <c r="T16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314775.86</v>
      </c>
      <c r="U16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v>
      </c>
      <c r="V1648" s="166">
        <f>IF(INDEX(TransTypes[],Transactions[[#This Row],[TTR]],TT_COL_GLFlag)=1,Transactions[[#This Row],[CalCashImpact]]+Transactions[[#This Row],[CostImpact]],0)</f>
        <v>0</v>
      </c>
      <c r="W1648" s="167">
        <f>Transactions[[#This Row],[Amount]]*INDEX(TransTypes[],Transactions[[#This Row],[TTR]],TT_COL_AmntSign)</f>
        <v>-63275.3</v>
      </c>
      <c r="X1648" s="167">
        <f>IF(INDEX(TransTypes[],Transactions[[#This Row],[TTR]],TT_COL_LONGORSHORT)="S",
      IF( OR(INDEX(TransTypes[],Transactions[[#This Row],[TTR]],TT_COL_GLFlag)=1, INDEX(TransTypes[], Transactions[[#This Row],[TTR]], TT_COL_ShareTransferFlag)=1),
            Transactions[[#This Row],[CostImpact]]*-1,
            Transactions[[#This Row],[CalCashImpact]]
      ),
     0
)</f>
        <v>0</v>
      </c>
      <c r="Y1648" s="168" t="str">
        <f>VLOOKUP(Transactions[[#This Row],[Symbol]],Symbols[], COLUMN(Symbols[Currency])-COLUMN(Symbols[])+1,FALSE)</f>
        <v>CNY</v>
      </c>
    </row>
    <row r="1649" spans="1:25">
      <c r="A1649" s="155" t="s">
        <v>82</v>
      </c>
      <c r="B1649" s="156">
        <v>42902</v>
      </c>
      <c r="C1649" s="155" t="s">
        <v>113</v>
      </c>
      <c r="D1649" s="155"/>
      <c r="E1649" s="155" t="s">
        <v>463</v>
      </c>
      <c r="F1649" s="157">
        <v>5000</v>
      </c>
      <c r="G1649" s="158">
        <v>20.99</v>
      </c>
      <c r="H1649" s="157">
        <v>44.08</v>
      </c>
      <c r="I1649" s="157"/>
      <c r="J1649" s="159">
        <v>104994.08</v>
      </c>
      <c r="K1649" s="6" t="s">
        <v>641</v>
      </c>
      <c r="L1649" s="20">
        <f>IF(ISNA(MATCH(Transactions[[#This Row],[TransType]],TransTypes[TransType],0)),1,MATCH(Transactions[[#This Row],[TransType]],TransTypes[TransType],0))</f>
        <v>2</v>
      </c>
      <c r="M1649" s="160">
        <f>IF( AND( INDEX(TransTypes[],Transactions[[#This Row],[TTR]],TT_COL_GLFlag)=1, INDEX(TransTypes[],Transactions[[#This Row],[TTR]],TT_COL_LONGORSHORT)="S" ),
      Transactions[[#This Row],[PL]],
      IF(INDEX(TransTypes[],Transactions[[#This Row],[TTR]],TT_COL_LONGORSHORT)="S",0,Transactions[[#This Row],[CalCashImpact]])
)</f>
        <v>-104994.08</v>
      </c>
      <c r="N1649" s="161">
        <f>IF(VLOOKUP(Transactions[[#This Row],[Symbol]],Symbols[],COLUMN(Symbols[Currency])-COLUMN(Symbols[])+1,FALSE)=
       VLOOKUP(Transactions[[#This Row],[Account]],Accounts[],COLUMN(Accounts[Currency])-COLUMN(Accounts[])+1,FALSE),
     Transactions[[#This Row],[OrigCashImpact]],
     0
)</f>
        <v>-104994.08</v>
      </c>
      <c r="O16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390063.99999999977</v>
      </c>
      <c r="P16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649" s="41">
        <f>ROW()</f>
        <v>1649</v>
      </c>
      <c r="S16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104994.08</v>
      </c>
      <c r="T16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213789.75</v>
      </c>
      <c r="U16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49" s="166">
        <f>IF(INDEX(TransTypes[],Transactions[[#This Row],[TTR]],TT_COL_GLFlag)=1,Transactions[[#This Row],[CalCashImpact]]+Transactions[[#This Row],[CostImpact]],0)</f>
        <v>0</v>
      </c>
      <c r="W1649" s="167">
        <f>Transactions[[#This Row],[Amount]]*INDEX(TransTypes[],Transactions[[#This Row],[TTR]],TT_COL_AmntSign)</f>
        <v>-104994.08</v>
      </c>
      <c r="X1649" s="167">
        <f>IF(INDEX(TransTypes[],Transactions[[#This Row],[TTR]],TT_COL_LONGORSHORT)="S",
      IF( OR(INDEX(TransTypes[],Transactions[[#This Row],[TTR]],TT_COL_GLFlag)=1, INDEX(TransTypes[], Transactions[[#This Row],[TTR]], TT_COL_ShareTransferFlag)=1),
            Transactions[[#This Row],[CostImpact]]*-1,
            Transactions[[#This Row],[CalCashImpact]]
      ),
     0
)</f>
        <v>0</v>
      </c>
      <c r="Y1649" s="168" t="str">
        <f>VLOOKUP(Transactions[[#This Row],[Symbol]],Symbols[], COLUMN(Symbols[Currency])-COLUMN(Symbols[])+1,FALSE)</f>
        <v>CNY</v>
      </c>
    </row>
    <row r="1650" spans="1:25">
      <c r="A1650" s="155" t="s">
        <v>82</v>
      </c>
      <c r="B1650" s="156">
        <v>42902</v>
      </c>
      <c r="C1650" s="155" t="s">
        <v>115</v>
      </c>
      <c r="D1650" s="155"/>
      <c r="E1650" s="155" t="s">
        <v>464</v>
      </c>
      <c r="F1650" s="157">
        <v>200</v>
      </c>
      <c r="G1650" s="158">
        <v>465.02</v>
      </c>
      <c r="H1650" s="157">
        <v>132.06</v>
      </c>
      <c r="I1650" s="157"/>
      <c r="J1650" s="159">
        <v>92871.94</v>
      </c>
      <c r="K1650" s="6" t="s">
        <v>641</v>
      </c>
      <c r="L1650" s="20">
        <f>IF(ISNA(MATCH(Transactions[[#This Row],[TransType]],TransTypes[TransType],0)),1,MATCH(Transactions[[#This Row],[TransType]],TransTypes[TransType],0))</f>
        <v>3</v>
      </c>
      <c r="M1650" s="160">
        <f>IF( AND( INDEX(TransTypes[],Transactions[[#This Row],[TTR]],TT_COL_GLFlag)=1, INDEX(TransTypes[],Transactions[[#This Row],[TTR]],TT_COL_LONGORSHORT)="S" ),
      Transactions[[#This Row],[PL]],
      IF(INDEX(TransTypes[],Transactions[[#This Row],[TTR]],TT_COL_LONGORSHORT)="S",0,Transactions[[#This Row],[CalCashImpact]])
)</f>
        <v>92871.94</v>
      </c>
      <c r="N1650" s="161">
        <f>IF(VLOOKUP(Transactions[[#This Row],[Symbol]],Symbols[],COLUMN(Symbols[Currency])-COLUMN(Symbols[])+1,FALSE)=
       VLOOKUP(Transactions[[#This Row],[Account]],Accounts[],COLUMN(Accounts[Currency])-COLUMN(Accounts[])+1,FALSE),
     Transactions[[#This Row],[OrigCashImpact]],
     0
)</f>
        <v>92871.94</v>
      </c>
      <c r="O16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482935.93999999977</v>
      </c>
      <c r="P16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6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650" s="41">
        <f>ROW()</f>
        <v>1650</v>
      </c>
      <c r="S16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-75217.903573133357</v>
      </c>
      <c r="T16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188044.75893283339</v>
      </c>
      <c r="U16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1650" s="166">
        <f>IF(INDEX(TransTypes[],Transactions[[#This Row],[TTR]],TT_COL_GLFlag)=1,Transactions[[#This Row],[CalCashImpact]]+Transactions[[#This Row],[CostImpact]],0)</f>
        <v>17654.036426866645</v>
      </c>
      <c r="W1650" s="167">
        <f>Transactions[[#This Row],[Amount]]*INDEX(TransTypes[],Transactions[[#This Row],[TTR]],TT_COL_AmntSign)</f>
        <v>92871.94</v>
      </c>
      <c r="X1650" s="167">
        <f>IF(INDEX(TransTypes[],Transactions[[#This Row],[TTR]],TT_COL_LONGORSHORT)="S",
      IF( OR(INDEX(TransTypes[],Transactions[[#This Row],[TTR]],TT_COL_GLFlag)=1, INDEX(TransTypes[], Transactions[[#This Row],[TTR]], TT_COL_ShareTransferFlag)=1),
            Transactions[[#This Row],[CostImpact]]*-1,
            Transactions[[#This Row],[CalCashImpact]]
      ),
     0
)</f>
        <v>0</v>
      </c>
      <c r="Y1650" s="168" t="str">
        <f>VLOOKUP(Transactions[[#This Row],[Symbol]],Symbols[], COLUMN(Symbols[Currency])-COLUMN(Symbols[])+1,FALSE)</f>
        <v>CNY</v>
      </c>
    </row>
    <row r="1651" spans="1:25">
      <c r="A1651" s="155" t="s">
        <v>82</v>
      </c>
      <c r="B1651" s="156">
        <v>42902</v>
      </c>
      <c r="C1651" s="155" t="s">
        <v>113</v>
      </c>
      <c r="D1651" s="155"/>
      <c r="E1651" s="155" t="s">
        <v>488</v>
      </c>
      <c r="F1651" s="157">
        <v>2000</v>
      </c>
      <c r="G1651" s="158">
        <v>25.35</v>
      </c>
      <c r="H1651" s="157">
        <v>21.29</v>
      </c>
      <c r="I1651" s="157"/>
      <c r="J1651" s="159">
        <v>50721.29</v>
      </c>
      <c r="K1651" s="6" t="s">
        <v>641</v>
      </c>
      <c r="L1651" s="20">
        <f>IF(ISNA(MATCH(Transactions[[#This Row],[TransType]],TransTypes[TransType],0)),1,MATCH(Transactions[[#This Row],[TransType]],TransTypes[TransType],0))</f>
        <v>2</v>
      </c>
      <c r="M1651" s="160">
        <f>IF( AND( INDEX(TransTypes[],Transactions[[#This Row],[TTR]],TT_COL_GLFlag)=1, INDEX(TransTypes[],Transactions[[#This Row],[TTR]],TT_COL_LONGORSHORT)="S" ),
      Transactions[[#This Row],[PL]],
      IF(INDEX(TransTypes[],Transactions[[#This Row],[TTR]],TT_COL_LONGORSHORT)="S",0,Transactions[[#This Row],[CalCashImpact]])
)</f>
        <v>-50721.29</v>
      </c>
      <c r="N1651" s="161">
        <f>IF(VLOOKUP(Transactions[[#This Row],[Symbol]],Symbols[],COLUMN(Symbols[Currency])-COLUMN(Symbols[])+1,FALSE)=
       VLOOKUP(Transactions[[#This Row],[Account]],Accounts[],COLUMN(Accounts[Currency])-COLUMN(Accounts[])+1,FALSE),
     Transactions[[#This Row],[OrigCashImpact]],
     0
)</f>
        <v>-50721.29</v>
      </c>
      <c r="O16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432214.64999999979</v>
      </c>
      <c r="P16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13000</v>
      </c>
      <c r="R1651" s="41">
        <f>ROW()</f>
        <v>1651</v>
      </c>
      <c r="S16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50721.29</v>
      </c>
      <c r="T16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266587.57292307692</v>
      </c>
      <c r="U16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651" s="166">
        <f>IF(INDEX(TransTypes[],Transactions[[#This Row],[TTR]],TT_COL_GLFlag)=1,Transactions[[#This Row],[CalCashImpact]]+Transactions[[#This Row],[CostImpact]],0)</f>
        <v>0</v>
      </c>
      <c r="W1651" s="167">
        <f>Transactions[[#This Row],[Amount]]*INDEX(TransTypes[],Transactions[[#This Row],[TTR]],TT_COL_AmntSign)</f>
        <v>-50721.29</v>
      </c>
      <c r="X1651" s="167">
        <f>IF(INDEX(TransTypes[],Transactions[[#This Row],[TTR]],TT_COL_LONGORSHORT)="S",
      IF( OR(INDEX(TransTypes[],Transactions[[#This Row],[TTR]],TT_COL_GLFlag)=1, INDEX(TransTypes[], Transactions[[#This Row],[TTR]], TT_COL_ShareTransferFlag)=1),
            Transactions[[#This Row],[CostImpact]]*-1,
            Transactions[[#This Row],[CalCashImpact]]
      ),
     0
)</f>
        <v>0</v>
      </c>
      <c r="Y1651" s="168" t="str">
        <f>VLOOKUP(Transactions[[#This Row],[Symbol]],Symbols[], COLUMN(Symbols[Currency])-COLUMN(Symbols[])+1,FALSE)</f>
        <v>CNY</v>
      </c>
    </row>
    <row r="1652" spans="1:25">
      <c r="A1652" s="155" t="s">
        <v>82</v>
      </c>
      <c r="B1652" s="156">
        <v>42905</v>
      </c>
      <c r="C1652" s="155" t="s">
        <v>113</v>
      </c>
      <c r="D1652" s="155"/>
      <c r="E1652" s="155" t="s">
        <v>480</v>
      </c>
      <c r="F1652" s="157">
        <v>2000</v>
      </c>
      <c r="G1652" s="158">
        <v>50.51</v>
      </c>
      <c r="H1652" s="157">
        <v>42.43</v>
      </c>
      <c r="I1652" s="157"/>
      <c r="J1652" s="159">
        <v>101062.43</v>
      </c>
      <c r="K1652" s="6" t="s">
        <v>641</v>
      </c>
      <c r="L1652" s="20">
        <f>IF(ISNA(MATCH(Transactions[[#This Row],[TransType]],TransTypes[TransType],0)),1,MATCH(Transactions[[#This Row],[TransType]],TransTypes[TransType],0))</f>
        <v>2</v>
      </c>
      <c r="M1652" s="160">
        <f>IF( AND( INDEX(TransTypes[],Transactions[[#This Row],[TTR]],TT_COL_GLFlag)=1, INDEX(TransTypes[],Transactions[[#This Row],[TTR]],TT_COL_LONGORSHORT)="S" ),
      Transactions[[#This Row],[PL]],
      IF(INDEX(TransTypes[],Transactions[[#This Row],[TTR]],TT_COL_LONGORSHORT)="S",0,Transactions[[#This Row],[CalCashImpact]])
)</f>
        <v>-101062.43</v>
      </c>
      <c r="N1652" s="161">
        <f>IF(VLOOKUP(Transactions[[#This Row],[Symbol]],Symbols[],COLUMN(Symbols[Currency])-COLUMN(Symbols[])+1,FALSE)=
       VLOOKUP(Transactions[[#This Row],[Account]],Accounts[],COLUMN(Accounts[Currency])-COLUMN(Accounts[])+1,FALSE),
     Transactions[[#This Row],[OrigCashImpact]],
     0
)</f>
        <v>-101062.43</v>
      </c>
      <c r="O16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331152.2199999998</v>
      </c>
      <c r="P16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652" s="41">
        <f>ROW()</f>
        <v>1652</v>
      </c>
      <c r="S16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101062.43</v>
      </c>
      <c r="T16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364046.0086885246</v>
      </c>
      <c r="U16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652" s="166">
        <f>IF(INDEX(TransTypes[],Transactions[[#This Row],[TTR]],TT_COL_GLFlag)=1,Transactions[[#This Row],[CalCashImpact]]+Transactions[[#This Row],[CostImpact]],0)</f>
        <v>0</v>
      </c>
      <c r="W1652" s="167">
        <f>Transactions[[#This Row],[Amount]]*INDEX(TransTypes[],Transactions[[#This Row],[TTR]],TT_COL_AmntSign)</f>
        <v>-101062.43</v>
      </c>
      <c r="X1652" s="167">
        <f>IF(INDEX(TransTypes[],Transactions[[#This Row],[TTR]],TT_COL_LONGORSHORT)="S",
      IF( OR(INDEX(TransTypes[],Transactions[[#This Row],[TTR]],TT_COL_GLFlag)=1, INDEX(TransTypes[], Transactions[[#This Row],[TTR]], TT_COL_ShareTransferFlag)=1),
            Transactions[[#This Row],[CostImpact]]*-1,
            Transactions[[#This Row],[CalCashImpact]]
      ),
     0
)</f>
        <v>0</v>
      </c>
      <c r="Y1652" s="168" t="str">
        <f>VLOOKUP(Transactions[[#This Row],[Symbol]],Symbols[], COLUMN(Symbols[Currency])-COLUMN(Symbols[])+1,FALSE)</f>
        <v>CNY</v>
      </c>
    </row>
    <row r="1653" spans="1:25">
      <c r="A1653" s="155" t="s">
        <v>82</v>
      </c>
      <c r="B1653" s="156">
        <v>42905</v>
      </c>
      <c r="C1653" s="155" t="s">
        <v>115</v>
      </c>
      <c r="D1653" s="155"/>
      <c r="E1653" s="155" t="s">
        <v>467</v>
      </c>
      <c r="F1653" s="157">
        <v>10000</v>
      </c>
      <c r="G1653" s="158">
        <v>12.49</v>
      </c>
      <c r="H1653" s="157">
        <v>174.86</v>
      </c>
      <c r="I1653" s="157"/>
      <c r="J1653" s="159">
        <v>124725.14</v>
      </c>
      <c r="K1653" s="6" t="s">
        <v>641</v>
      </c>
      <c r="L1653" s="20">
        <f>IF(ISNA(MATCH(Transactions[[#This Row],[TransType]],TransTypes[TransType],0)),1,MATCH(Transactions[[#This Row],[TransType]],TransTypes[TransType],0))</f>
        <v>3</v>
      </c>
      <c r="M1653" s="160">
        <f>IF( AND( INDEX(TransTypes[],Transactions[[#This Row],[TTR]],TT_COL_GLFlag)=1, INDEX(TransTypes[],Transactions[[#This Row],[TTR]],TT_COL_LONGORSHORT)="S" ),
      Transactions[[#This Row],[PL]],
      IF(INDEX(TransTypes[],Transactions[[#This Row],[TTR]],TT_COL_LONGORSHORT)="S",0,Transactions[[#This Row],[CalCashImpact]])
)</f>
        <v>124725.14</v>
      </c>
      <c r="N1653" s="161">
        <f>IF(VLOOKUP(Transactions[[#This Row],[Symbol]],Symbols[],COLUMN(Symbols[Currency])-COLUMN(Symbols[])+1,FALSE)=
       VLOOKUP(Transactions[[#This Row],[Account]],Accounts[],COLUMN(Accounts[Currency])-COLUMN(Accounts[])+1,FALSE),
     Transactions[[#This Row],[OrigCashImpact]],
     0
)</f>
        <v>124725.14</v>
      </c>
      <c r="O16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455877.35999999981</v>
      </c>
      <c r="P16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15000</v>
      </c>
      <c r="R1653" s="41">
        <f>ROW()</f>
        <v>1653</v>
      </c>
      <c r="S16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-125910.344</v>
      </c>
      <c r="T16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188865.516</v>
      </c>
      <c r="U16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v>
      </c>
      <c r="V1653" s="166">
        <f>IF(INDEX(TransTypes[],Transactions[[#This Row],[TTR]],TT_COL_GLFlag)=1,Transactions[[#This Row],[CalCashImpact]]+Transactions[[#This Row],[CostImpact]],0)</f>
        <v>-1185.2039999999979</v>
      </c>
      <c r="W1653" s="167">
        <f>Transactions[[#This Row],[Amount]]*INDEX(TransTypes[],Transactions[[#This Row],[TTR]],TT_COL_AmntSign)</f>
        <v>124725.14</v>
      </c>
      <c r="X1653" s="167">
        <f>IF(INDEX(TransTypes[],Transactions[[#This Row],[TTR]],TT_COL_LONGORSHORT)="S",
      IF( OR(INDEX(TransTypes[],Transactions[[#This Row],[TTR]],TT_COL_GLFlag)=1, INDEX(TransTypes[], Transactions[[#This Row],[TTR]], TT_COL_ShareTransferFlag)=1),
            Transactions[[#This Row],[CostImpact]]*-1,
            Transactions[[#This Row],[CalCashImpact]]
      ),
     0
)</f>
        <v>0</v>
      </c>
      <c r="Y1653" s="168" t="str">
        <f>VLOOKUP(Transactions[[#This Row],[Symbol]],Symbols[], COLUMN(Symbols[Currency])-COLUMN(Symbols[])+1,FALSE)</f>
        <v>CNY</v>
      </c>
    </row>
    <row r="1654" spans="1:25">
      <c r="A1654" s="155" t="s">
        <v>82</v>
      </c>
      <c r="B1654" s="156">
        <v>42906</v>
      </c>
      <c r="C1654" s="155" t="s">
        <v>113</v>
      </c>
      <c r="D1654" s="155"/>
      <c r="E1654" s="155" t="s">
        <v>710</v>
      </c>
      <c r="F1654" s="157">
        <v>10000</v>
      </c>
      <c r="G1654" s="158">
        <v>34.840000000000003</v>
      </c>
      <c r="H1654" s="157">
        <v>139.36000000000001</v>
      </c>
      <c r="I1654" s="157"/>
      <c r="J1654" s="159">
        <v>348539.36</v>
      </c>
      <c r="K1654" s="6" t="s">
        <v>641</v>
      </c>
      <c r="L1654" s="20">
        <f>IF(ISNA(MATCH(Transactions[[#This Row],[TransType]],TransTypes[TransType],0)),1,MATCH(Transactions[[#This Row],[TransType]],TransTypes[TransType],0))</f>
        <v>2</v>
      </c>
      <c r="M1654" s="160">
        <f>IF( AND( INDEX(TransTypes[],Transactions[[#This Row],[TTR]],TT_COL_GLFlag)=1, INDEX(TransTypes[],Transactions[[#This Row],[TTR]],TT_COL_LONGORSHORT)="S" ),
      Transactions[[#This Row],[PL]],
      IF(INDEX(TransTypes[],Transactions[[#This Row],[TTR]],TT_COL_LONGORSHORT)="S",0,Transactions[[#This Row],[CalCashImpact]])
)</f>
        <v>-348539.36</v>
      </c>
      <c r="N1654" s="161">
        <f>IF(VLOOKUP(Transactions[[#This Row],[Symbol]],Symbols[],COLUMN(Symbols[Currency])-COLUMN(Symbols[])+1,FALSE)=
       VLOOKUP(Transactions[[#This Row],[Account]],Accounts[],COLUMN(Accounts[Currency])-COLUMN(Accounts[])+1,FALSE),
     Transactions[[#This Row],[OrigCashImpact]],
     0
)</f>
        <v>-348539.36</v>
      </c>
      <c r="O16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107337.99999999983</v>
      </c>
      <c r="P16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654" s="41">
        <f>ROW()</f>
        <v>1654</v>
      </c>
      <c r="S16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348539.36</v>
      </c>
      <c r="T16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392750.48919841269</v>
      </c>
      <c r="U16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654" s="166">
        <f>IF(INDEX(TransTypes[],Transactions[[#This Row],[TTR]],TT_COL_GLFlag)=1,Transactions[[#This Row],[CalCashImpact]]+Transactions[[#This Row],[CostImpact]],0)</f>
        <v>0</v>
      </c>
      <c r="W1654" s="167">
        <f>Transactions[[#This Row],[Amount]]*INDEX(TransTypes[],Transactions[[#This Row],[TTR]],TT_COL_AmntSign)</f>
        <v>-348539.36</v>
      </c>
      <c r="X1654" s="167">
        <f>IF(INDEX(TransTypes[],Transactions[[#This Row],[TTR]],TT_COL_LONGORSHORT)="S",
      IF( OR(INDEX(TransTypes[],Transactions[[#This Row],[TTR]],TT_COL_GLFlag)=1, INDEX(TransTypes[], Transactions[[#This Row],[TTR]], TT_COL_ShareTransferFlag)=1),
            Transactions[[#This Row],[CostImpact]]*-1,
            Transactions[[#This Row],[CalCashImpact]]
      ),
     0
)</f>
        <v>0</v>
      </c>
      <c r="Y1654" s="168" t="str">
        <f>VLOOKUP(Transactions[[#This Row],[Symbol]],Symbols[], COLUMN(Symbols[Currency])-COLUMN(Symbols[])+1,FALSE)</f>
        <v>CNY</v>
      </c>
    </row>
    <row r="1655" spans="1:25">
      <c r="A1655" s="155" t="s">
        <v>82</v>
      </c>
      <c r="B1655" s="156">
        <v>42906</v>
      </c>
      <c r="C1655" s="155" t="s">
        <v>113</v>
      </c>
      <c r="D1655" s="155"/>
      <c r="E1655" s="155" t="s">
        <v>480</v>
      </c>
      <c r="F1655" s="157">
        <v>1000</v>
      </c>
      <c r="G1655" s="158">
        <v>49.39</v>
      </c>
      <c r="H1655" s="157">
        <v>20.75</v>
      </c>
      <c r="I1655" s="157"/>
      <c r="J1655" s="159">
        <v>49410.75</v>
      </c>
      <c r="K1655" s="6" t="s">
        <v>641</v>
      </c>
      <c r="L1655" s="20">
        <f>IF(ISNA(MATCH(Transactions[[#This Row],[TransType]],TransTypes[TransType],0)),1,MATCH(Transactions[[#This Row],[TransType]],TransTypes[TransType],0))</f>
        <v>2</v>
      </c>
      <c r="M1655" s="160">
        <f>IF( AND( INDEX(TransTypes[],Transactions[[#This Row],[TTR]],TT_COL_GLFlag)=1, INDEX(TransTypes[],Transactions[[#This Row],[TTR]],TT_COL_LONGORSHORT)="S" ),
      Transactions[[#This Row],[PL]],
      IF(INDEX(TransTypes[],Transactions[[#This Row],[TTR]],TT_COL_LONGORSHORT)="S",0,Transactions[[#This Row],[CalCashImpact]])
)</f>
        <v>-49410.75</v>
      </c>
      <c r="N1655" s="161">
        <f>IF(VLOOKUP(Transactions[[#This Row],[Symbol]],Symbols[],COLUMN(Symbols[Currency])-COLUMN(Symbols[])+1,FALSE)=
       VLOOKUP(Transactions[[#This Row],[Account]],Accounts[],COLUMN(Accounts[Currency])-COLUMN(Accounts[])+1,FALSE),
     Transactions[[#This Row],[OrigCashImpact]],
     0
)</f>
        <v>-49410.75</v>
      </c>
      <c r="O16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57927.249999999825</v>
      </c>
      <c r="P16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6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655" s="41">
        <f>ROW()</f>
        <v>1655</v>
      </c>
      <c r="S16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49410.75</v>
      </c>
      <c r="T16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413456.7586885246</v>
      </c>
      <c r="U16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655" s="166">
        <f>IF(INDEX(TransTypes[],Transactions[[#This Row],[TTR]],TT_COL_GLFlag)=1,Transactions[[#This Row],[CalCashImpact]]+Transactions[[#This Row],[CostImpact]],0)</f>
        <v>0</v>
      </c>
      <c r="W1655" s="167">
        <f>Transactions[[#This Row],[Amount]]*INDEX(TransTypes[],Transactions[[#This Row],[TTR]],TT_COL_AmntSign)</f>
        <v>-49410.75</v>
      </c>
      <c r="X1655" s="167">
        <f>IF(INDEX(TransTypes[],Transactions[[#This Row],[TTR]],TT_COL_LONGORSHORT)="S",
      IF( OR(INDEX(TransTypes[],Transactions[[#This Row],[TTR]],TT_COL_GLFlag)=1, INDEX(TransTypes[], Transactions[[#This Row],[TTR]], TT_COL_ShareTransferFlag)=1),
            Transactions[[#This Row],[CostImpact]]*-1,
            Transactions[[#This Row],[CalCashImpact]]
      ),
     0
)</f>
        <v>0</v>
      </c>
      <c r="Y1655" s="168" t="str">
        <f>VLOOKUP(Transactions[[#This Row],[Symbol]],Symbols[], COLUMN(Symbols[Currency])-COLUMN(Symbols[])+1,FALSE)</f>
        <v>CNY</v>
      </c>
    </row>
    <row r="1656" spans="1:25">
      <c r="A1656" s="155" t="s">
        <v>82</v>
      </c>
      <c r="B1656" s="156">
        <v>42906</v>
      </c>
      <c r="C1656" s="155" t="s">
        <v>115</v>
      </c>
      <c r="D1656" s="155"/>
      <c r="E1656" s="155" t="s">
        <v>463</v>
      </c>
      <c r="F1656" s="157">
        <v>10000</v>
      </c>
      <c r="G1656" s="158">
        <v>21.12</v>
      </c>
      <c r="H1656" s="157">
        <v>299.89999999999998</v>
      </c>
      <c r="I1656" s="157"/>
      <c r="J1656" s="159">
        <v>210900.1</v>
      </c>
      <c r="K1656" s="6" t="s">
        <v>641</v>
      </c>
      <c r="L1656" s="20">
        <f>IF(ISNA(MATCH(Transactions[[#This Row],[TransType]],TransTypes[TransType],0)),1,MATCH(Transactions[[#This Row],[TransType]],TransTypes[TransType],0))</f>
        <v>3</v>
      </c>
      <c r="M1656" s="160">
        <f>IF( AND( INDEX(TransTypes[],Transactions[[#This Row],[TTR]],TT_COL_GLFlag)=1, INDEX(TransTypes[],Transactions[[#This Row],[TTR]],TT_COL_LONGORSHORT)="S" ),
      Transactions[[#This Row],[PL]],
      IF(INDEX(TransTypes[],Transactions[[#This Row],[TTR]],TT_COL_LONGORSHORT)="S",0,Transactions[[#This Row],[CalCashImpact]])
)</f>
        <v>210900.1</v>
      </c>
      <c r="N1656" s="161">
        <f>IF(VLOOKUP(Transactions[[#This Row],[Symbol]],Symbols[],COLUMN(Symbols[Currency])-COLUMN(Symbols[])+1,FALSE)=
       VLOOKUP(Transactions[[#This Row],[Account]],Accounts[],COLUMN(Accounts[Currency])-COLUMN(Accounts[])+1,FALSE),
     Transactions[[#This Row],[OrigCashImpact]],
     0
)</f>
        <v>210900.1</v>
      </c>
      <c r="O16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268827.34999999986</v>
      </c>
      <c r="P16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56" s="41">
        <f>ROW()</f>
        <v>1656</v>
      </c>
      <c r="S16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-213789.75</v>
      </c>
      <c r="T16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56" s="166">
        <f>IF(INDEX(TransTypes[],Transactions[[#This Row],[TTR]],TT_COL_GLFlag)=1,Transactions[[#This Row],[CalCashImpact]]+Transactions[[#This Row],[CostImpact]],0)</f>
        <v>-2889.6499999999942</v>
      </c>
      <c r="W1656" s="167">
        <f>Transactions[[#This Row],[Amount]]*INDEX(TransTypes[],Transactions[[#This Row],[TTR]],TT_COL_AmntSign)</f>
        <v>210900.1</v>
      </c>
      <c r="X1656" s="167">
        <f>IF(INDEX(TransTypes[],Transactions[[#This Row],[TTR]],TT_COL_LONGORSHORT)="S",
      IF( OR(INDEX(TransTypes[],Transactions[[#This Row],[TTR]],TT_COL_GLFlag)=1, INDEX(TransTypes[], Transactions[[#This Row],[TTR]], TT_COL_ShareTransferFlag)=1),
            Transactions[[#This Row],[CostImpact]]*-1,
            Transactions[[#This Row],[CalCashImpact]]
      ),
     0
)</f>
        <v>0</v>
      </c>
      <c r="Y1656" s="168" t="str">
        <f>VLOOKUP(Transactions[[#This Row],[Symbol]],Symbols[], COLUMN(Symbols[Currency])-COLUMN(Symbols[])+1,FALSE)</f>
        <v>CNY</v>
      </c>
    </row>
    <row r="1657" spans="1:25">
      <c r="A1657" s="155" t="s">
        <v>82</v>
      </c>
      <c r="B1657" s="156">
        <v>42906</v>
      </c>
      <c r="C1657" s="155" t="s">
        <v>115</v>
      </c>
      <c r="D1657" s="155"/>
      <c r="E1657" s="155" t="s">
        <v>713</v>
      </c>
      <c r="F1657" s="157">
        <v>10000</v>
      </c>
      <c r="G1657" s="158">
        <v>15.85</v>
      </c>
      <c r="H1657" s="157">
        <v>225.05</v>
      </c>
      <c r="I1657" s="157"/>
      <c r="J1657" s="159">
        <v>158274.95000000001</v>
      </c>
      <c r="K1657" s="6" t="s">
        <v>641</v>
      </c>
      <c r="L1657" s="20">
        <f>IF(ISNA(MATCH(Transactions[[#This Row],[TransType]],TransTypes[TransType],0)),1,MATCH(Transactions[[#This Row],[TransType]],TransTypes[TransType],0))</f>
        <v>3</v>
      </c>
      <c r="M1657" s="160">
        <f>IF( AND( INDEX(TransTypes[],Transactions[[#This Row],[TTR]],TT_COL_GLFlag)=1, INDEX(TransTypes[],Transactions[[#This Row],[TTR]],TT_COL_LONGORSHORT)="S" ),
      Transactions[[#This Row],[PL]],
      IF(INDEX(TransTypes[],Transactions[[#This Row],[TTR]],TT_COL_LONGORSHORT)="S",0,Transactions[[#This Row],[CalCashImpact]])
)</f>
        <v>158274.95000000001</v>
      </c>
      <c r="N1657" s="161">
        <f>IF(VLOOKUP(Transactions[[#This Row],[Symbol]],Symbols[],COLUMN(Symbols[Currency])-COLUMN(Symbols[])+1,FALSE)=
       VLOOKUP(Transactions[[#This Row],[Account]],Accounts[],COLUMN(Accounts[Currency])-COLUMN(Accounts[])+1,FALSE),
     Transactions[[#This Row],[OrigCashImpact]],
     0
)</f>
        <v>158274.95000000001</v>
      </c>
      <c r="O16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427102.29999999981</v>
      </c>
      <c r="P16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57" s="41">
        <f>ROW()</f>
        <v>1657</v>
      </c>
      <c r="S16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-159967.16</v>
      </c>
      <c r="T16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57" s="166">
        <f>IF(INDEX(TransTypes[],Transactions[[#This Row],[TTR]],TT_COL_GLFlag)=1,Transactions[[#This Row],[CalCashImpact]]+Transactions[[#This Row],[CostImpact]],0)</f>
        <v>-1692.2099999999919</v>
      </c>
      <c r="W1657" s="167">
        <f>Transactions[[#This Row],[Amount]]*INDEX(TransTypes[],Transactions[[#This Row],[TTR]],TT_COL_AmntSign)</f>
        <v>158274.95000000001</v>
      </c>
      <c r="X1657" s="167">
        <f>IF(INDEX(TransTypes[],Transactions[[#This Row],[TTR]],TT_COL_LONGORSHORT)="S",
      IF( OR(INDEX(TransTypes[],Transactions[[#This Row],[TTR]],TT_COL_GLFlag)=1, INDEX(TransTypes[], Transactions[[#This Row],[TTR]], TT_COL_ShareTransferFlag)=1),
            Transactions[[#This Row],[CostImpact]]*-1,
            Transactions[[#This Row],[CalCashImpact]]
      ),
     0
)</f>
        <v>0</v>
      </c>
      <c r="Y1657" s="168" t="str">
        <f>VLOOKUP(Transactions[[#This Row],[Symbol]],Symbols[], COLUMN(Symbols[Currency])-COLUMN(Symbols[])+1,FALSE)</f>
        <v>CNY</v>
      </c>
    </row>
    <row r="1658" spans="1:25">
      <c r="A1658" s="155" t="s">
        <v>82</v>
      </c>
      <c r="B1658" s="156">
        <v>42908</v>
      </c>
      <c r="C1658" s="155" t="s">
        <v>113</v>
      </c>
      <c r="D1658" s="155"/>
      <c r="E1658" s="155" t="s">
        <v>463</v>
      </c>
      <c r="F1658" s="157">
        <v>5000</v>
      </c>
      <c r="G1658" s="158">
        <v>22.94</v>
      </c>
      <c r="H1658" s="157">
        <v>48.17</v>
      </c>
      <c r="I1658" s="157"/>
      <c r="J1658" s="159">
        <v>114748.17</v>
      </c>
      <c r="K1658" s="6" t="s">
        <v>641</v>
      </c>
      <c r="L1658" s="20">
        <f>IF(ISNA(MATCH(Transactions[[#This Row],[TransType]],TransTypes[TransType],0)),1,MATCH(Transactions[[#This Row],[TransType]],TransTypes[TransType],0))</f>
        <v>2</v>
      </c>
      <c r="M1658" s="160">
        <f>IF( AND( INDEX(TransTypes[],Transactions[[#This Row],[TTR]],TT_COL_GLFlag)=1, INDEX(TransTypes[],Transactions[[#This Row],[TTR]],TT_COL_LONGORSHORT)="S" ),
      Transactions[[#This Row],[PL]],
      IF(INDEX(TransTypes[],Transactions[[#This Row],[TTR]],TT_COL_LONGORSHORT)="S",0,Transactions[[#This Row],[CalCashImpact]])
)</f>
        <v>-114748.17</v>
      </c>
      <c r="N1658" s="161">
        <f>IF(VLOOKUP(Transactions[[#This Row],[Symbol]],Symbols[],COLUMN(Symbols[Currency])-COLUMN(Symbols[])+1,FALSE)=
       VLOOKUP(Transactions[[#This Row],[Account]],Accounts[],COLUMN(Accounts[Currency])-COLUMN(Accounts[])+1,FALSE),
     Transactions[[#This Row],[OrigCashImpact]],
     0
)</f>
        <v>-114748.17</v>
      </c>
      <c r="O16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312354.12999999989</v>
      </c>
      <c r="P16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658" s="41">
        <f>ROW()</f>
        <v>1658</v>
      </c>
      <c r="S16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114748.17</v>
      </c>
      <c r="T16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114748.17</v>
      </c>
      <c r="U16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658" s="166">
        <f>IF(INDEX(TransTypes[],Transactions[[#This Row],[TTR]],TT_COL_GLFlag)=1,Transactions[[#This Row],[CalCashImpact]]+Transactions[[#This Row],[CostImpact]],0)</f>
        <v>0</v>
      </c>
      <c r="W1658" s="167">
        <f>Transactions[[#This Row],[Amount]]*INDEX(TransTypes[],Transactions[[#This Row],[TTR]],TT_COL_AmntSign)</f>
        <v>-114748.17</v>
      </c>
      <c r="X1658" s="167">
        <f>IF(INDEX(TransTypes[],Transactions[[#This Row],[TTR]],TT_COL_LONGORSHORT)="S",
      IF( OR(INDEX(TransTypes[],Transactions[[#This Row],[TTR]],TT_COL_GLFlag)=1, INDEX(TransTypes[], Transactions[[#This Row],[TTR]], TT_COL_ShareTransferFlag)=1),
            Transactions[[#This Row],[CostImpact]]*-1,
            Transactions[[#This Row],[CalCashImpact]]
      ),
     0
)</f>
        <v>0</v>
      </c>
      <c r="Y1658" s="168" t="str">
        <f>VLOOKUP(Transactions[[#This Row],[Symbol]],Symbols[], COLUMN(Symbols[Currency])-COLUMN(Symbols[])+1,FALSE)</f>
        <v>CNY</v>
      </c>
    </row>
    <row r="1659" spans="1:25">
      <c r="A1659" s="155" t="s">
        <v>82</v>
      </c>
      <c r="B1659" s="156">
        <v>42908</v>
      </c>
      <c r="C1659" s="155" t="s">
        <v>113</v>
      </c>
      <c r="D1659" s="155"/>
      <c r="E1659" s="155" t="s">
        <v>713</v>
      </c>
      <c r="F1659" s="157">
        <v>20000</v>
      </c>
      <c r="G1659" s="158">
        <v>16.329999999999998</v>
      </c>
      <c r="H1659" s="157">
        <v>137.16999999999999</v>
      </c>
      <c r="I1659" s="157"/>
      <c r="J1659" s="159">
        <v>326737.17</v>
      </c>
      <c r="K1659" s="6" t="s">
        <v>641</v>
      </c>
      <c r="L1659" s="20">
        <f>IF(ISNA(MATCH(Transactions[[#This Row],[TransType]],TransTypes[TransType],0)),1,MATCH(Transactions[[#This Row],[TransType]],TransTypes[TransType],0))</f>
        <v>2</v>
      </c>
      <c r="M1659" s="160">
        <f>IF( AND( INDEX(TransTypes[],Transactions[[#This Row],[TTR]],TT_COL_GLFlag)=1, INDEX(TransTypes[],Transactions[[#This Row],[TTR]],TT_COL_LONGORSHORT)="S" ),
      Transactions[[#This Row],[PL]],
      IF(INDEX(TransTypes[],Transactions[[#This Row],[TTR]],TT_COL_LONGORSHORT)="S",0,Transactions[[#This Row],[CalCashImpact]])
)</f>
        <v>-326737.17</v>
      </c>
      <c r="N1659" s="161">
        <f>IF(VLOOKUP(Transactions[[#This Row],[Symbol]],Symbols[],COLUMN(Symbols[Currency])-COLUMN(Symbols[])+1,FALSE)=
       VLOOKUP(Transactions[[#This Row],[Account]],Accounts[],COLUMN(Accounts[Currency])-COLUMN(Accounts[])+1,FALSE),
     Transactions[[#This Row],[OrigCashImpact]],
     0
)</f>
        <v>-326737.17</v>
      </c>
      <c r="O16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-14383.040000000095</v>
      </c>
      <c r="P16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6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659" s="41">
        <f>ROW()</f>
        <v>1659</v>
      </c>
      <c r="S16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326737.17</v>
      </c>
      <c r="T16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326737.17</v>
      </c>
      <c r="U16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659" s="166">
        <f>IF(INDEX(TransTypes[],Transactions[[#This Row],[TTR]],TT_COL_GLFlag)=1,Transactions[[#This Row],[CalCashImpact]]+Transactions[[#This Row],[CostImpact]],0)</f>
        <v>0</v>
      </c>
      <c r="W1659" s="167">
        <f>Transactions[[#This Row],[Amount]]*INDEX(TransTypes[],Transactions[[#This Row],[TTR]],TT_COL_AmntSign)</f>
        <v>-326737.17</v>
      </c>
      <c r="X1659" s="167">
        <f>IF(INDEX(TransTypes[],Transactions[[#This Row],[TTR]],TT_COL_LONGORSHORT)="S",
      IF( OR(INDEX(TransTypes[],Transactions[[#This Row],[TTR]],TT_COL_GLFlag)=1, INDEX(TransTypes[], Transactions[[#This Row],[TTR]], TT_COL_ShareTransferFlag)=1),
            Transactions[[#This Row],[CostImpact]]*-1,
            Transactions[[#This Row],[CalCashImpact]]
      ),
     0
)</f>
        <v>0</v>
      </c>
      <c r="Y1659" s="168" t="str">
        <f>VLOOKUP(Transactions[[#This Row],[Symbol]],Symbols[], COLUMN(Symbols[Currency])-COLUMN(Symbols[])+1,FALSE)</f>
        <v>CNY</v>
      </c>
    </row>
    <row r="1660" spans="1:25">
      <c r="A1660" s="155" t="s">
        <v>82</v>
      </c>
      <c r="B1660" s="156">
        <v>42908</v>
      </c>
      <c r="C1660" s="155" t="s">
        <v>115</v>
      </c>
      <c r="D1660" s="155"/>
      <c r="E1660" s="155" t="s">
        <v>736</v>
      </c>
      <c r="F1660" s="157">
        <v>5000</v>
      </c>
      <c r="G1660" s="158">
        <v>25.43</v>
      </c>
      <c r="H1660" s="157">
        <v>180.55</v>
      </c>
      <c r="I1660" s="157"/>
      <c r="J1660" s="159">
        <v>126969.45</v>
      </c>
      <c r="K1660" s="6" t="s">
        <v>641</v>
      </c>
      <c r="L1660" s="20">
        <f>IF(ISNA(MATCH(Transactions[[#This Row],[TransType]],TransTypes[TransType],0)),1,MATCH(Transactions[[#This Row],[TransType]],TransTypes[TransType],0))</f>
        <v>3</v>
      </c>
      <c r="M1660" s="160">
        <f>IF( AND( INDEX(TransTypes[],Transactions[[#This Row],[TTR]],TT_COL_GLFlag)=1, INDEX(TransTypes[],Transactions[[#This Row],[TTR]],TT_COL_LONGORSHORT)="S" ),
      Transactions[[#This Row],[PL]],
      IF(INDEX(TransTypes[],Transactions[[#This Row],[TTR]],TT_COL_LONGORSHORT)="S",0,Transactions[[#This Row],[CalCashImpact]])
)</f>
        <v>126969.45</v>
      </c>
      <c r="N1660" s="161">
        <f>IF(VLOOKUP(Transactions[[#This Row],[Symbol]],Symbols[],COLUMN(Symbols[Currency])-COLUMN(Symbols[])+1,FALSE)=
       VLOOKUP(Transactions[[#This Row],[Account]],Accounts[],COLUMN(Accounts[Currency])-COLUMN(Accounts[])+1,FALSE),
     Transactions[[#This Row],[OrigCashImpact]],
     0
)</f>
        <v>126969.45</v>
      </c>
      <c r="O16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112586.40999999992</v>
      </c>
      <c r="P16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660" s="41">
        <f>ROW()</f>
        <v>1660</v>
      </c>
      <c r="S16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-121338.63076923077</v>
      </c>
      <c r="T16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194141.80923076923</v>
      </c>
      <c r="U16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660" s="166">
        <f>IF(INDEX(TransTypes[],Transactions[[#This Row],[TTR]],TT_COL_GLFlag)=1,Transactions[[#This Row],[CalCashImpact]]+Transactions[[#This Row],[CostImpact]],0)</f>
        <v>5630.8192307692225</v>
      </c>
      <c r="W1660" s="167">
        <f>Transactions[[#This Row],[Amount]]*INDEX(TransTypes[],Transactions[[#This Row],[TTR]],TT_COL_AmntSign)</f>
        <v>126969.45</v>
      </c>
      <c r="X1660" s="167">
        <f>IF(INDEX(TransTypes[],Transactions[[#This Row],[TTR]],TT_COL_LONGORSHORT)="S",
      IF( OR(INDEX(TransTypes[],Transactions[[#This Row],[TTR]],TT_COL_GLFlag)=1, INDEX(TransTypes[], Transactions[[#This Row],[TTR]], TT_COL_ShareTransferFlag)=1),
            Transactions[[#This Row],[CostImpact]]*-1,
            Transactions[[#This Row],[CalCashImpact]]
      ),
     0
)</f>
        <v>0</v>
      </c>
      <c r="Y1660" s="168" t="str">
        <f>VLOOKUP(Transactions[[#This Row],[Symbol]],Symbols[], COLUMN(Symbols[Currency])-COLUMN(Symbols[])+1,FALSE)</f>
        <v>CNY</v>
      </c>
    </row>
    <row r="1661" spans="1:25">
      <c r="A1661" s="155" t="s">
        <v>82</v>
      </c>
      <c r="B1661" s="156">
        <v>42908</v>
      </c>
      <c r="C1661" s="155" t="s">
        <v>115</v>
      </c>
      <c r="D1661" s="155"/>
      <c r="E1661" s="155" t="s">
        <v>710</v>
      </c>
      <c r="F1661" s="157">
        <v>5000</v>
      </c>
      <c r="G1661" s="158">
        <v>35.85</v>
      </c>
      <c r="H1661" s="157">
        <v>250.95</v>
      </c>
      <c r="I1661" s="157"/>
      <c r="J1661" s="159">
        <v>178999.05</v>
      </c>
      <c r="K1661" s="6" t="s">
        <v>641</v>
      </c>
      <c r="L1661" s="20">
        <f>IF(ISNA(MATCH(Transactions[[#This Row],[TransType]],TransTypes[TransType],0)),1,MATCH(Transactions[[#This Row],[TransType]],TransTypes[TransType],0))</f>
        <v>3</v>
      </c>
      <c r="M1661" s="160">
        <f>IF( AND( INDEX(TransTypes[],Transactions[[#This Row],[TTR]],TT_COL_GLFlag)=1, INDEX(TransTypes[],Transactions[[#This Row],[TTR]],TT_COL_LONGORSHORT)="S" ),
      Transactions[[#This Row],[PL]],
      IF(INDEX(TransTypes[],Transactions[[#This Row],[TTR]],TT_COL_LONGORSHORT)="S",0,Transactions[[#This Row],[CalCashImpact]])
)</f>
        <v>178999.05</v>
      </c>
      <c r="N1661" s="161">
        <f>IF(VLOOKUP(Transactions[[#This Row],[Symbol]],Symbols[],COLUMN(Symbols[Currency])-COLUMN(Symbols[])+1,FALSE)=
       VLOOKUP(Transactions[[#This Row],[Account]],Accounts[],COLUMN(Accounts[Currency])-COLUMN(Accounts[])+1,FALSE),
     Transactions[[#This Row],[OrigCashImpact]],
     0
)</f>
        <v>178999.05</v>
      </c>
      <c r="O16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291585.4599999999</v>
      </c>
      <c r="P16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661" s="41">
        <f>ROW()</f>
        <v>1661</v>
      </c>
      <c r="S16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-163646.03716600526</v>
      </c>
      <c r="T16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229104.45203240743</v>
      </c>
      <c r="U16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661" s="166">
        <f>IF(INDEX(TransTypes[],Transactions[[#This Row],[TTR]],TT_COL_GLFlag)=1,Transactions[[#This Row],[CalCashImpact]]+Transactions[[#This Row],[CostImpact]],0)</f>
        <v>15353.012833994726</v>
      </c>
      <c r="W1661" s="167">
        <f>Transactions[[#This Row],[Amount]]*INDEX(TransTypes[],Transactions[[#This Row],[TTR]],TT_COL_AmntSign)</f>
        <v>178999.05</v>
      </c>
      <c r="X1661" s="167">
        <f>IF(INDEX(TransTypes[],Transactions[[#This Row],[TTR]],TT_COL_LONGORSHORT)="S",
      IF( OR(INDEX(TransTypes[],Transactions[[#This Row],[TTR]],TT_COL_GLFlag)=1, INDEX(TransTypes[], Transactions[[#This Row],[TTR]], TT_COL_ShareTransferFlag)=1),
            Transactions[[#This Row],[CostImpact]]*-1,
            Transactions[[#This Row],[CalCashImpact]]
      ),
     0
)</f>
        <v>0</v>
      </c>
      <c r="Y1661" s="168" t="str">
        <f>VLOOKUP(Transactions[[#This Row],[Symbol]],Symbols[], COLUMN(Symbols[Currency])-COLUMN(Symbols[])+1,FALSE)</f>
        <v>CNY</v>
      </c>
    </row>
    <row r="1662" spans="1:25">
      <c r="A1662" s="155" t="s">
        <v>82</v>
      </c>
      <c r="B1662" s="156">
        <v>42908</v>
      </c>
      <c r="C1662" s="155" t="s">
        <v>115</v>
      </c>
      <c r="D1662" s="155"/>
      <c r="E1662" s="155" t="s">
        <v>467</v>
      </c>
      <c r="F1662" s="157">
        <v>15000</v>
      </c>
      <c r="G1662" s="158">
        <v>11.99</v>
      </c>
      <c r="H1662" s="157">
        <v>251.8</v>
      </c>
      <c r="I1662" s="157"/>
      <c r="J1662" s="159">
        <v>179598.2</v>
      </c>
      <c r="K1662" s="6" t="s">
        <v>641</v>
      </c>
      <c r="L1662" s="20">
        <f>IF(ISNA(MATCH(Transactions[[#This Row],[TransType]],TransTypes[TransType],0)),1,MATCH(Transactions[[#This Row],[TransType]],TransTypes[TransType],0))</f>
        <v>3</v>
      </c>
      <c r="M1662" s="160">
        <f>IF( AND( INDEX(TransTypes[],Transactions[[#This Row],[TTR]],TT_COL_GLFlag)=1, INDEX(TransTypes[],Transactions[[#This Row],[TTR]],TT_COL_LONGORSHORT)="S" ),
      Transactions[[#This Row],[PL]],
      IF(INDEX(TransTypes[],Transactions[[#This Row],[TTR]],TT_COL_LONGORSHORT)="S",0,Transactions[[#This Row],[CalCashImpact]])
)</f>
        <v>179598.2</v>
      </c>
      <c r="N1662" s="161">
        <f>IF(VLOOKUP(Transactions[[#This Row],[Symbol]],Symbols[],COLUMN(Symbols[Currency])-COLUMN(Symbols[])+1,FALSE)=
       VLOOKUP(Transactions[[#This Row],[Account]],Accounts[],COLUMN(Accounts[Currency])-COLUMN(Accounts[])+1,FALSE),
     Transactions[[#This Row],[OrigCashImpact]],
     0
)</f>
        <v>179598.2</v>
      </c>
      <c r="O16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471183.65999999992</v>
      </c>
      <c r="P16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-15000</v>
      </c>
      <c r="Q16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62" s="41">
        <f>ROW()</f>
        <v>1662</v>
      </c>
      <c r="S16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-188865.516</v>
      </c>
      <c r="T16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15000</v>
      </c>
      <c r="V1662" s="166">
        <f>IF(INDEX(TransTypes[],Transactions[[#This Row],[TTR]],TT_COL_GLFlag)=1,Transactions[[#This Row],[CalCashImpact]]+Transactions[[#This Row],[CostImpact]],0)</f>
        <v>-9267.3159999999916</v>
      </c>
      <c r="W1662" s="167">
        <f>Transactions[[#This Row],[Amount]]*INDEX(TransTypes[],Transactions[[#This Row],[TTR]],TT_COL_AmntSign)</f>
        <v>179598.2</v>
      </c>
      <c r="X1662" s="167">
        <f>IF(INDEX(TransTypes[],Transactions[[#This Row],[TTR]],TT_COL_LONGORSHORT)="S",
      IF( OR(INDEX(TransTypes[],Transactions[[#This Row],[TTR]],TT_COL_GLFlag)=1, INDEX(TransTypes[], Transactions[[#This Row],[TTR]], TT_COL_ShareTransferFlag)=1),
            Transactions[[#This Row],[CostImpact]]*-1,
            Transactions[[#This Row],[CalCashImpact]]
      ),
     0
)</f>
        <v>0</v>
      </c>
      <c r="Y1662" s="168" t="str">
        <f>VLOOKUP(Transactions[[#This Row],[Symbol]],Symbols[], COLUMN(Symbols[Currency])-COLUMN(Symbols[])+1,FALSE)</f>
        <v>CNY</v>
      </c>
    </row>
    <row r="1663" spans="1:25">
      <c r="A1663" s="155" t="s">
        <v>82</v>
      </c>
      <c r="B1663" s="156">
        <v>42928</v>
      </c>
      <c r="C1663" s="155" t="s">
        <v>115</v>
      </c>
      <c r="D1663" s="155"/>
      <c r="E1663" s="155" t="s">
        <v>258</v>
      </c>
      <c r="F1663" s="157">
        <v>5000</v>
      </c>
      <c r="G1663" s="158">
        <v>16.72</v>
      </c>
      <c r="H1663" s="157">
        <v>343.75</v>
      </c>
      <c r="I1663" s="157"/>
      <c r="J1663" s="159">
        <v>83256.25</v>
      </c>
      <c r="K1663" s="6" t="s">
        <v>641</v>
      </c>
      <c r="L1663" s="20">
        <f>IF(ISNA(MATCH(Transactions[[#This Row],[TransType]],TransTypes[TransType],0)),1,MATCH(Transactions[[#This Row],[TransType]],TransTypes[TransType],0))</f>
        <v>3</v>
      </c>
      <c r="M1663" s="160">
        <f>IF( AND( INDEX(TransTypes[],Transactions[[#This Row],[TTR]],TT_COL_GLFlag)=1, INDEX(TransTypes[],Transactions[[#This Row],[TTR]],TT_COL_LONGORSHORT)="S" ),
      Transactions[[#This Row],[PL]],
      IF(INDEX(TransTypes[],Transactions[[#This Row],[TTR]],TT_COL_LONGORSHORT)="S",0,Transactions[[#This Row],[CalCashImpact]])
)</f>
        <v>83256.25</v>
      </c>
      <c r="N1663" s="161">
        <f>IF(VLOOKUP(Transactions[[#This Row],[Symbol]],Symbols[],COLUMN(Symbols[Currency])-COLUMN(Symbols[])+1,FALSE)=
       VLOOKUP(Transactions[[#This Row],[Account]],Accounts[],COLUMN(Accounts[Currency])-COLUMN(Accounts[])+1,FALSE),
     Transactions[[#This Row],[OrigCashImpact]],
     0
)</f>
        <v>0</v>
      </c>
      <c r="O16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471183.65999999992</v>
      </c>
      <c r="P16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35000</v>
      </c>
      <c r="R1663" s="41">
        <f>ROW()</f>
        <v>1663</v>
      </c>
      <c r="S16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-46196.60291666667</v>
      </c>
      <c r="T16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323376.22041666671</v>
      </c>
      <c r="U16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40000</v>
      </c>
      <c r="V1663" s="166">
        <f>IF(INDEX(TransTypes[],Transactions[[#This Row],[TTR]],TT_COL_GLFlag)=1,Transactions[[#This Row],[CalCashImpact]]+Transactions[[#This Row],[CostImpact]],0)</f>
        <v>37059.64708333333</v>
      </c>
      <c r="W1663" s="167">
        <f>Transactions[[#This Row],[Amount]]*INDEX(TransTypes[],Transactions[[#This Row],[TTR]],TT_COL_AmntSign)</f>
        <v>83256.25</v>
      </c>
      <c r="X1663" s="167">
        <f>IF(INDEX(TransTypes[],Transactions[[#This Row],[TTR]],TT_COL_LONGORSHORT)="S",
      IF( OR(INDEX(TransTypes[],Transactions[[#This Row],[TTR]],TT_COL_GLFlag)=1, INDEX(TransTypes[], Transactions[[#This Row],[TTR]], TT_COL_ShareTransferFlag)=1),
            Transactions[[#This Row],[CostImpact]]*-1,
            Transactions[[#This Row],[CalCashImpact]]
      ),
     0
)</f>
        <v>0</v>
      </c>
      <c r="Y1663" s="168" t="str">
        <f>VLOOKUP(Transactions[[#This Row],[Symbol]],Symbols[], COLUMN(Symbols[Currency])-COLUMN(Symbols[])+1,FALSE)</f>
        <v>HKD</v>
      </c>
    </row>
    <row r="1664" spans="1:25">
      <c r="A1664" s="155" t="s">
        <v>82</v>
      </c>
      <c r="B1664" s="156">
        <v>42928</v>
      </c>
      <c r="C1664" s="155" t="s">
        <v>152</v>
      </c>
      <c r="D1664" s="155"/>
      <c r="E1664" s="155" t="s">
        <v>211</v>
      </c>
      <c r="F1664" s="157">
        <v>83256.25</v>
      </c>
      <c r="G1664" s="158">
        <f>Transactions[[#This Row],[Amount]]/Transactions[[#This Row],[Qty]]</f>
        <v>0.87160015013887848</v>
      </c>
      <c r="H1664" s="157"/>
      <c r="I1664" s="157"/>
      <c r="J1664" s="159">
        <v>72566.16</v>
      </c>
      <c r="K1664" s="6" t="s">
        <v>641</v>
      </c>
      <c r="L1664" s="20">
        <f>IF(ISNA(MATCH(Transactions[[#This Row],[TransType]],TransTypes[TransType],0)),1,MATCH(Transactions[[#This Row],[TransType]],TransTypes[TransType],0))</f>
        <v>15</v>
      </c>
      <c r="M1664" s="160">
        <f>IF( AND( INDEX(TransTypes[],Transactions[[#This Row],[TTR]],TT_COL_GLFlag)=1, INDEX(TransTypes[],Transactions[[#This Row],[TTR]],TT_COL_LONGORSHORT)="S" ),
      Transactions[[#This Row],[PL]],
      IF(INDEX(TransTypes[],Transactions[[#This Row],[TTR]],TT_COL_LONGORSHORT)="S",0,Transactions[[#This Row],[CalCashImpact]])
)</f>
        <v>72566.16</v>
      </c>
      <c r="N1664" s="161">
        <f>IF(VLOOKUP(Transactions[[#This Row],[Symbol]],Symbols[],COLUMN(Symbols[Currency])-COLUMN(Symbols[])+1,FALSE)=
       VLOOKUP(Transactions[[#This Row],[Account]],Accounts[],COLUMN(Accounts[Currency])-COLUMN(Accounts[])+1,FALSE),
     Transactions[[#This Row],[OrigCashImpact]],
     0
)</f>
        <v>72566.16</v>
      </c>
      <c r="O16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543749.81999999995</v>
      </c>
      <c r="P16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64" s="41">
        <f>ROW()</f>
        <v>1664</v>
      </c>
      <c r="S16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64" s="166">
        <f>IF(INDEX(TransTypes[],Transactions[[#This Row],[TTR]],TT_COL_GLFlag)=1,Transactions[[#This Row],[CalCashImpact]]+Transactions[[#This Row],[CostImpact]],0)</f>
        <v>0</v>
      </c>
      <c r="W1664" s="167">
        <f>Transactions[[#This Row],[Amount]]*INDEX(TransTypes[],Transactions[[#This Row],[TTR]],TT_COL_AmntSign)</f>
        <v>72566.16</v>
      </c>
      <c r="X1664" s="167">
        <f>IF(INDEX(TransTypes[],Transactions[[#This Row],[TTR]],TT_COL_LONGORSHORT)="S",
      IF( OR(INDEX(TransTypes[],Transactions[[#This Row],[TTR]],TT_COL_GLFlag)=1, INDEX(TransTypes[], Transactions[[#This Row],[TTR]], TT_COL_ShareTransferFlag)=1),
            Transactions[[#This Row],[CostImpact]]*-1,
            Transactions[[#This Row],[CalCashImpact]]
      ),
     0
)</f>
        <v>0</v>
      </c>
      <c r="Y1664" s="168" t="str">
        <f>VLOOKUP(Transactions[[#This Row],[Symbol]],Symbols[], COLUMN(Symbols[Currency])-COLUMN(Symbols[])+1,FALSE)</f>
        <v>CNY</v>
      </c>
    </row>
    <row r="1665" spans="1:25">
      <c r="A1665" s="155" t="s">
        <v>82</v>
      </c>
      <c r="B1665" s="156">
        <v>42928</v>
      </c>
      <c r="C1665" s="155" t="s">
        <v>238</v>
      </c>
      <c r="D1665" s="155"/>
      <c r="E1665" s="155" t="s">
        <v>210</v>
      </c>
      <c r="F1665" s="157">
        <v>83256.25</v>
      </c>
      <c r="G1665" s="158">
        <v>1</v>
      </c>
      <c r="H1665" s="157"/>
      <c r="I1665" s="157"/>
      <c r="J1665" s="159">
        <v>83256.25</v>
      </c>
      <c r="K1665" s="6" t="s">
        <v>641</v>
      </c>
      <c r="L1665" s="20">
        <f>IF(ISNA(MATCH(Transactions[[#This Row],[TransType]],TransTypes[TransType],0)),1,MATCH(Transactions[[#This Row],[TransType]],TransTypes[TransType],0))</f>
        <v>16</v>
      </c>
      <c r="M1665" s="160">
        <f>IF( AND( INDEX(TransTypes[],Transactions[[#This Row],[TTR]],TT_COL_GLFlag)=1, INDEX(TransTypes[],Transactions[[#This Row],[TTR]],TT_COL_LONGORSHORT)="S" ),
      Transactions[[#This Row],[PL]],
      IF(INDEX(TransTypes[],Transactions[[#This Row],[TTR]],TT_COL_LONGORSHORT)="S",0,Transactions[[#This Row],[CalCashImpact]])
)</f>
        <v>-83256.25</v>
      </c>
      <c r="N1665" s="161">
        <f>IF(VLOOKUP(Transactions[[#This Row],[Symbol]],Symbols[],COLUMN(Symbols[Currency])-COLUMN(Symbols[])+1,FALSE)=
       VLOOKUP(Transactions[[#This Row],[Account]],Accounts[],COLUMN(Accounts[Currency])-COLUMN(Accounts[])+1,FALSE),
     Transactions[[#This Row],[OrigCashImpact]],
     0
)</f>
        <v>0</v>
      </c>
      <c r="O16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543749.81999999995</v>
      </c>
      <c r="P16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65" s="41">
        <f>ROW()</f>
        <v>1665</v>
      </c>
      <c r="S16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65" s="166">
        <f>IF(INDEX(TransTypes[],Transactions[[#This Row],[TTR]],TT_COL_GLFlag)=1,Transactions[[#This Row],[CalCashImpact]]+Transactions[[#This Row],[CostImpact]],0)</f>
        <v>0</v>
      </c>
      <c r="W1665" s="167">
        <f>Transactions[[#This Row],[Amount]]*INDEX(TransTypes[],Transactions[[#This Row],[TTR]],TT_COL_AmntSign)</f>
        <v>-83256.25</v>
      </c>
      <c r="X1665" s="167">
        <f>IF(INDEX(TransTypes[],Transactions[[#This Row],[TTR]],TT_COL_LONGORSHORT)="S",
      IF( OR(INDEX(TransTypes[],Transactions[[#This Row],[TTR]],TT_COL_GLFlag)=1, INDEX(TransTypes[], Transactions[[#This Row],[TTR]], TT_COL_ShareTransferFlag)=1),
            Transactions[[#This Row],[CostImpact]]*-1,
            Transactions[[#This Row],[CalCashImpact]]
      ),
     0
)</f>
        <v>0</v>
      </c>
      <c r="Y1665" s="168" t="str">
        <f>VLOOKUP(Transactions[[#This Row],[Symbol]],Symbols[], COLUMN(Symbols[Currency])-COLUMN(Symbols[])+1,FALSE)</f>
        <v>HKD</v>
      </c>
    </row>
    <row r="1666" spans="1:25">
      <c r="A1666" s="155" t="s">
        <v>82</v>
      </c>
      <c r="B1666" s="156">
        <v>42933</v>
      </c>
      <c r="C1666" s="155" t="s">
        <v>113</v>
      </c>
      <c r="D1666" s="155"/>
      <c r="E1666" s="155" t="s">
        <v>463</v>
      </c>
      <c r="F1666" s="157">
        <v>5000</v>
      </c>
      <c r="G1666" s="158">
        <v>25.56</v>
      </c>
      <c r="H1666" s="157">
        <v>53.68</v>
      </c>
      <c r="I1666" s="157"/>
      <c r="J1666" s="159">
        <v>127853.68</v>
      </c>
      <c r="K1666" s="6" t="s">
        <v>641</v>
      </c>
      <c r="L1666" s="20">
        <f>IF(ISNA(MATCH(Transactions[[#This Row],[TransType]],TransTypes[TransType],0)),1,MATCH(Transactions[[#This Row],[TransType]],TransTypes[TransType],0))</f>
        <v>2</v>
      </c>
      <c r="M1666" s="160">
        <f>IF( AND( INDEX(TransTypes[],Transactions[[#This Row],[TTR]],TT_COL_GLFlag)=1, INDEX(TransTypes[],Transactions[[#This Row],[TTR]],TT_COL_LONGORSHORT)="S" ),
      Transactions[[#This Row],[PL]],
      IF(INDEX(TransTypes[],Transactions[[#This Row],[TTR]],TT_COL_LONGORSHORT)="S",0,Transactions[[#This Row],[CalCashImpact]])
)</f>
        <v>-127853.68</v>
      </c>
      <c r="N1666" s="161">
        <f>IF(VLOOKUP(Transactions[[#This Row],[Symbol]],Symbols[],COLUMN(Symbols[Currency])-COLUMN(Symbols[])+1,FALSE)=
       VLOOKUP(Transactions[[#This Row],[Account]],Accounts[],COLUMN(Accounts[Currency])-COLUMN(Accounts[])+1,FALSE),
     Transactions[[#This Row],[OrigCashImpact]],
     0
)</f>
        <v>-127853.68</v>
      </c>
      <c r="O16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415896.13999999996</v>
      </c>
      <c r="P16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666" s="41">
        <f>ROW()</f>
        <v>1666</v>
      </c>
      <c r="S16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127853.68</v>
      </c>
      <c r="T16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242601.84999999998</v>
      </c>
      <c r="U16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66" s="166">
        <f>IF(INDEX(TransTypes[],Transactions[[#This Row],[TTR]],TT_COL_GLFlag)=1,Transactions[[#This Row],[CalCashImpact]]+Transactions[[#This Row],[CostImpact]],0)</f>
        <v>0</v>
      </c>
      <c r="W1666" s="167">
        <f>Transactions[[#This Row],[Amount]]*INDEX(TransTypes[],Transactions[[#This Row],[TTR]],TT_COL_AmntSign)</f>
        <v>-127853.68</v>
      </c>
      <c r="X1666" s="167">
        <f>IF(INDEX(TransTypes[],Transactions[[#This Row],[TTR]],TT_COL_LONGORSHORT)="S",
      IF( OR(INDEX(TransTypes[],Transactions[[#This Row],[TTR]],TT_COL_GLFlag)=1, INDEX(TransTypes[], Transactions[[#This Row],[TTR]], TT_COL_ShareTransferFlag)=1),
            Transactions[[#This Row],[CostImpact]]*-1,
            Transactions[[#This Row],[CalCashImpact]]
      ),
     0
)</f>
        <v>0</v>
      </c>
      <c r="Y1666" s="168" t="str">
        <f>VLOOKUP(Transactions[[#This Row],[Symbol]],Symbols[], COLUMN(Symbols[Currency])-COLUMN(Symbols[])+1,FALSE)</f>
        <v>CNY</v>
      </c>
    </row>
    <row r="1667" spans="1:25">
      <c r="A1667" s="155" t="s">
        <v>82</v>
      </c>
      <c r="B1667" s="156">
        <v>42933</v>
      </c>
      <c r="C1667" s="155" t="s">
        <v>118</v>
      </c>
      <c r="D1667" s="155"/>
      <c r="E1667" s="155" t="s">
        <v>746</v>
      </c>
      <c r="F1667" s="157"/>
      <c r="G1667" s="158"/>
      <c r="H1667" s="157"/>
      <c r="I1667" s="157"/>
      <c r="J1667" s="159">
        <v>4080</v>
      </c>
      <c r="K1667" s="6" t="s">
        <v>641</v>
      </c>
      <c r="L1667" s="20">
        <f>IF(ISNA(MATCH(Transactions[[#This Row],[TransType]],TransTypes[TransType],0)),1,MATCH(Transactions[[#This Row],[TransType]],TransTypes[TransType],0))</f>
        <v>4</v>
      </c>
      <c r="M1667" s="160">
        <f>IF( AND( INDEX(TransTypes[],Transactions[[#This Row],[TTR]],TT_COL_GLFlag)=1, INDEX(TransTypes[],Transactions[[#This Row],[TTR]],TT_COL_LONGORSHORT)="S" ),
      Transactions[[#This Row],[PL]],
      IF(INDEX(TransTypes[],Transactions[[#This Row],[TTR]],TT_COL_LONGORSHORT)="S",0,Transactions[[#This Row],[CalCashImpact]])
)</f>
        <v>4080</v>
      </c>
      <c r="N1667" s="161">
        <f>IF(VLOOKUP(Transactions[[#This Row],[Symbol]],Symbols[],COLUMN(Symbols[Currency])-COLUMN(Symbols[])+1,FALSE)=
       VLOOKUP(Transactions[[#This Row],[Account]],Accounts[],COLUMN(Accounts[Currency])-COLUMN(Accounts[])+1,FALSE),
     Transactions[[#This Row],[OrigCashImpact]],
     0
)</f>
        <v>0</v>
      </c>
      <c r="O16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415896.13999999996</v>
      </c>
      <c r="P16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50000</v>
      </c>
      <c r="R1667" s="41">
        <f>ROW()</f>
        <v>1667</v>
      </c>
      <c r="S16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377649.68000000005</v>
      </c>
      <c r="U16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50000</v>
      </c>
      <c r="V1667" s="166">
        <f>IF(INDEX(TransTypes[],Transactions[[#This Row],[TTR]],TT_COL_GLFlag)=1,Transactions[[#This Row],[CalCashImpact]]+Transactions[[#This Row],[CostImpact]],0)</f>
        <v>0</v>
      </c>
      <c r="W1667" s="167">
        <f>Transactions[[#This Row],[Amount]]*INDEX(TransTypes[],Transactions[[#This Row],[TTR]],TT_COL_AmntSign)</f>
        <v>4080</v>
      </c>
      <c r="X1667" s="167">
        <f>IF(INDEX(TransTypes[],Transactions[[#This Row],[TTR]],TT_COL_LONGORSHORT)="S",
      IF( OR(INDEX(TransTypes[],Transactions[[#This Row],[TTR]],TT_COL_GLFlag)=1, INDEX(TransTypes[], Transactions[[#This Row],[TTR]], TT_COL_ShareTransferFlag)=1),
            Transactions[[#This Row],[CostImpact]]*-1,
            Transactions[[#This Row],[CalCashImpact]]
      ),
     0
)</f>
        <v>0</v>
      </c>
      <c r="Y1667" s="168" t="str">
        <f>VLOOKUP(Transactions[[#This Row],[Symbol]],Symbols[], COLUMN(Symbols[Currency])-COLUMN(Symbols[])+1,FALSE)</f>
        <v>HKD</v>
      </c>
    </row>
    <row r="1668" spans="1:25">
      <c r="A1668" s="155" t="s">
        <v>82</v>
      </c>
      <c r="B1668" s="156">
        <v>42933</v>
      </c>
      <c r="C1668" s="155" t="s">
        <v>156</v>
      </c>
      <c r="D1668" s="155"/>
      <c r="E1668" s="155" t="s">
        <v>210</v>
      </c>
      <c r="F1668" s="157">
        <v>4012.68</v>
      </c>
      <c r="G1668" s="158">
        <f>Transactions[[#This Row],[Amount]]/Transactions[[#This Row],[Qty]]</f>
        <v>1.0167768174885614</v>
      </c>
      <c r="H1668" s="157"/>
      <c r="I1668" s="157"/>
      <c r="J1668" s="159">
        <v>4080</v>
      </c>
      <c r="K1668" s="6" t="s">
        <v>641</v>
      </c>
      <c r="L1668" s="20">
        <f>IF(ISNA(MATCH(Transactions[[#This Row],[TransType]],TransTypes[TransType],0)),1,MATCH(Transactions[[#This Row],[TransType]],TransTypes[TransType],0))</f>
        <v>17</v>
      </c>
      <c r="M1668" s="160">
        <f>IF( AND( INDEX(TransTypes[],Transactions[[#This Row],[TTR]],TT_COL_GLFlag)=1, INDEX(TransTypes[],Transactions[[#This Row],[TTR]],TT_COL_LONGORSHORT)="S" ),
      Transactions[[#This Row],[PL]],
      IF(INDEX(TransTypes[],Transactions[[#This Row],[TTR]],TT_COL_LONGORSHORT)="S",0,Transactions[[#This Row],[CalCashImpact]])
)</f>
        <v>-4080</v>
      </c>
      <c r="N1668" s="161">
        <f>IF(VLOOKUP(Transactions[[#This Row],[Symbol]],Symbols[],COLUMN(Symbols[Currency])-COLUMN(Symbols[])+1,FALSE)=
       VLOOKUP(Transactions[[#This Row],[Account]],Accounts[],COLUMN(Accounts[Currency])-COLUMN(Accounts[])+1,FALSE),
     Transactions[[#This Row],[OrigCashImpact]],
     0
)</f>
        <v>0</v>
      </c>
      <c r="O16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415896.13999999996</v>
      </c>
      <c r="P16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68" s="41">
        <f>ROW()</f>
        <v>1668</v>
      </c>
      <c r="S16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68" s="166">
        <f>IF(INDEX(TransTypes[],Transactions[[#This Row],[TTR]],TT_COL_GLFlag)=1,Transactions[[#This Row],[CalCashImpact]]+Transactions[[#This Row],[CostImpact]],0)</f>
        <v>0</v>
      </c>
      <c r="W1668" s="167">
        <f>Transactions[[#This Row],[Amount]]*INDEX(TransTypes[],Transactions[[#This Row],[TTR]],TT_COL_AmntSign)</f>
        <v>-4080</v>
      </c>
      <c r="X1668" s="167">
        <f>IF(INDEX(TransTypes[],Transactions[[#This Row],[TTR]],TT_COL_LONGORSHORT)="S",
      IF( OR(INDEX(TransTypes[],Transactions[[#This Row],[TTR]],TT_COL_GLFlag)=1, INDEX(TransTypes[], Transactions[[#This Row],[TTR]], TT_COL_ShareTransferFlag)=1),
            Transactions[[#This Row],[CostImpact]]*-1,
            Transactions[[#This Row],[CalCashImpact]]
      ),
     0
)</f>
        <v>0</v>
      </c>
      <c r="Y1668" s="168" t="str">
        <f>VLOOKUP(Transactions[[#This Row],[Symbol]],Symbols[], COLUMN(Symbols[Currency])-COLUMN(Symbols[])+1,FALSE)</f>
        <v>HKD</v>
      </c>
    </row>
    <row r="1669" spans="1:25">
      <c r="A1669" s="155" t="s">
        <v>82</v>
      </c>
      <c r="B1669" s="156">
        <v>42933</v>
      </c>
      <c r="C1669" s="155" t="s">
        <v>239</v>
      </c>
      <c r="D1669" s="155"/>
      <c r="E1669" s="155" t="s">
        <v>211</v>
      </c>
      <c r="F1669" s="157">
        <v>4012.68</v>
      </c>
      <c r="G1669" s="158">
        <v>1</v>
      </c>
      <c r="H1669" s="157"/>
      <c r="I1669" s="157"/>
      <c r="J1669" s="159">
        <v>4012.68</v>
      </c>
      <c r="K1669" s="6" t="s">
        <v>641</v>
      </c>
      <c r="L1669" s="20">
        <f>IF(ISNA(MATCH(Transactions[[#This Row],[TransType]],TransTypes[TransType],0)),1,MATCH(Transactions[[#This Row],[TransType]],TransTypes[TransType],0))</f>
        <v>18</v>
      </c>
      <c r="M1669" s="160">
        <f>IF( AND( INDEX(TransTypes[],Transactions[[#This Row],[TTR]],TT_COL_GLFlag)=1, INDEX(TransTypes[],Transactions[[#This Row],[TTR]],TT_COL_LONGORSHORT)="S" ),
      Transactions[[#This Row],[PL]],
      IF(INDEX(TransTypes[],Transactions[[#This Row],[TTR]],TT_COL_LONGORSHORT)="S",0,Transactions[[#This Row],[CalCashImpact]])
)</f>
        <v>4012.68</v>
      </c>
      <c r="N1669" s="161">
        <f>IF(VLOOKUP(Transactions[[#This Row],[Symbol]],Symbols[],COLUMN(Symbols[Currency])-COLUMN(Symbols[])+1,FALSE)=
       VLOOKUP(Transactions[[#This Row],[Account]],Accounts[],COLUMN(Accounts[Currency])-COLUMN(Accounts[])+1,FALSE),
     Transactions[[#This Row],[OrigCashImpact]],
     0
)</f>
        <v>4012.68</v>
      </c>
      <c r="O16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419908.81999999995</v>
      </c>
      <c r="P16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69" s="41">
        <f>ROW()</f>
        <v>1669</v>
      </c>
      <c r="S16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69" s="166">
        <f>IF(INDEX(TransTypes[],Transactions[[#This Row],[TTR]],TT_COL_GLFlag)=1,Transactions[[#This Row],[CalCashImpact]]+Transactions[[#This Row],[CostImpact]],0)</f>
        <v>0</v>
      </c>
      <c r="W1669" s="167">
        <f>Transactions[[#This Row],[Amount]]*INDEX(TransTypes[],Transactions[[#This Row],[TTR]],TT_COL_AmntSign)</f>
        <v>4012.68</v>
      </c>
      <c r="X1669" s="167">
        <f>IF(INDEX(TransTypes[],Transactions[[#This Row],[TTR]],TT_COL_LONGORSHORT)="S",
      IF( OR(INDEX(TransTypes[],Transactions[[#This Row],[TTR]],TT_COL_GLFlag)=1, INDEX(TransTypes[], Transactions[[#This Row],[TTR]], TT_COL_ShareTransferFlag)=1),
            Transactions[[#This Row],[CostImpact]]*-1,
            Transactions[[#This Row],[CalCashImpact]]
      ),
     0
)</f>
        <v>0</v>
      </c>
      <c r="Y1669" s="168" t="str">
        <f>VLOOKUP(Transactions[[#This Row],[Symbol]],Symbols[], COLUMN(Symbols[Currency])-COLUMN(Symbols[])+1,FALSE)</f>
        <v>CNY</v>
      </c>
    </row>
    <row r="1670" spans="1:25">
      <c r="A1670" s="155" t="s">
        <v>82</v>
      </c>
      <c r="B1670" s="156">
        <v>42933</v>
      </c>
      <c r="C1670" s="155" t="s">
        <v>115</v>
      </c>
      <c r="D1670" s="155"/>
      <c r="E1670" s="155" t="s">
        <v>258</v>
      </c>
      <c r="F1670" s="157">
        <v>5000</v>
      </c>
      <c r="G1670" s="158">
        <v>16.776</v>
      </c>
      <c r="H1670" s="157">
        <v>350.61</v>
      </c>
      <c r="I1670" s="157"/>
      <c r="J1670" s="159">
        <v>83529.39</v>
      </c>
      <c r="K1670" s="6" t="s">
        <v>641</v>
      </c>
      <c r="L1670" s="20">
        <f>IF(ISNA(MATCH(Transactions[[#This Row],[TransType]],TransTypes[TransType],0)),1,MATCH(Transactions[[#This Row],[TransType]],TransTypes[TransType],0))</f>
        <v>3</v>
      </c>
      <c r="M1670" s="160">
        <f>IF( AND( INDEX(TransTypes[],Transactions[[#This Row],[TTR]],TT_COL_GLFlag)=1, INDEX(TransTypes[],Transactions[[#This Row],[TTR]],TT_COL_LONGORSHORT)="S" ),
      Transactions[[#This Row],[PL]],
      IF(INDEX(TransTypes[],Transactions[[#This Row],[TTR]],TT_COL_LONGORSHORT)="S",0,Transactions[[#This Row],[CalCashImpact]])
)</f>
        <v>83529.39</v>
      </c>
      <c r="N1670" s="161">
        <f>IF(VLOOKUP(Transactions[[#This Row],[Symbol]],Symbols[],COLUMN(Symbols[Currency])-COLUMN(Symbols[])+1,FALSE)=
       VLOOKUP(Transactions[[#This Row],[Account]],Accounts[],COLUMN(Accounts[Currency])-COLUMN(Accounts[])+1,FALSE),
     Transactions[[#This Row],[OrigCashImpact]],
     0
)</f>
        <v>0</v>
      </c>
      <c r="O16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419908.81999999995</v>
      </c>
      <c r="P16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v>
      </c>
      <c r="R1670" s="41">
        <f>ROW()</f>
        <v>1670</v>
      </c>
      <c r="S16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-46196.60291666667</v>
      </c>
      <c r="T16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277179.61750000005</v>
      </c>
      <c r="U16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35000</v>
      </c>
      <c r="V1670" s="166">
        <f>IF(INDEX(TransTypes[],Transactions[[#This Row],[TTR]],TT_COL_GLFlag)=1,Transactions[[#This Row],[CalCashImpact]]+Transactions[[#This Row],[CostImpact]],0)</f>
        <v>37332.787083333329</v>
      </c>
      <c r="W1670" s="167">
        <f>Transactions[[#This Row],[Amount]]*INDEX(TransTypes[],Transactions[[#This Row],[TTR]],TT_COL_AmntSign)</f>
        <v>83529.39</v>
      </c>
      <c r="X1670" s="167">
        <f>IF(INDEX(TransTypes[],Transactions[[#This Row],[TTR]],TT_COL_LONGORSHORT)="S",
      IF( OR(INDEX(TransTypes[],Transactions[[#This Row],[TTR]],TT_COL_GLFlag)=1, INDEX(TransTypes[], Transactions[[#This Row],[TTR]], TT_COL_ShareTransferFlag)=1),
            Transactions[[#This Row],[CostImpact]]*-1,
            Transactions[[#This Row],[CalCashImpact]]
      ),
     0
)</f>
        <v>0</v>
      </c>
      <c r="Y1670" s="168" t="str">
        <f>VLOOKUP(Transactions[[#This Row],[Symbol]],Symbols[], COLUMN(Symbols[Currency])-COLUMN(Symbols[])+1,FALSE)</f>
        <v>HKD</v>
      </c>
    </row>
    <row r="1671" spans="1:25">
      <c r="A1671" s="155" t="s">
        <v>82</v>
      </c>
      <c r="B1671" s="156">
        <v>42933</v>
      </c>
      <c r="C1671" s="155" t="s">
        <v>156</v>
      </c>
      <c r="D1671" s="155"/>
      <c r="E1671" s="155" t="s">
        <v>210</v>
      </c>
      <c r="F1671" s="157">
        <v>72563.67</v>
      </c>
      <c r="G1671" s="158">
        <f>Transactions[[#This Row],[Amount]]/Transactions[[#This Row],[Qty]]</f>
        <v>1.1511185969507882</v>
      </c>
      <c r="H1671" s="157"/>
      <c r="I1671" s="157"/>
      <c r="J1671" s="159">
        <v>83529.39</v>
      </c>
      <c r="K1671" s="6" t="s">
        <v>641</v>
      </c>
      <c r="L1671" s="20">
        <f>IF(ISNA(MATCH(Transactions[[#This Row],[TransType]],TransTypes[TransType],0)),1,MATCH(Transactions[[#This Row],[TransType]],TransTypes[TransType],0))</f>
        <v>17</v>
      </c>
      <c r="M1671" s="160">
        <f>IF( AND( INDEX(TransTypes[],Transactions[[#This Row],[TTR]],TT_COL_GLFlag)=1, INDEX(TransTypes[],Transactions[[#This Row],[TTR]],TT_COL_LONGORSHORT)="S" ),
      Transactions[[#This Row],[PL]],
      IF(INDEX(TransTypes[],Transactions[[#This Row],[TTR]],TT_COL_LONGORSHORT)="S",0,Transactions[[#This Row],[CalCashImpact]])
)</f>
        <v>-83529.39</v>
      </c>
      <c r="N1671" s="161">
        <f>IF(VLOOKUP(Transactions[[#This Row],[Symbol]],Symbols[],COLUMN(Symbols[Currency])-COLUMN(Symbols[])+1,FALSE)=
       VLOOKUP(Transactions[[#This Row],[Account]],Accounts[],COLUMN(Accounts[Currency])-COLUMN(Accounts[])+1,FALSE),
     Transactions[[#This Row],[OrigCashImpact]],
     0
)</f>
        <v>0</v>
      </c>
      <c r="O16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419908.81999999995</v>
      </c>
      <c r="P16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71" s="41">
        <f>ROW()</f>
        <v>1671</v>
      </c>
      <c r="S16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71" s="166">
        <f>IF(INDEX(TransTypes[],Transactions[[#This Row],[TTR]],TT_COL_GLFlag)=1,Transactions[[#This Row],[CalCashImpact]]+Transactions[[#This Row],[CostImpact]],0)</f>
        <v>0</v>
      </c>
      <c r="W1671" s="167">
        <f>Transactions[[#This Row],[Amount]]*INDEX(TransTypes[],Transactions[[#This Row],[TTR]],TT_COL_AmntSign)</f>
        <v>-83529.39</v>
      </c>
      <c r="X1671" s="167">
        <f>IF(INDEX(TransTypes[],Transactions[[#This Row],[TTR]],TT_COL_LONGORSHORT)="S",
      IF( OR(INDEX(TransTypes[],Transactions[[#This Row],[TTR]],TT_COL_GLFlag)=1, INDEX(TransTypes[], Transactions[[#This Row],[TTR]], TT_COL_ShareTransferFlag)=1),
            Transactions[[#This Row],[CostImpact]]*-1,
            Transactions[[#This Row],[CalCashImpact]]
      ),
     0
)</f>
        <v>0</v>
      </c>
      <c r="Y1671" s="168" t="str">
        <f>VLOOKUP(Transactions[[#This Row],[Symbol]],Symbols[], COLUMN(Symbols[Currency])-COLUMN(Symbols[])+1,FALSE)</f>
        <v>HKD</v>
      </c>
    </row>
    <row r="1672" spans="1:25">
      <c r="A1672" s="155" t="s">
        <v>82</v>
      </c>
      <c r="B1672" s="156">
        <v>42933</v>
      </c>
      <c r="C1672" s="155" t="s">
        <v>239</v>
      </c>
      <c r="D1672" s="155"/>
      <c r="E1672" s="155" t="s">
        <v>211</v>
      </c>
      <c r="F1672" s="157">
        <v>72563.67</v>
      </c>
      <c r="G1672" s="158">
        <v>1</v>
      </c>
      <c r="H1672" s="157"/>
      <c r="I1672" s="157"/>
      <c r="J1672" s="159">
        <v>72563.67</v>
      </c>
      <c r="K1672" s="6" t="s">
        <v>753</v>
      </c>
      <c r="L1672" s="20">
        <f>IF(ISNA(MATCH(Transactions[[#This Row],[TransType]],TransTypes[TransType],0)),1,MATCH(Transactions[[#This Row],[TransType]],TransTypes[TransType],0))</f>
        <v>18</v>
      </c>
      <c r="M1672" s="160">
        <f>IF( AND( INDEX(TransTypes[],Transactions[[#This Row],[TTR]],TT_COL_GLFlag)=1, INDEX(TransTypes[],Transactions[[#This Row],[TTR]],TT_COL_LONGORSHORT)="S" ),
      Transactions[[#This Row],[PL]],
      IF(INDEX(TransTypes[],Transactions[[#This Row],[TTR]],TT_COL_LONGORSHORT)="S",0,Transactions[[#This Row],[CalCashImpact]])
)</f>
        <v>72563.67</v>
      </c>
      <c r="N1672" s="161">
        <f>IF(VLOOKUP(Transactions[[#This Row],[Symbol]],Symbols[],COLUMN(Symbols[Currency])-COLUMN(Symbols[])+1,FALSE)=
       VLOOKUP(Transactions[[#This Row],[Account]],Accounts[],COLUMN(Accounts[Currency])-COLUMN(Accounts[])+1,FALSE),
     Transactions[[#This Row],[OrigCashImpact]],
     0
)</f>
        <v>72563.67</v>
      </c>
      <c r="O16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492472.48999999993</v>
      </c>
      <c r="P16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72" s="41">
        <f>ROW()</f>
        <v>1672</v>
      </c>
      <c r="S16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72" s="166">
        <f>IF(INDEX(TransTypes[],Transactions[[#This Row],[TTR]],TT_COL_GLFlag)=1,Transactions[[#This Row],[CalCashImpact]]+Transactions[[#This Row],[CostImpact]],0)</f>
        <v>0</v>
      </c>
      <c r="W1672" s="167">
        <f>Transactions[[#This Row],[Amount]]*INDEX(TransTypes[],Transactions[[#This Row],[TTR]],TT_COL_AmntSign)</f>
        <v>72563.67</v>
      </c>
      <c r="X1672" s="167">
        <f>IF(INDEX(TransTypes[],Transactions[[#This Row],[TTR]],TT_COL_LONGORSHORT)="S",
      IF( OR(INDEX(TransTypes[],Transactions[[#This Row],[TTR]],TT_COL_GLFlag)=1, INDEX(TransTypes[], Transactions[[#This Row],[TTR]], TT_COL_ShareTransferFlag)=1),
            Transactions[[#This Row],[CostImpact]]*-1,
            Transactions[[#This Row],[CalCashImpact]]
      ),
     0
)</f>
        <v>0</v>
      </c>
      <c r="Y1672" s="168" t="str">
        <f>VLOOKUP(Transactions[[#This Row],[Symbol]],Symbols[], COLUMN(Symbols[Currency])-COLUMN(Symbols[])+1,FALSE)</f>
        <v>CNY</v>
      </c>
    </row>
    <row r="1673" spans="1:25">
      <c r="A1673" s="155" t="s">
        <v>82</v>
      </c>
      <c r="B1673" s="156">
        <v>42935</v>
      </c>
      <c r="C1673" s="155" t="s">
        <v>118</v>
      </c>
      <c r="D1673" s="155"/>
      <c r="E1673" s="155" t="s">
        <v>468</v>
      </c>
      <c r="F1673" s="157"/>
      <c r="G1673" s="158"/>
      <c r="H1673" s="157"/>
      <c r="I1673" s="157"/>
      <c r="J1673" s="159">
        <v>3300</v>
      </c>
      <c r="K1673" s="6" t="s">
        <v>641</v>
      </c>
      <c r="L1673" s="20">
        <f>IF(ISNA(MATCH(Transactions[[#This Row],[TransType]],TransTypes[TransType],0)),1,MATCH(Transactions[[#This Row],[TransType]],TransTypes[TransType],0))</f>
        <v>4</v>
      </c>
      <c r="M1673" s="160">
        <f>IF( AND( INDEX(TransTypes[],Transactions[[#This Row],[TTR]],TT_COL_GLFlag)=1, INDEX(TransTypes[],Transactions[[#This Row],[TTR]],TT_COL_LONGORSHORT)="S" ),
      Transactions[[#This Row],[PL]],
      IF(INDEX(TransTypes[],Transactions[[#This Row],[TTR]],TT_COL_LONGORSHORT)="S",0,Transactions[[#This Row],[CalCashImpact]])
)</f>
        <v>3300</v>
      </c>
      <c r="N1673" s="161">
        <f>IF(VLOOKUP(Transactions[[#This Row],[Symbol]],Symbols[],COLUMN(Symbols[Currency])-COLUMN(Symbols[])+1,FALSE)=
       VLOOKUP(Transactions[[#This Row],[Account]],Accounts[],COLUMN(Accounts[Currency])-COLUMN(Accounts[])+1,FALSE),
     Transactions[[#This Row],[OrigCashImpact]],
     0
)</f>
        <v>3300</v>
      </c>
      <c r="O16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495772.48999999993</v>
      </c>
      <c r="P16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673" s="41">
        <f>ROW()</f>
        <v>1673</v>
      </c>
      <c r="S16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220025.91364285719</v>
      </c>
      <c r="U16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673" s="166">
        <f>IF(INDEX(TransTypes[],Transactions[[#This Row],[TTR]],TT_COL_GLFlag)=1,Transactions[[#This Row],[CalCashImpact]]+Transactions[[#This Row],[CostImpact]],0)</f>
        <v>0</v>
      </c>
      <c r="W1673" s="167">
        <f>Transactions[[#This Row],[Amount]]*INDEX(TransTypes[],Transactions[[#This Row],[TTR]],TT_COL_AmntSign)</f>
        <v>3300</v>
      </c>
      <c r="X1673" s="167">
        <f>IF(INDEX(TransTypes[],Transactions[[#This Row],[TTR]],TT_COL_LONGORSHORT)="S",
      IF( OR(INDEX(TransTypes[],Transactions[[#This Row],[TTR]],TT_COL_GLFlag)=1, INDEX(TransTypes[], Transactions[[#This Row],[TTR]], TT_COL_ShareTransferFlag)=1),
            Transactions[[#This Row],[CostImpact]]*-1,
            Transactions[[#This Row],[CalCashImpact]]
      ),
     0
)</f>
        <v>0</v>
      </c>
      <c r="Y1673" s="168" t="str">
        <f>VLOOKUP(Transactions[[#This Row],[Symbol]],Symbols[], COLUMN(Symbols[Currency])-COLUMN(Symbols[])+1,FALSE)</f>
        <v>CNY</v>
      </c>
    </row>
    <row r="1674" spans="1:25">
      <c r="A1674" s="155" t="s">
        <v>82</v>
      </c>
      <c r="B1674" s="156">
        <v>42935</v>
      </c>
      <c r="C1674" s="155" t="s">
        <v>118</v>
      </c>
      <c r="D1674" s="155"/>
      <c r="E1674" s="155" t="s">
        <v>258</v>
      </c>
      <c r="F1674" s="157"/>
      <c r="G1674" s="158"/>
      <c r="H1674" s="157"/>
      <c r="I1674" s="157"/>
      <c r="J1674" s="159">
        <v>8224</v>
      </c>
      <c r="K1674" s="6" t="s">
        <v>641</v>
      </c>
      <c r="L1674" s="20">
        <f>IF(ISNA(MATCH(Transactions[[#This Row],[TransType]],TransTypes[TransType],0)),1,MATCH(Transactions[[#This Row],[TransType]],TransTypes[TransType],0))</f>
        <v>4</v>
      </c>
      <c r="M1674" s="160">
        <f>IF( AND( INDEX(TransTypes[],Transactions[[#This Row],[TTR]],TT_COL_GLFlag)=1, INDEX(TransTypes[],Transactions[[#This Row],[TTR]],TT_COL_LONGORSHORT)="S" ),
      Transactions[[#This Row],[PL]],
      IF(INDEX(TransTypes[],Transactions[[#This Row],[TTR]],TT_COL_LONGORSHORT)="S",0,Transactions[[#This Row],[CalCashImpact]])
)</f>
        <v>8224</v>
      </c>
      <c r="N1674" s="161">
        <f>IF(VLOOKUP(Transactions[[#This Row],[Symbol]],Symbols[],COLUMN(Symbols[Currency])-COLUMN(Symbols[])+1,FALSE)=
       VLOOKUP(Transactions[[#This Row],[Account]],Accounts[],COLUMN(Accounts[Currency])-COLUMN(Accounts[])+1,FALSE),
     Transactions[[#This Row],[OrigCashImpact]],
     0
)</f>
        <v>0</v>
      </c>
      <c r="O16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495772.48999999993</v>
      </c>
      <c r="P16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v>
      </c>
      <c r="R1674" s="41">
        <f>ROW()</f>
        <v>1674</v>
      </c>
      <c r="S16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277179.61750000005</v>
      </c>
      <c r="U16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v>
      </c>
      <c r="V1674" s="166">
        <f>IF(INDEX(TransTypes[],Transactions[[#This Row],[TTR]],TT_COL_GLFlag)=1,Transactions[[#This Row],[CalCashImpact]]+Transactions[[#This Row],[CostImpact]],0)</f>
        <v>0</v>
      </c>
      <c r="W1674" s="167">
        <f>Transactions[[#This Row],[Amount]]*INDEX(TransTypes[],Transactions[[#This Row],[TTR]],TT_COL_AmntSign)</f>
        <v>8224</v>
      </c>
      <c r="X1674" s="167">
        <f>IF(INDEX(TransTypes[],Transactions[[#This Row],[TTR]],TT_COL_LONGORSHORT)="S",
      IF( OR(INDEX(TransTypes[],Transactions[[#This Row],[TTR]],TT_COL_GLFlag)=1, INDEX(TransTypes[], Transactions[[#This Row],[TTR]], TT_COL_ShareTransferFlag)=1),
            Transactions[[#This Row],[CostImpact]]*-1,
            Transactions[[#This Row],[CalCashImpact]]
      ),
     0
)</f>
        <v>0</v>
      </c>
      <c r="Y1674" s="168" t="str">
        <f>VLOOKUP(Transactions[[#This Row],[Symbol]],Symbols[], COLUMN(Symbols[Currency])-COLUMN(Symbols[])+1,FALSE)</f>
        <v>HKD</v>
      </c>
    </row>
    <row r="1675" spans="1:25">
      <c r="A1675" s="155" t="s">
        <v>82</v>
      </c>
      <c r="B1675" s="156">
        <v>42935</v>
      </c>
      <c r="C1675" s="155" t="s">
        <v>152</v>
      </c>
      <c r="D1675" s="155"/>
      <c r="E1675" s="155" t="s">
        <v>211</v>
      </c>
      <c r="F1675" s="157">
        <v>8224</v>
      </c>
      <c r="G1675" s="158">
        <f>Transactions[[#This Row],[Amount]]/Transactions[[#This Row],[Qty]]</f>
        <v>0.98049975680933854</v>
      </c>
      <c r="H1675" s="157"/>
      <c r="I1675" s="157"/>
      <c r="J1675" s="159">
        <v>8063.63</v>
      </c>
      <c r="K1675" s="6" t="s">
        <v>754</v>
      </c>
      <c r="L1675" s="20">
        <f>IF(ISNA(MATCH(Transactions[[#This Row],[TransType]],TransTypes[TransType],0)),1,MATCH(Transactions[[#This Row],[TransType]],TransTypes[TransType],0))</f>
        <v>15</v>
      </c>
      <c r="M1675" s="160">
        <f>IF( AND( INDEX(TransTypes[],Transactions[[#This Row],[TTR]],TT_COL_GLFlag)=1, INDEX(TransTypes[],Transactions[[#This Row],[TTR]],TT_COL_LONGORSHORT)="S" ),
      Transactions[[#This Row],[PL]],
      IF(INDEX(TransTypes[],Transactions[[#This Row],[TTR]],TT_COL_LONGORSHORT)="S",0,Transactions[[#This Row],[CalCashImpact]])
)</f>
        <v>8063.63</v>
      </c>
      <c r="N1675" s="161">
        <f>IF(VLOOKUP(Transactions[[#This Row],[Symbol]],Symbols[],COLUMN(Symbols[Currency])-COLUMN(Symbols[])+1,FALSE)=
       VLOOKUP(Transactions[[#This Row],[Account]],Accounts[],COLUMN(Accounts[Currency])-COLUMN(Accounts[])+1,FALSE),
     Transactions[[#This Row],[OrigCashImpact]],
     0
)</f>
        <v>8063.63</v>
      </c>
      <c r="O16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503836.11999999994</v>
      </c>
      <c r="P16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75" s="41">
        <f>ROW()</f>
        <v>1675</v>
      </c>
      <c r="S16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75" s="166">
        <f>IF(INDEX(TransTypes[],Transactions[[#This Row],[TTR]],TT_COL_GLFlag)=1,Transactions[[#This Row],[CalCashImpact]]+Transactions[[#This Row],[CostImpact]],0)</f>
        <v>0</v>
      </c>
      <c r="W1675" s="167">
        <f>Transactions[[#This Row],[Amount]]*INDEX(TransTypes[],Transactions[[#This Row],[TTR]],TT_COL_AmntSign)</f>
        <v>8063.63</v>
      </c>
      <c r="X1675" s="167">
        <f>IF(INDEX(TransTypes[],Transactions[[#This Row],[TTR]],TT_COL_LONGORSHORT)="S",
      IF( OR(INDEX(TransTypes[],Transactions[[#This Row],[TTR]],TT_COL_GLFlag)=1, INDEX(TransTypes[], Transactions[[#This Row],[TTR]], TT_COL_ShareTransferFlag)=1),
            Transactions[[#This Row],[CostImpact]]*-1,
            Transactions[[#This Row],[CalCashImpact]]
      ),
     0
)</f>
        <v>0</v>
      </c>
      <c r="Y1675" s="168" t="str">
        <f>VLOOKUP(Transactions[[#This Row],[Symbol]],Symbols[], COLUMN(Symbols[Currency])-COLUMN(Symbols[])+1,FALSE)</f>
        <v>CNY</v>
      </c>
    </row>
    <row r="1676" spans="1:25">
      <c r="A1676" s="155" t="s">
        <v>82</v>
      </c>
      <c r="B1676" s="156">
        <v>42935</v>
      </c>
      <c r="C1676" s="155" t="s">
        <v>238</v>
      </c>
      <c r="D1676" s="155"/>
      <c r="E1676" s="155" t="s">
        <v>210</v>
      </c>
      <c r="F1676" s="157">
        <v>8224</v>
      </c>
      <c r="G1676" s="158">
        <v>1</v>
      </c>
      <c r="H1676" s="157"/>
      <c r="I1676" s="157"/>
      <c r="J1676" s="159">
        <v>8224</v>
      </c>
      <c r="K1676" s="6" t="s">
        <v>641</v>
      </c>
      <c r="L1676" s="20">
        <f>IF(ISNA(MATCH(Transactions[[#This Row],[TransType]],TransTypes[TransType],0)),1,MATCH(Transactions[[#This Row],[TransType]],TransTypes[TransType],0))</f>
        <v>16</v>
      </c>
      <c r="M1676" s="160">
        <f>IF( AND( INDEX(TransTypes[],Transactions[[#This Row],[TTR]],TT_COL_GLFlag)=1, INDEX(TransTypes[],Transactions[[#This Row],[TTR]],TT_COL_LONGORSHORT)="S" ),
      Transactions[[#This Row],[PL]],
      IF(INDEX(TransTypes[],Transactions[[#This Row],[TTR]],TT_COL_LONGORSHORT)="S",0,Transactions[[#This Row],[CalCashImpact]])
)</f>
        <v>-8224</v>
      </c>
      <c r="N1676" s="161">
        <f>IF(VLOOKUP(Transactions[[#This Row],[Symbol]],Symbols[],COLUMN(Symbols[Currency])-COLUMN(Symbols[])+1,FALSE)=
       VLOOKUP(Transactions[[#This Row],[Account]],Accounts[],COLUMN(Accounts[Currency])-COLUMN(Accounts[])+1,FALSE),
     Transactions[[#This Row],[OrigCashImpact]],
     0
)</f>
        <v>0</v>
      </c>
      <c r="O16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503836.11999999994</v>
      </c>
      <c r="P16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76" s="41">
        <f>ROW()</f>
        <v>1676</v>
      </c>
      <c r="S16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76" s="166">
        <f>IF(INDEX(TransTypes[],Transactions[[#This Row],[TTR]],TT_COL_GLFlag)=1,Transactions[[#This Row],[CalCashImpact]]+Transactions[[#This Row],[CostImpact]],0)</f>
        <v>0</v>
      </c>
      <c r="W1676" s="167">
        <f>Transactions[[#This Row],[Amount]]*INDEX(TransTypes[],Transactions[[#This Row],[TTR]],TT_COL_AmntSign)</f>
        <v>-8224</v>
      </c>
      <c r="X1676" s="167">
        <f>IF(INDEX(TransTypes[],Transactions[[#This Row],[TTR]],TT_COL_LONGORSHORT)="S",
      IF( OR(INDEX(TransTypes[],Transactions[[#This Row],[TTR]],TT_COL_GLFlag)=1, INDEX(TransTypes[], Transactions[[#This Row],[TTR]], TT_COL_ShareTransferFlag)=1),
            Transactions[[#This Row],[CostImpact]]*-1,
            Transactions[[#This Row],[CalCashImpact]]
      ),
     0
)</f>
        <v>0</v>
      </c>
      <c r="Y1676" s="168" t="str">
        <f>VLOOKUP(Transactions[[#This Row],[Symbol]],Symbols[], COLUMN(Symbols[Currency])-COLUMN(Symbols[])+1,FALSE)</f>
        <v>HKD</v>
      </c>
    </row>
    <row r="1677" spans="1:25">
      <c r="A1677" s="155" t="s">
        <v>82</v>
      </c>
      <c r="B1677" s="156">
        <v>42937</v>
      </c>
      <c r="C1677" s="155" t="s">
        <v>113</v>
      </c>
      <c r="D1677" s="155"/>
      <c r="E1677" s="155" t="s">
        <v>730</v>
      </c>
      <c r="F1677" s="157">
        <v>8000</v>
      </c>
      <c r="G1677" s="158">
        <v>49.99</v>
      </c>
      <c r="H1677" s="157">
        <v>159.97</v>
      </c>
      <c r="I1677" s="157"/>
      <c r="J1677" s="159">
        <v>400079.97</v>
      </c>
      <c r="K1677" s="6" t="s">
        <v>641</v>
      </c>
      <c r="L1677" s="20">
        <f>IF(ISNA(MATCH(Transactions[[#This Row],[TransType]],TransTypes[TransType],0)),1,MATCH(Transactions[[#This Row],[TransType]],TransTypes[TransType],0))</f>
        <v>2</v>
      </c>
      <c r="M1677" s="160">
        <f>IF( AND( INDEX(TransTypes[],Transactions[[#This Row],[TTR]],TT_COL_GLFlag)=1, INDEX(TransTypes[],Transactions[[#This Row],[TTR]],TT_COL_LONGORSHORT)="S" ),
      Transactions[[#This Row],[PL]],
      IF(INDEX(TransTypes[],Transactions[[#This Row],[TTR]],TT_COL_LONGORSHORT)="S",0,Transactions[[#This Row],[CalCashImpact]])
)</f>
        <v>-400079.97</v>
      </c>
      <c r="N1677" s="161">
        <f>IF(VLOOKUP(Transactions[[#This Row],[Symbol]],Symbols[],COLUMN(Symbols[Currency])-COLUMN(Symbols[])+1,FALSE)=
       VLOOKUP(Transactions[[#This Row],[Account]],Accounts[],COLUMN(Accounts[Currency])-COLUMN(Accounts[])+1,FALSE),
     Transactions[[#This Row],[OrigCashImpact]],
     0
)</f>
        <v>-400079.97</v>
      </c>
      <c r="O16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103756.14999999997</v>
      </c>
      <c r="P16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6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677" s="41">
        <f>ROW()</f>
        <v>1677</v>
      </c>
      <c r="S16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400079.97</v>
      </c>
      <c r="T16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400079.97</v>
      </c>
      <c r="U16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677" s="166">
        <f>IF(INDEX(TransTypes[],Transactions[[#This Row],[TTR]],TT_COL_GLFlag)=1,Transactions[[#This Row],[CalCashImpact]]+Transactions[[#This Row],[CostImpact]],0)</f>
        <v>0</v>
      </c>
      <c r="W1677" s="167">
        <f>Transactions[[#This Row],[Amount]]*INDEX(TransTypes[],Transactions[[#This Row],[TTR]],TT_COL_AmntSign)</f>
        <v>-400079.97</v>
      </c>
      <c r="X1677" s="167">
        <f>IF(INDEX(TransTypes[],Transactions[[#This Row],[TTR]],TT_COL_LONGORSHORT)="S",
      IF( OR(INDEX(TransTypes[],Transactions[[#This Row],[TTR]],TT_COL_GLFlag)=1, INDEX(TransTypes[], Transactions[[#This Row],[TTR]], TT_COL_ShareTransferFlag)=1),
            Transactions[[#This Row],[CostImpact]]*-1,
            Transactions[[#This Row],[CalCashImpact]]
      ),
     0
)</f>
        <v>0</v>
      </c>
      <c r="Y1677" s="168" t="str">
        <f>VLOOKUP(Transactions[[#This Row],[Symbol]],Symbols[], COLUMN(Symbols[Currency])-COLUMN(Symbols[])+1,FALSE)</f>
        <v>CNY</v>
      </c>
    </row>
    <row r="1678" spans="1:25">
      <c r="A1678" s="155" t="s">
        <v>82</v>
      </c>
      <c r="B1678" s="156">
        <v>42937</v>
      </c>
      <c r="C1678" s="155" t="s">
        <v>115</v>
      </c>
      <c r="D1678" s="155"/>
      <c r="E1678" s="155" t="s">
        <v>704</v>
      </c>
      <c r="F1678" s="157">
        <v>6000</v>
      </c>
      <c r="G1678" s="158">
        <v>21.56</v>
      </c>
      <c r="H1678" s="157">
        <v>181.12</v>
      </c>
      <c r="I1678" s="157"/>
      <c r="J1678" s="159">
        <v>129178.88</v>
      </c>
      <c r="K1678" s="6" t="s">
        <v>641</v>
      </c>
      <c r="L1678" s="20">
        <f>IF(ISNA(MATCH(Transactions[[#This Row],[TransType]],TransTypes[TransType],0)),1,MATCH(Transactions[[#This Row],[TransType]],TransTypes[TransType],0))</f>
        <v>3</v>
      </c>
      <c r="M1678" s="160">
        <f>IF( AND( INDEX(TransTypes[],Transactions[[#This Row],[TTR]],TT_COL_GLFlag)=1, INDEX(TransTypes[],Transactions[[#This Row],[TTR]],TT_COL_LONGORSHORT)="S" ),
      Transactions[[#This Row],[PL]],
      IF(INDEX(TransTypes[],Transactions[[#This Row],[TTR]],TT_COL_LONGORSHORT)="S",0,Transactions[[#This Row],[CalCashImpact]])
)</f>
        <v>129178.88</v>
      </c>
      <c r="N1678" s="161">
        <f>IF(VLOOKUP(Transactions[[#This Row],[Symbol]],Symbols[],COLUMN(Symbols[Currency])-COLUMN(Symbols[])+1,FALSE)=
       VLOOKUP(Transactions[[#This Row],[Account]],Accounts[],COLUMN(Accounts[Currency])-COLUMN(Accounts[])+1,FALSE),
     Transactions[[#This Row],[OrigCashImpact]],
     0
)</f>
        <v>129178.88</v>
      </c>
      <c r="O16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232935.02999999997</v>
      </c>
      <c r="P16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6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78" s="41">
        <f>ROW()</f>
        <v>1678</v>
      </c>
      <c r="S16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-129758.52831730772</v>
      </c>
      <c r="T16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678" s="166">
        <f>IF(INDEX(TransTypes[],Transactions[[#This Row],[TTR]],TT_COL_GLFlag)=1,Transactions[[#This Row],[CalCashImpact]]+Transactions[[#This Row],[CostImpact]],0)</f>
        <v>-579.64831730771402</v>
      </c>
      <c r="W1678" s="167">
        <f>Transactions[[#This Row],[Amount]]*INDEX(TransTypes[],Transactions[[#This Row],[TTR]],TT_COL_AmntSign)</f>
        <v>129178.88</v>
      </c>
      <c r="X1678" s="167">
        <f>IF(INDEX(TransTypes[],Transactions[[#This Row],[TTR]],TT_COL_LONGORSHORT)="S",
      IF( OR(INDEX(TransTypes[],Transactions[[#This Row],[TTR]],TT_COL_GLFlag)=1, INDEX(TransTypes[], Transactions[[#This Row],[TTR]], TT_COL_ShareTransferFlag)=1),
            Transactions[[#This Row],[CostImpact]]*-1,
            Transactions[[#This Row],[CalCashImpact]]
      ),
     0
)</f>
        <v>0</v>
      </c>
      <c r="Y1678" s="168" t="str">
        <f>VLOOKUP(Transactions[[#This Row],[Symbol]],Symbols[], COLUMN(Symbols[Currency])-COLUMN(Symbols[])+1,FALSE)</f>
        <v>CNY</v>
      </c>
    </row>
    <row r="1679" spans="1:25">
      <c r="A1679" s="155" t="s">
        <v>82</v>
      </c>
      <c r="B1679" s="156">
        <v>42937</v>
      </c>
      <c r="C1679" s="155" t="s">
        <v>115</v>
      </c>
      <c r="D1679" s="155"/>
      <c r="E1679" s="155" t="s">
        <v>736</v>
      </c>
      <c r="F1679" s="157">
        <v>8000</v>
      </c>
      <c r="G1679" s="158">
        <v>26.47</v>
      </c>
      <c r="H1679" s="157">
        <v>300.66000000000003</v>
      </c>
      <c r="I1679" s="157"/>
      <c r="J1679" s="159">
        <v>211459.34</v>
      </c>
      <c r="K1679" s="6" t="s">
        <v>641</v>
      </c>
      <c r="L1679" s="20">
        <f>IF(ISNA(MATCH(Transactions[[#This Row],[TransType]],TransTypes[TransType],0)),1,MATCH(Transactions[[#This Row],[TransType]],TransTypes[TransType],0))</f>
        <v>3</v>
      </c>
      <c r="M1679" s="160">
        <f>IF( AND( INDEX(TransTypes[],Transactions[[#This Row],[TTR]],TT_COL_GLFlag)=1, INDEX(TransTypes[],Transactions[[#This Row],[TTR]],TT_COL_LONGORSHORT)="S" ),
      Transactions[[#This Row],[PL]],
      IF(INDEX(TransTypes[],Transactions[[#This Row],[TTR]],TT_COL_LONGORSHORT)="S",0,Transactions[[#This Row],[CalCashImpact]])
)</f>
        <v>211459.34</v>
      </c>
      <c r="N1679" s="161">
        <f>IF(VLOOKUP(Transactions[[#This Row],[Symbol]],Symbols[],COLUMN(Symbols[Currency])-COLUMN(Symbols[])+1,FALSE)=
       VLOOKUP(Transactions[[#This Row],[Account]],Accounts[],COLUMN(Accounts[Currency])-COLUMN(Accounts[])+1,FALSE),
     Transactions[[#This Row],[OrigCashImpact]],
     0
)</f>
        <v>211459.34</v>
      </c>
      <c r="O16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444394.37</v>
      </c>
      <c r="P16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6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79" s="41">
        <f>ROW()</f>
        <v>1679</v>
      </c>
      <c r="S16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-194141.80923076923</v>
      </c>
      <c r="T16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679" s="166">
        <f>IF(INDEX(TransTypes[],Transactions[[#This Row],[TTR]],TT_COL_GLFlag)=1,Transactions[[#This Row],[CalCashImpact]]+Transactions[[#This Row],[CostImpact]],0)</f>
        <v>17317.530769230769</v>
      </c>
      <c r="W1679" s="167">
        <f>Transactions[[#This Row],[Amount]]*INDEX(TransTypes[],Transactions[[#This Row],[TTR]],TT_COL_AmntSign)</f>
        <v>211459.34</v>
      </c>
      <c r="X1679" s="167">
        <f>IF(INDEX(TransTypes[],Transactions[[#This Row],[TTR]],TT_COL_LONGORSHORT)="S",
      IF( OR(INDEX(TransTypes[],Transactions[[#This Row],[TTR]],TT_COL_GLFlag)=1, INDEX(TransTypes[], Transactions[[#This Row],[TTR]], TT_COL_ShareTransferFlag)=1),
            Transactions[[#This Row],[CostImpact]]*-1,
            Transactions[[#This Row],[CalCashImpact]]
      ),
     0
)</f>
        <v>0</v>
      </c>
      <c r="Y1679" s="168" t="str">
        <f>VLOOKUP(Transactions[[#This Row],[Symbol]],Symbols[], COLUMN(Symbols[Currency])-COLUMN(Symbols[])+1,FALSE)</f>
        <v>CNY</v>
      </c>
    </row>
    <row r="1680" spans="1:25">
      <c r="A1680" s="155" t="s">
        <v>82</v>
      </c>
      <c r="B1680" s="156">
        <v>42937</v>
      </c>
      <c r="C1680" s="155" t="s">
        <v>115</v>
      </c>
      <c r="D1680" s="155"/>
      <c r="E1680" s="155" t="s">
        <v>684</v>
      </c>
      <c r="F1680" s="157">
        <v>3000</v>
      </c>
      <c r="G1680" s="158">
        <v>31.52</v>
      </c>
      <c r="H1680" s="157">
        <v>134.27000000000001</v>
      </c>
      <c r="I1680" s="157"/>
      <c r="J1680" s="159">
        <v>94425.73</v>
      </c>
      <c r="K1680" s="6" t="s">
        <v>641</v>
      </c>
      <c r="L1680" s="20">
        <f>IF(ISNA(MATCH(Transactions[[#This Row],[TransType]],TransTypes[TransType],0)),1,MATCH(Transactions[[#This Row],[TransType]],TransTypes[TransType],0))</f>
        <v>3</v>
      </c>
      <c r="M1680" s="160">
        <f>IF( AND( INDEX(TransTypes[],Transactions[[#This Row],[TTR]],TT_COL_GLFlag)=1, INDEX(TransTypes[],Transactions[[#This Row],[TTR]],TT_COL_LONGORSHORT)="S" ),
      Transactions[[#This Row],[PL]],
      IF(INDEX(TransTypes[],Transactions[[#This Row],[TTR]],TT_COL_LONGORSHORT)="S",0,Transactions[[#This Row],[CalCashImpact]])
)</f>
        <v>94425.73</v>
      </c>
      <c r="N1680" s="161">
        <f>IF(VLOOKUP(Transactions[[#This Row],[Symbol]],Symbols[],COLUMN(Symbols[Currency])-COLUMN(Symbols[])+1,FALSE)=
       VLOOKUP(Transactions[[#This Row],[Account]],Accounts[],COLUMN(Accounts[Currency])-COLUMN(Accounts[])+1,FALSE),
     Transactions[[#This Row],[OrigCashImpact]],
     0
)</f>
        <v>94425.73</v>
      </c>
      <c r="O16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538820.1</v>
      </c>
      <c r="P16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6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80" s="41">
        <f>ROW()</f>
        <v>1680</v>
      </c>
      <c r="S16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-76802.244000000006</v>
      </c>
      <c r="T16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680" s="166">
        <f>IF(INDEX(TransTypes[],Transactions[[#This Row],[TTR]],TT_COL_GLFlag)=1,Transactions[[#This Row],[CalCashImpact]]+Transactions[[#This Row],[CostImpact]],0)</f>
        <v>17623.48599999999</v>
      </c>
      <c r="W1680" s="167">
        <f>Transactions[[#This Row],[Amount]]*INDEX(TransTypes[],Transactions[[#This Row],[TTR]],TT_COL_AmntSign)</f>
        <v>94425.73</v>
      </c>
      <c r="X1680" s="167">
        <f>IF(INDEX(TransTypes[],Transactions[[#This Row],[TTR]],TT_COL_LONGORSHORT)="S",
      IF( OR(INDEX(TransTypes[],Transactions[[#This Row],[TTR]],TT_COL_GLFlag)=1, INDEX(TransTypes[], Transactions[[#This Row],[TTR]], TT_COL_ShareTransferFlag)=1),
            Transactions[[#This Row],[CostImpact]]*-1,
            Transactions[[#This Row],[CalCashImpact]]
      ),
     0
)</f>
        <v>0</v>
      </c>
      <c r="Y1680" s="168" t="str">
        <f>VLOOKUP(Transactions[[#This Row],[Symbol]],Symbols[], COLUMN(Symbols[Currency])-COLUMN(Symbols[])+1,FALSE)</f>
        <v>CNY</v>
      </c>
    </row>
    <row r="1681" spans="1:25">
      <c r="A1681" s="155" t="s">
        <v>82</v>
      </c>
      <c r="B1681" s="156">
        <v>42950</v>
      </c>
      <c r="C1681" s="155" t="s">
        <v>113</v>
      </c>
      <c r="D1681" s="155"/>
      <c r="E1681" s="155" t="s">
        <v>730</v>
      </c>
      <c r="F1681" s="157">
        <v>2000</v>
      </c>
      <c r="G1681" s="158">
        <v>52.97</v>
      </c>
      <c r="H1681" s="157">
        <v>42.38</v>
      </c>
      <c r="I1681" s="157"/>
      <c r="J1681" s="159">
        <v>105982.38</v>
      </c>
      <c r="K1681" s="6" t="s">
        <v>641</v>
      </c>
      <c r="L1681" s="20">
        <f>IF(ISNA(MATCH(Transactions[[#This Row],[TransType]],TransTypes[TransType],0)),1,MATCH(Transactions[[#This Row],[TransType]],TransTypes[TransType],0))</f>
        <v>2</v>
      </c>
      <c r="M1681" s="160">
        <f>IF( AND( INDEX(TransTypes[],Transactions[[#This Row],[TTR]],TT_COL_GLFlag)=1, INDEX(TransTypes[],Transactions[[#This Row],[TTR]],TT_COL_LONGORSHORT)="S" ),
      Transactions[[#This Row],[PL]],
      IF(INDEX(TransTypes[],Transactions[[#This Row],[TTR]],TT_COL_LONGORSHORT)="S",0,Transactions[[#This Row],[CalCashImpact]])
)</f>
        <v>-105982.38</v>
      </c>
      <c r="N1681" s="161">
        <f>IF(VLOOKUP(Transactions[[#This Row],[Symbol]],Symbols[],COLUMN(Symbols[Currency])-COLUMN(Symbols[])+1,FALSE)=
       VLOOKUP(Transactions[[#This Row],[Account]],Accounts[],COLUMN(Accounts[Currency])-COLUMN(Accounts[])+1,FALSE),
     Transactions[[#This Row],[OrigCashImpact]],
     0
)</f>
        <v>-105982.38</v>
      </c>
      <c r="O16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432837.72</v>
      </c>
      <c r="P16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681" s="41">
        <f>ROW()</f>
        <v>1681</v>
      </c>
      <c r="S16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105982.38</v>
      </c>
      <c r="T16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506062.35</v>
      </c>
      <c r="U16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681" s="166">
        <f>IF(INDEX(TransTypes[],Transactions[[#This Row],[TTR]],TT_COL_GLFlag)=1,Transactions[[#This Row],[CalCashImpact]]+Transactions[[#This Row],[CostImpact]],0)</f>
        <v>0</v>
      </c>
      <c r="W1681" s="167">
        <f>Transactions[[#This Row],[Amount]]*INDEX(TransTypes[],Transactions[[#This Row],[TTR]],TT_COL_AmntSign)</f>
        <v>-105982.38</v>
      </c>
      <c r="X1681" s="167">
        <f>IF(INDEX(TransTypes[],Transactions[[#This Row],[TTR]],TT_COL_LONGORSHORT)="S",
      IF( OR(INDEX(TransTypes[],Transactions[[#This Row],[TTR]],TT_COL_GLFlag)=1, INDEX(TransTypes[], Transactions[[#This Row],[TTR]], TT_COL_ShareTransferFlag)=1),
            Transactions[[#This Row],[CostImpact]]*-1,
            Transactions[[#This Row],[CalCashImpact]]
      ),
     0
)</f>
        <v>0</v>
      </c>
      <c r="Y1681" s="168" t="str">
        <f>VLOOKUP(Transactions[[#This Row],[Symbol]],Symbols[], COLUMN(Symbols[Currency])-COLUMN(Symbols[])+1,FALSE)</f>
        <v>CNY</v>
      </c>
    </row>
    <row r="1682" spans="1:25">
      <c r="A1682" s="155" t="s">
        <v>82</v>
      </c>
      <c r="B1682" s="156">
        <v>42950</v>
      </c>
      <c r="C1682" s="155" t="s">
        <v>115</v>
      </c>
      <c r="D1682" s="155"/>
      <c r="E1682" s="155" t="s">
        <v>746</v>
      </c>
      <c r="F1682" s="157">
        <v>10000</v>
      </c>
      <c r="G1682" s="158">
        <v>10.26</v>
      </c>
      <c r="H1682" s="157">
        <v>436.71</v>
      </c>
      <c r="I1682" s="157"/>
      <c r="J1682" s="159">
        <v>102163.29</v>
      </c>
      <c r="K1682" s="6" t="s">
        <v>641</v>
      </c>
      <c r="L1682" s="20">
        <f>IF(ISNA(MATCH(Transactions[[#This Row],[TransType]],TransTypes[TransType],0)),1,MATCH(Transactions[[#This Row],[TransType]],TransTypes[TransType],0))</f>
        <v>3</v>
      </c>
      <c r="M1682" s="160">
        <f>IF( AND( INDEX(TransTypes[],Transactions[[#This Row],[TTR]],TT_COL_GLFlag)=1, INDEX(TransTypes[],Transactions[[#This Row],[TTR]],TT_COL_LONGORSHORT)="S" ),
      Transactions[[#This Row],[PL]],
      IF(INDEX(TransTypes[],Transactions[[#This Row],[TTR]],TT_COL_LONGORSHORT)="S",0,Transactions[[#This Row],[CalCashImpact]])
)</f>
        <v>102163.29</v>
      </c>
      <c r="N1682" s="161">
        <f>IF(VLOOKUP(Transactions[[#This Row],[Symbol]],Symbols[],COLUMN(Symbols[Currency])-COLUMN(Symbols[])+1,FALSE)=
       VLOOKUP(Transactions[[#This Row],[Account]],Accounts[],COLUMN(Accounts[Currency])-COLUMN(Accounts[])+1,FALSE),
     Transactions[[#This Row],[OrigCashImpact]],
     0
)</f>
        <v>0</v>
      </c>
      <c r="O16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432837.72</v>
      </c>
      <c r="P16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40000</v>
      </c>
      <c r="R1682" s="41">
        <f>ROW()</f>
        <v>1682</v>
      </c>
      <c r="S16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-75529.936000000002</v>
      </c>
      <c r="T16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302119.74400000006</v>
      </c>
      <c r="U16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50000</v>
      </c>
      <c r="V1682" s="166">
        <f>IF(INDEX(TransTypes[],Transactions[[#This Row],[TTR]],TT_COL_GLFlag)=1,Transactions[[#This Row],[CalCashImpact]]+Transactions[[#This Row],[CostImpact]],0)</f>
        <v>26633.353999999992</v>
      </c>
      <c r="W1682" s="167">
        <f>Transactions[[#This Row],[Amount]]*INDEX(TransTypes[],Transactions[[#This Row],[TTR]],TT_COL_AmntSign)</f>
        <v>102163.29</v>
      </c>
      <c r="X1682" s="167">
        <f>IF(INDEX(TransTypes[],Transactions[[#This Row],[TTR]],TT_COL_LONGORSHORT)="S",
      IF( OR(INDEX(TransTypes[],Transactions[[#This Row],[TTR]],TT_COL_GLFlag)=1, INDEX(TransTypes[], Transactions[[#This Row],[TTR]], TT_COL_ShareTransferFlag)=1),
            Transactions[[#This Row],[CostImpact]]*-1,
            Transactions[[#This Row],[CalCashImpact]]
      ),
     0
)</f>
        <v>0</v>
      </c>
      <c r="Y1682" s="168" t="str">
        <f>VLOOKUP(Transactions[[#This Row],[Symbol]],Symbols[], COLUMN(Symbols[Currency])-COLUMN(Symbols[])+1,FALSE)</f>
        <v>HKD</v>
      </c>
    </row>
    <row r="1683" spans="1:25">
      <c r="A1683" s="155" t="s">
        <v>82</v>
      </c>
      <c r="B1683" s="156">
        <v>42950</v>
      </c>
      <c r="C1683" s="155" t="s">
        <v>115</v>
      </c>
      <c r="D1683" s="155"/>
      <c r="E1683" s="155" t="s">
        <v>258</v>
      </c>
      <c r="F1683" s="157">
        <v>10000</v>
      </c>
      <c r="G1683" s="158">
        <v>19.100000000000001</v>
      </c>
      <c r="H1683" s="157">
        <v>785.78</v>
      </c>
      <c r="I1683" s="157"/>
      <c r="J1683" s="159">
        <v>190214.22</v>
      </c>
      <c r="K1683" s="6" t="s">
        <v>641</v>
      </c>
      <c r="L1683" s="20">
        <f>IF(ISNA(MATCH(Transactions[[#This Row],[TransType]],TransTypes[TransType],0)),1,MATCH(Transactions[[#This Row],[TransType]],TransTypes[TransType],0))</f>
        <v>3</v>
      </c>
      <c r="M1683" s="160">
        <f>IF( AND( INDEX(TransTypes[],Transactions[[#This Row],[TTR]],TT_COL_GLFlag)=1, INDEX(TransTypes[],Transactions[[#This Row],[TTR]],TT_COL_LONGORSHORT)="S" ),
      Transactions[[#This Row],[PL]],
      IF(INDEX(TransTypes[],Transactions[[#This Row],[TTR]],TT_COL_LONGORSHORT)="S",0,Transactions[[#This Row],[CalCashImpact]])
)</f>
        <v>190214.22</v>
      </c>
      <c r="N1683" s="161">
        <f>IF(VLOOKUP(Transactions[[#This Row],[Symbol]],Symbols[],COLUMN(Symbols[Currency])-COLUMN(Symbols[])+1,FALSE)=
       VLOOKUP(Transactions[[#This Row],[Account]],Accounts[],COLUMN(Accounts[Currency])-COLUMN(Accounts[])+1,FALSE),
     Transactions[[#This Row],[OrigCashImpact]],
     0
)</f>
        <v>0</v>
      </c>
      <c r="O16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432837.72</v>
      </c>
      <c r="P16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683" s="41">
        <f>ROW()</f>
        <v>1683</v>
      </c>
      <c r="S16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-92393.205833333341</v>
      </c>
      <c r="T16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184786.41166666671</v>
      </c>
      <c r="U16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v>
      </c>
      <c r="V1683" s="166">
        <f>IF(INDEX(TransTypes[],Transactions[[#This Row],[TTR]],TT_COL_GLFlag)=1,Transactions[[#This Row],[CalCashImpact]]+Transactions[[#This Row],[CostImpact]],0)</f>
        <v>97821.01416666666</v>
      </c>
      <c r="W1683" s="167">
        <f>Transactions[[#This Row],[Amount]]*INDEX(TransTypes[],Transactions[[#This Row],[TTR]],TT_COL_AmntSign)</f>
        <v>190214.22</v>
      </c>
      <c r="X1683" s="167">
        <f>IF(INDEX(TransTypes[],Transactions[[#This Row],[TTR]],TT_COL_LONGORSHORT)="S",
      IF( OR(INDEX(TransTypes[],Transactions[[#This Row],[TTR]],TT_COL_GLFlag)=1, INDEX(TransTypes[], Transactions[[#This Row],[TTR]], TT_COL_ShareTransferFlag)=1),
            Transactions[[#This Row],[CostImpact]]*-1,
            Transactions[[#This Row],[CalCashImpact]]
      ),
     0
)</f>
        <v>0</v>
      </c>
      <c r="Y1683" s="168" t="str">
        <f>VLOOKUP(Transactions[[#This Row],[Symbol]],Symbols[], COLUMN(Symbols[Currency])-COLUMN(Symbols[])+1,FALSE)</f>
        <v>HKD</v>
      </c>
    </row>
    <row r="1684" spans="1:25">
      <c r="A1684" s="155" t="s">
        <v>82</v>
      </c>
      <c r="B1684" s="156">
        <v>42954</v>
      </c>
      <c r="C1684" s="155" t="s">
        <v>156</v>
      </c>
      <c r="D1684" s="155"/>
      <c r="E1684" s="155" t="s">
        <v>210</v>
      </c>
      <c r="F1684" s="157">
        <v>251573.33</v>
      </c>
      <c r="G1684" s="158">
        <f>Transactions[[#This Row],[Amount]]/Transactions[[#This Row],[Qty]]</f>
        <v>1.1621959688652213</v>
      </c>
      <c r="H1684" s="157"/>
      <c r="I1684" s="157"/>
      <c r="J1684" s="159">
        <v>292377.51</v>
      </c>
      <c r="K1684" s="6" t="s">
        <v>641</v>
      </c>
      <c r="L1684" s="20">
        <f>IF(ISNA(MATCH(Transactions[[#This Row],[TransType]],TransTypes[TransType],0)),1,MATCH(Transactions[[#This Row],[TransType]],TransTypes[TransType],0))</f>
        <v>17</v>
      </c>
      <c r="M1684" s="160">
        <f>IF( AND( INDEX(TransTypes[],Transactions[[#This Row],[TTR]],TT_COL_GLFlag)=1, INDEX(TransTypes[],Transactions[[#This Row],[TTR]],TT_COL_LONGORSHORT)="S" ),
      Transactions[[#This Row],[PL]],
      IF(INDEX(TransTypes[],Transactions[[#This Row],[TTR]],TT_COL_LONGORSHORT)="S",0,Transactions[[#This Row],[CalCashImpact]])
)</f>
        <v>-292377.51</v>
      </c>
      <c r="N1684" s="161">
        <f>IF(VLOOKUP(Transactions[[#This Row],[Symbol]],Symbols[],COLUMN(Symbols[Currency])-COLUMN(Symbols[])+1,FALSE)=
       VLOOKUP(Transactions[[#This Row],[Account]],Accounts[],COLUMN(Accounts[Currency])-COLUMN(Accounts[])+1,FALSE),
     Transactions[[#This Row],[OrigCashImpact]],
     0
)</f>
        <v>0</v>
      </c>
      <c r="O16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432837.72</v>
      </c>
      <c r="P16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84" s="41">
        <f>ROW()</f>
        <v>1684</v>
      </c>
      <c r="S16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84" s="166">
        <f>IF(INDEX(TransTypes[],Transactions[[#This Row],[TTR]],TT_COL_GLFlag)=1,Transactions[[#This Row],[CalCashImpact]]+Transactions[[#This Row],[CostImpact]],0)</f>
        <v>0</v>
      </c>
      <c r="W1684" s="167">
        <f>Transactions[[#This Row],[Amount]]*INDEX(TransTypes[],Transactions[[#This Row],[TTR]],TT_COL_AmntSign)</f>
        <v>-292377.51</v>
      </c>
      <c r="X1684" s="167">
        <f>IF(INDEX(TransTypes[],Transactions[[#This Row],[TTR]],TT_COL_LONGORSHORT)="S",
      IF( OR(INDEX(TransTypes[],Transactions[[#This Row],[TTR]],TT_COL_GLFlag)=1, INDEX(TransTypes[], Transactions[[#This Row],[TTR]], TT_COL_ShareTransferFlag)=1),
            Transactions[[#This Row],[CostImpact]]*-1,
            Transactions[[#This Row],[CalCashImpact]]
      ),
     0
)</f>
        <v>0</v>
      </c>
      <c r="Y1684" s="168" t="str">
        <f>VLOOKUP(Transactions[[#This Row],[Symbol]],Symbols[], COLUMN(Symbols[Currency])-COLUMN(Symbols[])+1,FALSE)</f>
        <v>HKD</v>
      </c>
    </row>
    <row r="1685" spans="1:25">
      <c r="A1685" s="155" t="s">
        <v>82</v>
      </c>
      <c r="B1685" s="156">
        <v>42954</v>
      </c>
      <c r="C1685" s="155" t="s">
        <v>239</v>
      </c>
      <c r="D1685" s="155"/>
      <c r="E1685" s="155" t="s">
        <v>211</v>
      </c>
      <c r="F1685" s="157">
        <v>251573.33</v>
      </c>
      <c r="G1685" s="158">
        <v>1</v>
      </c>
      <c r="H1685" s="157"/>
      <c r="I1685" s="157"/>
      <c r="J1685" s="159">
        <v>251573.33</v>
      </c>
      <c r="K1685" s="6" t="s">
        <v>641</v>
      </c>
      <c r="L1685" s="20">
        <f>IF(ISNA(MATCH(Transactions[[#This Row],[TransType]],TransTypes[TransType],0)),1,MATCH(Transactions[[#This Row],[TransType]],TransTypes[TransType],0))</f>
        <v>18</v>
      </c>
      <c r="M1685" s="160">
        <f>IF( AND( INDEX(TransTypes[],Transactions[[#This Row],[TTR]],TT_COL_GLFlag)=1, INDEX(TransTypes[],Transactions[[#This Row],[TTR]],TT_COL_LONGORSHORT)="S" ),
      Transactions[[#This Row],[PL]],
      IF(INDEX(TransTypes[],Transactions[[#This Row],[TTR]],TT_COL_LONGORSHORT)="S",0,Transactions[[#This Row],[CalCashImpact]])
)</f>
        <v>251573.33</v>
      </c>
      <c r="N1685" s="161">
        <f>IF(VLOOKUP(Transactions[[#This Row],[Symbol]],Symbols[],COLUMN(Symbols[Currency])-COLUMN(Symbols[])+1,FALSE)=
       VLOOKUP(Transactions[[#This Row],[Account]],Accounts[],COLUMN(Accounts[Currency])-COLUMN(Accounts[])+1,FALSE),
     Transactions[[#This Row],[OrigCashImpact]],
     0
)</f>
        <v>251573.33</v>
      </c>
      <c r="O16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684411.04999999993</v>
      </c>
      <c r="P16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85" s="41">
        <f>ROW()</f>
        <v>1685</v>
      </c>
      <c r="S16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85" s="166">
        <f>IF(INDEX(TransTypes[],Transactions[[#This Row],[TTR]],TT_COL_GLFlag)=1,Transactions[[#This Row],[CalCashImpact]]+Transactions[[#This Row],[CostImpact]],0)</f>
        <v>0</v>
      </c>
      <c r="W1685" s="167">
        <f>Transactions[[#This Row],[Amount]]*INDEX(TransTypes[],Transactions[[#This Row],[TTR]],TT_COL_AmntSign)</f>
        <v>251573.33</v>
      </c>
      <c r="X1685" s="167">
        <f>IF(INDEX(TransTypes[],Transactions[[#This Row],[TTR]],TT_COL_LONGORSHORT)="S",
      IF( OR(INDEX(TransTypes[],Transactions[[#This Row],[TTR]],TT_COL_GLFlag)=1, INDEX(TransTypes[], Transactions[[#This Row],[TTR]], TT_COL_ShareTransferFlag)=1),
            Transactions[[#This Row],[CostImpact]]*-1,
            Transactions[[#This Row],[CalCashImpact]]
      ),
     0
)</f>
        <v>0</v>
      </c>
      <c r="Y1685" s="168" t="str">
        <f>VLOOKUP(Transactions[[#This Row],[Symbol]],Symbols[], COLUMN(Symbols[Currency])-COLUMN(Symbols[])+1,FALSE)</f>
        <v>CNY</v>
      </c>
    </row>
    <row r="1686" spans="1:25">
      <c r="A1686" s="155" t="s">
        <v>82</v>
      </c>
      <c r="B1686" s="156">
        <v>42954</v>
      </c>
      <c r="C1686" s="155" t="s">
        <v>115</v>
      </c>
      <c r="D1686" s="155"/>
      <c r="E1686" s="155" t="s">
        <v>710</v>
      </c>
      <c r="F1686" s="157">
        <v>3000</v>
      </c>
      <c r="G1686" s="158">
        <v>33.982999999999997</v>
      </c>
      <c r="H1686" s="157">
        <v>142.72999999999999</v>
      </c>
      <c r="I1686" s="157"/>
      <c r="J1686" s="159">
        <v>101806.27</v>
      </c>
      <c r="K1686" s="6" t="s">
        <v>641</v>
      </c>
      <c r="L1686" s="20">
        <f>IF(ISNA(MATCH(Transactions[[#This Row],[TransType]],TransTypes[TransType],0)),1,MATCH(Transactions[[#This Row],[TransType]],TransTypes[TransType],0))</f>
        <v>3</v>
      </c>
      <c r="M1686" s="160">
        <f>IF( AND( INDEX(TransTypes[],Transactions[[#This Row],[TTR]],TT_COL_GLFlag)=1, INDEX(TransTypes[],Transactions[[#This Row],[TTR]],TT_COL_LONGORSHORT)="S" ),
      Transactions[[#This Row],[PL]],
      IF(INDEX(TransTypes[],Transactions[[#This Row],[TTR]],TT_COL_LONGORSHORT)="S",0,Transactions[[#This Row],[CalCashImpact]])
)</f>
        <v>101806.27</v>
      </c>
      <c r="N1686" s="161">
        <f>IF(VLOOKUP(Transactions[[#This Row],[Symbol]],Symbols[],COLUMN(Symbols[Currency])-COLUMN(Symbols[])+1,FALSE)=
       VLOOKUP(Transactions[[#This Row],[Account]],Accounts[],COLUMN(Accounts[Currency])-COLUMN(Accounts[])+1,FALSE),
     Transactions[[#This Row],[OrigCashImpact]],
     0
)</f>
        <v>101806.27</v>
      </c>
      <c r="O16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786217.32</v>
      </c>
      <c r="P16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6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686" s="41">
        <f>ROW()</f>
        <v>1686</v>
      </c>
      <c r="S16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-98187.622299603187</v>
      </c>
      <c r="T16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130916.82973280424</v>
      </c>
      <c r="U16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686" s="166">
        <f>IF(INDEX(TransTypes[],Transactions[[#This Row],[TTR]],TT_COL_GLFlag)=1,Transactions[[#This Row],[CalCashImpact]]+Transactions[[#This Row],[CostImpact]],0)</f>
        <v>3618.6477003968175</v>
      </c>
      <c r="W1686" s="167">
        <f>Transactions[[#This Row],[Amount]]*INDEX(TransTypes[],Transactions[[#This Row],[TTR]],TT_COL_AmntSign)</f>
        <v>101806.27</v>
      </c>
      <c r="X1686" s="167">
        <f>IF(INDEX(TransTypes[],Transactions[[#This Row],[TTR]],TT_COL_LONGORSHORT)="S",
      IF( OR(INDEX(TransTypes[],Transactions[[#This Row],[TTR]],TT_COL_GLFlag)=1, INDEX(TransTypes[], Transactions[[#This Row],[TTR]], TT_COL_ShareTransferFlag)=1),
            Transactions[[#This Row],[CostImpact]]*-1,
            Transactions[[#This Row],[CalCashImpact]]
      ),
     0
)</f>
        <v>0</v>
      </c>
      <c r="Y1686" s="168" t="str">
        <f>VLOOKUP(Transactions[[#This Row],[Symbol]],Symbols[], COLUMN(Symbols[Currency])-COLUMN(Symbols[])+1,FALSE)</f>
        <v>CNY</v>
      </c>
    </row>
    <row r="1687" spans="1:25">
      <c r="A1687" s="155" t="s">
        <v>82</v>
      </c>
      <c r="B1687" s="156">
        <v>42957</v>
      </c>
      <c r="C1687" s="155" t="s">
        <v>113</v>
      </c>
      <c r="D1687" s="155"/>
      <c r="E1687" s="155" t="s">
        <v>474</v>
      </c>
      <c r="F1687" s="157">
        <v>10000</v>
      </c>
      <c r="G1687" s="158">
        <v>17.469000000000001</v>
      </c>
      <c r="H1687" s="157">
        <v>69.88</v>
      </c>
      <c r="I1687" s="157"/>
      <c r="J1687" s="159">
        <v>174759.88</v>
      </c>
      <c r="K1687" s="6" t="s">
        <v>641</v>
      </c>
      <c r="L1687" s="20">
        <f>IF(ISNA(MATCH(Transactions[[#This Row],[TransType]],TransTypes[TransType],0)),1,MATCH(Transactions[[#This Row],[TransType]],TransTypes[TransType],0))</f>
        <v>2</v>
      </c>
      <c r="M1687" s="160">
        <f>IF( AND( INDEX(TransTypes[],Transactions[[#This Row],[TTR]],TT_COL_GLFlag)=1, INDEX(TransTypes[],Transactions[[#This Row],[TTR]],TT_COL_LONGORSHORT)="S" ),
      Transactions[[#This Row],[PL]],
      IF(INDEX(TransTypes[],Transactions[[#This Row],[TTR]],TT_COL_LONGORSHORT)="S",0,Transactions[[#This Row],[CalCashImpact]])
)</f>
        <v>-174759.88</v>
      </c>
      <c r="N1687" s="161">
        <f>IF(VLOOKUP(Transactions[[#This Row],[Symbol]],Symbols[],COLUMN(Symbols[Currency])-COLUMN(Symbols[])+1,FALSE)=
       VLOOKUP(Transactions[[#This Row],[Account]],Accounts[],COLUMN(Accounts[Currency])-COLUMN(Accounts[])+1,FALSE),
     Transactions[[#This Row],[OrigCashImpact]],
     0
)</f>
        <v>-174759.88</v>
      </c>
      <c r="O16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611457.43999999994</v>
      </c>
      <c r="P16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v>
      </c>
      <c r="R1687" s="41">
        <f>ROW()</f>
        <v>1687</v>
      </c>
      <c r="S16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174759.88</v>
      </c>
      <c r="T16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459428.94124999997</v>
      </c>
      <c r="U16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v>
      </c>
      <c r="V1687" s="166">
        <f>IF(INDEX(TransTypes[],Transactions[[#This Row],[TTR]],TT_COL_GLFlag)=1,Transactions[[#This Row],[CalCashImpact]]+Transactions[[#This Row],[CostImpact]],0)</f>
        <v>0</v>
      </c>
      <c r="W1687" s="167">
        <f>Transactions[[#This Row],[Amount]]*INDEX(TransTypes[],Transactions[[#This Row],[TTR]],TT_COL_AmntSign)</f>
        <v>-174759.88</v>
      </c>
      <c r="X1687" s="167">
        <f>IF(INDEX(TransTypes[],Transactions[[#This Row],[TTR]],TT_COL_LONGORSHORT)="S",
      IF( OR(INDEX(TransTypes[],Transactions[[#This Row],[TTR]],TT_COL_GLFlag)=1, INDEX(TransTypes[], Transactions[[#This Row],[TTR]], TT_COL_ShareTransferFlag)=1),
            Transactions[[#This Row],[CostImpact]]*-1,
            Transactions[[#This Row],[CalCashImpact]]
      ),
     0
)</f>
        <v>0</v>
      </c>
      <c r="Y1687" s="168" t="str">
        <f>VLOOKUP(Transactions[[#This Row],[Symbol]],Symbols[], COLUMN(Symbols[Currency])-COLUMN(Symbols[])+1,FALSE)</f>
        <v>CNY</v>
      </c>
    </row>
    <row r="1688" spans="1:25">
      <c r="A1688" s="155" t="s">
        <v>82</v>
      </c>
      <c r="B1688" s="156">
        <v>42957</v>
      </c>
      <c r="C1688" s="155" t="s">
        <v>115</v>
      </c>
      <c r="D1688" s="155"/>
      <c r="E1688" s="155" t="s">
        <v>746</v>
      </c>
      <c r="F1688" s="157">
        <v>10000</v>
      </c>
      <c r="G1688" s="158">
        <v>10.039999999999999</v>
      </c>
      <c r="H1688" s="157">
        <v>412.44</v>
      </c>
      <c r="I1688" s="157"/>
      <c r="J1688" s="159">
        <v>99987.56</v>
      </c>
      <c r="K1688" s="6" t="s">
        <v>641</v>
      </c>
      <c r="L1688" s="20">
        <f>IF(ISNA(MATCH(Transactions[[#This Row],[TransType]],TransTypes[TransType],0)),1,MATCH(Transactions[[#This Row],[TransType]],TransTypes[TransType],0))</f>
        <v>3</v>
      </c>
      <c r="M1688" s="160">
        <f>IF( AND( INDEX(TransTypes[],Transactions[[#This Row],[TTR]],TT_COL_GLFlag)=1, INDEX(TransTypes[],Transactions[[#This Row],[TTR]],TT_COL_LONGORSHORT)="S" ),
      Transactions[[#This Row],[PL]],
      IF(INDEX(TransTypes[],Transactions[[#This Row],[TTR]],TT_COL_LONGORSHORT)="S",0,Transactions[[#This Row],[CalCashImpact]])
)</f>
        <v>99987.56</v>
      </c>
      <c r="N1688" s="161">
        <f>IF(VLOOKUP(Transactions[[#This Row],[Symbol]],Symbols[],COLUMN(Symbols[Currency])-COLUMN(Symbols[])+1,FALSE)=
       VLOOKUP(Transactions[[#This Row],[Account]],Accounts[],COLUMN(Accounts[Currency])-COLUMN(Accounts[])+1,FALSE),
     Transactions[[#This Row],[OrigCashImpact]],
     0
)</f>
        <v>0</v>
      </c>
      <c r="O16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611457.43999999994</v>
      </c>
      <c r="P16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30000</v>
      </c>
      <c r="R1688" s="41">
        <f>ROW()</f>
        <v>1688</v>
      </c>
      <c r="S16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-75529.936000000016</v>
      </c>
      <c r="T16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226589.80800000005</v>
      </c>
      <c r="U16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40000</v>
      </c>
      <c r="V1688" s="166">
        <f>IF(INDEX(TransTypes[],Transactions[[#This Row],[TTR]],TT_COL_GLFlag)=1,Transactions[[#This Row],[CalCashImpact]]+Transactions[[#This Row],[CostImpact]],0)</f>
        <v>24457.623999999982</v>
      </c>
      <c r="W1688" s="167">
        <f>Transactions[[#This Row],[Amount]]*INDEX(TransTypes[],Transactions[[#This Row],[TTR]],TT_COL_AmntSign)</f>
        <v>99987.56</v>
      </c>
      <c r="X1688" s="167">
        <f>IF(INDEX(TransTypes[],Transactions[[#This Row],[TTR]],TT_COL_LONGORSHORT)="S",
      IF( OR(INDEX(TransTypes[],Transactions[[#This Row],[TTR]],TT_COL_GLFlag)=1, INDEX(TransTypes[], Transactions[[#This Row],[TTR]], TT_COL_ShareTransferFlag)=1),
            Transactions[[#This Row],[CostImpact]]*-1,
            Transactions[[#This Row],[CalCashImpact]]
      ),
     0
)</f>
        <v>0</v>
      </c>
      <c r="Y1688" s="168" t="str">
        <f>VLOOKUP(Transactions[[#This Row],[Symbol]],Symbols[], COLUMN(Symbols[Currency])-COLUMN(Symbols[])+1,FALSE)</f>
        <v>HKD</v>
      </c>
    </row>
    <row r="1689" spans="1:25">
      <c r="A1689" s="155" t="s">
        <v>82</v>
      </c>
      <c r="B1689" s="156">
        <v>42957</v>
      </c>
      <c r="C1689" s="155" t="s">
        <v>115</v>
      </c>
      <c r="D1689" s="155"/>
      <c r="E1689" s="155" t="s">
        <v>746</v>
      </c>
      <c r="F1689" s="157">
        <v>10000</v>
      </c>
      <c r="G1689" s="158">
        <v>10.1</v>
      </c>
      <c r="H1689" s="157">
        <v>414.29</v>
      </c>
      <c r="I1689" s="157"/>
      <c r="J1689" s="159">
        <v>100585.71</v>
      </c>
      <c r="K1689" s="6" t="s">
        <v>641</v>
      </c>
      <c r="L1689" s="20">
        <f>IF(ISNA(MATCH(Transactions[[#This Row],[TransType]],TransTypes[TransType],0)),1,MATCH(Transactions[[#This Row],[TransType]],TransTypes[TransType],0))</f>
        <v>3</v>
      </c>
      <c r="M1689" s="160">
        <f>IF( AND( INDEX(TransTypes[],Transactions[[#This Row],[TTR]],TT_COL_GLFlag)=1, INDEX(TransTypes[],Transactions[[#This Row],[TTR]],TT_COL_LONGORSHORT)="S" ),
      Transactions[[#This Row],[PL]],
      IF(INDEX(TransTypes[],Transactions[[#This Row],[TTR]],TT_COL_LONGORSHORT)="S",0,Transactions[[#This Row],[CalCashImpact]])
)</f>
        <v>100585.71</v>
      </c>
      <c r="N1689" s="161">
        <f>IF(VLOOKUP(Transactions[[#This Row],[Symbol]],Symbols[],COLUMN(Symbols[Currency])-COLUMN(Symbols[])+1,FALSE)=
       VLOOKUP(Transactions[[#This Row],[Account]],Accounts[],COLUMN(Accounts[Currency])-COLUMN(Accounts[])+1,FALSE),
     Transactions[[#This Row],[OrigCashImpact]],
     0
)</f>
        <v>0</v>
      </c>
      <c r="O16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611457.43999999994</v>
      </c>
      <c r="P16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689" s="41">
        <f>ROW()</f>
        <v>1689</v>
      </c>
      <c r="S16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-75529.936000000016</v>
      </c>
      <c r="T16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151059.87200000003</v>
      </c>
      <c r="U16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30000</v>
      </c>
      <c r="V1689" s="166">
        <f>IF(INDEX(TransTypes[],Transactions[[#This Row],[TTR]],TT_COL_GLFlag)=1,Transactions[[#This Row],[CalCashImpact]]+Transactions[[#This Row],[CostImpact]],0)</f>
        <v>25055.77399999999</v>
      </c>
      <c r="W1689" s="167">
        <f>Transactions[[#This Row],[Amount]]*INDEX(TransTypes[],Transactions[[#This Row],[TTR]],TT_COL_AmntSign)</f>
        <v>100585.71</v>
      </c>
      <c r="X1689" s="167">
        <f>IF(INDEX(TransTypes[],Transactions[[#This Row],[TTR]],TT_COL_LONGORSHORT)="S",
      IF( OR(INDEX(TransTypes[],Transactions[[#This Row],[TTR]],TT_COL_GLFlag)=1, INDEX(TransTypes[], Transactions[[#This Row],[TTR]], TT_COL_ShareTransferFlag)=1),
            Transactions[[#This Row],[CostImpact]]*-1,
            Transactions[[#This Row],[CalCashImpact]]
      ),
     0
)</f>
        <v>0</v>
      </c>
      <c r="Y1689" s="168" t="str">
        <f>VLOOKUP(Transactions[[#This Row],[Symbol]],Symbols[], COLUMN(Symbols[Currency])-COLUMN(Symbols[])+1,FALSE)</f>
        <v>HKD</v>
      </c>
    </row>
    <row r="1690" spans="1:25">
      <c r="A1690" s="155" t="s">
        <v>82</v>
      </c>
      <c r="B1690" s="156">
        <v>42957</v>
      </c>
      <c r="C1690" s="155" t="s">
        <v>156</v>
      </c>
      <c r="D1690" s="155"/>
      <c r="E1690" s="155" t="s">
        <v>210</v>
      </c>
      <c r="F1690" s="157">
        <v>171760.92</v>
      </c>
      <c r="G1690" s="158">
        <f>Transactions[[#This Row],[Amount]]/Transactions[[#This Row],[Qty]]</f>
        <v>1.1677468308856285</v>
      </c>
      <c r="H1690" s="157"/>
      <c r="I1690" s="157"/>
      <c r="J1690" s="159">
        <v>200573.27</v>
      </c>
      <c r="K1690" s="6" t="s">
        <v>641</v>
      </c>
      <c r="L1690" s="20">
        <f>IF(ISNA(MATCH(Transactions[[#This Row],[TransType]],TransTypes[TransType],0)),1,MATCH(Transactions[[#This Row],[TransType]],TransTypes[TransType],0))</f>
        <v>17</v>
      </c>
      <c r="M1690" s="160">
        <f>IF( AND( INDEX(TransTypes[],Transactions[[#This Row],[TTR]],TT_COL_GLFlag)=1, INDEX(TransTypes[],Transactions[[#This Row],[TTR]],TT_COL_LONGORSHORT)="S" ),
      Transactions[[#This Row],[PL]],
      IF(INDEX(TransTypes[],Transactions[[#This Row],[TTR]],TT_COL_LONGORSHORT)="S",0,Transactions[[#This Row],[CalCashImpact]])
)</f>
        <v>-200573.27</v>
      </c>
      <c r="N1690" s="161">
        <f>IF(VLOOKUP(Transactions[[#This Row],[Symbol]],Symbols[],COLUMN(Symbols[Currency])-COLUMN(Symbols[])+1,FALSE)=
       VLOOKUP(Transactions[[#This Row],[Account]],Accounts[],COLUMN(Accounts[Currency])-COLUMN(Accounts[])+1,FALSE),
     Transactions[[#This Row],[OrigCashImpact]],
     0
)</f>
        <v>0</v>
      </c>
      <c r="O16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611457.43999999994</v>
      </c>
      <c r="P16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90" s="41">
        <f>ROW()</f>
        <v>1690</v>
      </c>
      <c r="S16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90" s="166">
        <f>IF(INDEX(TransTypes[],Transactions[[#This Row],[TTR]],TT_COL_GLFlag)=1,Transactions[[#This Row],[CalCashImpact]]+Transactions[[#This Row],[CostImpact]],0)</f>
        <v>0</v>
      </c>
      <c r="W1690" s="167">
        <f>Transactions[[#This Row],[Amount]]*INDEX(TransTypes[],Transactions[[#This Row],[TTR]],TT_COL_AmntSign)</f>
        <v>-200573.27</v>
      </c>
      <c r="X1690" s="167">
        <f>IF(INDEX(TransTypes[],Transactions[[#This Row],[TTR]],TT_COL_LONGORSHORT)="S",
      IF( OR(INDEX(TransTypes[],Transactions[[#This Row],[TTR]],TT_COL_GLFlag)=1, INDEX(TransTypes[], Transactions[[#This Row],[TTR]], TT_COL_ShareTransferFlag)=1),
            Transactions[[#This Row],[CostImpact]]*-1,
            Transactions[[#This Row],[CalCashImpact]]
      ),
     0
)</f>
        <v>0</v>
      </c>
      <c r="Y1690" s="168" t="str">
        <f>VLOOKUP(Transactions[[#This Row],[Symbol]],Symbols[], COLUMN(Symbols[Currency])-COLUMN(Symbols[])+1,FALSE)</f>
        <v>HKD</v>
      </c>
    </row>
    <row r="1691" spans="1:25">
      <c r="A1691" s="155" t="s">
        <v>82</v>
      </c>
      <c r="B1691" s="156">
        <v>42957</v>
      </c>
      <c r="C1691" s="155" t="s">
        <v>239</v>
      </c>
      <c r="D1691" s="155"/>
      <c r="E1691" s="155" t="s">
        <v>211</v>
      </c>
      <c r="F1691" s="157">
        <v>171760.92</v>
      </c>
      <c r="G1691" s="158">
        <v>1</v>
      </c>
      <c r="H1691" s="157"/>
      <c r="I1691" s="157"/>
      <c r="J1691" s="159">
        <v>171760.92</v>
      </c>
      <c r="K1691" s="6" t="s">
        <v>641</v>
      </c>
      <c r="L1691" s="20">
        <f>IF(ISNA(MATCH(Transactions[[#This Row],[TransType]],TransTypes[TransType],0)),1,MATCH(Transactions[[#This Row],[TransType]],TransTypes[TransType],0))</f>
        <v>18</v>
      </c>
      <c r="M1691" s="160">
        <f>IF( AND( INDEX(TransTypes[],Transactions[[#This Row],[TTR]],TT_COL_GLFlag)=1, INDEX(TransTypes[],Transactions[[#This Row],[TTR]],TT_COL_LONGORSHORT)="S" ),
      Transactions[[#This Row],[PL]],
      IF(INDEX(TransTypes[],Transactions[[#This Row],[TTR]],TT_COL_LONGORSHORT)="S",0,Transactions[[#This Row],[CalCashImpact]])
)</f>
        <v>171760.92</v>
      </c>
      <c r="N1691" s="161">
        <f>IF(VLOOKUP(Transactions[[#This Row],[Symbol]],Symbols[],COLUMN(Symbols[Currency])-COLUMN(Symbols[])+1,FALSE)=
       VLOOKUP(Transactions[[#This Row],[Account]],Accounts[],COLUMN(Accounts[Currency])-COLUMN(Accounts[])+1,FALSE),
     Transactions[[#This Row],[OrigCashImpact]],
     0
)</f>
        <v>171760.92</v>
      </c>
      <c r="O16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783218.36</v>
      </c>
      <c r="P16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91" s="41">
        <f>ROW()</f>
        <v>1691</v>
      </c>
      <c r="S16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91" s="166">
        <f>IF(INDEX(TransTypes[],Transactions[[#This Row],[TTR]],TT_COL_GLFlag)=1,Transactions[[#This Row],[CalCashImpact]]+Transactions[[#This Row],[CostImpact]],0)</f>
        <v>0</v>
      </c>
      <c r="W1691" s="167">
        <f>Transactions[[#This Row],[Amount]]*INDEX(TransTypes[],Transactions[[#This Row],[TTR]],TT_COL_AmntSign)</f>
        <v>171760.92</v>
      </c>
      <c r="X1691" s="167">
        <f>IF(INDEX(TransTypes[],Transactions[[#This Row],[TTR]],TT_COL_LONGORSHORT)="S",
      IF( OR(INDEX(TransTypes[],Transactions[[#This Row],[TTR]],TT_COL_GLFlag)=1, INDEX(TransTypes[], Transactions[[#This Row],[TTR]], TT_COL_ShareTransferFlag)=1),
            Transactions[[#This Row],[CostImpact]]*-1,
            Transactions[[#This Row],[CalCashImpact]]
      ),
     0
)</f>
        <v>0</v>
      </c>
      <c r="Y1691" s="168" t="str">
        <f>VLOOKUP(Transactions[[#This Row],[Symbol]],Symbols[], COLUMN(Symbols[Currency])-COLUMN(Symbols[])+1,FALSE)</f>
        <v>CNY</v>
      </c>
    </row>
    <row r="1692" spans="1:25">
      <c r="A1692" s="155" t="s">
        <v>82</v>
      </c>
      <c r="B1692" s="156">
        <v>42961</v>
      </c>
      <c r="C1692" s="155" t="s">
        <v>113</v>
      </c>
      <c r="D1692" s="155"/>
      <c r="E1692" s="155" t="s">
        <v>488</v>
      </c>
      <c r="F1692" s="157">
        <v>5000</v>
      </c>
      <c r="G1692" s="158">
        <v>22.77</v>
      </c>
      <c r="H1692" s="157">
        <v>47.82</v>
      </c>
      <c r="I1692" s="157"/>
      <c r="J1692" s="159">
        <v>113897.82</v>
      </c>
      <c r="K1692" s="6" t="s">
        <v>641</v>
      </c>
      <c r="L1692" s="20">
        <f>IF(ISNA(MATCH(Transactions[[#This Row],[TransType]],TransTypes[TransType],0)),1,MATCH(Transactions[[#This Row],[TransType]],TransTypes[TransType],0))</f>
        <v>2</v>
      </c>
      <c r="M1692" s="160">
        <f>IF( AND( INDEX(TransTypes[],Transactions[[#This Row],[TTR]],TT_COL_GLFlag)=1, INDEX(TransTypes[],Transactions[[#This Row],[TTR]],TT_COL_LONGORSHORT)="S" ),
      Transactions[[#This Row],[PL]],
      IF(INDEX(TransTypes[],Transactions[[#This Row],[TTR]],TT_COL_LONGORSHORT)="S",0,Transactions[[#This Row],[CalCashImpact]])
)</f>
        <v>-113897.82</v>
      </c>
      <c r="N1692" s="161">
        <f>IF(VLOOKUP(Transactions[[#This Row],[Symbol]],Symbols[],COLUMN(Symbols[Currency])-COLUMN(Symbols[])+1,FALSE)=
       VLOOKUP(Transactions[[#This Row],[Account]],Accounts[],COLUMN(Accounts[Currency])-COLUMN(Accounts[])+1,FALSE),
     Transactions[[#This Row],[OrigCashImpact]],
     0
)</f>
        <v>-113897.82</v>
      </c>
      <c r="O16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669320.54</v>
      </c>
      <c r="P16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18000</v>
      </c>
      <c r="R1692" s="41">
        <f>ROW()</f>
        <v>1692</v>
      </c>
      <c r="S16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113897.82</v>
      </c>
      <c r="T16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380485.39292307693</v>
      </c>
      <c r="U16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1692" s="166">
        <f>IF(INDEX(TransTypes[],Transactions[[#This Row],[TTR]],TT_COL_GLFlag)=1,Transactions[[#This Row],[CalCashImpact]]+Transactions[[#This Row],[CostImpact]],0)</f>
        <v>0</v>
      </c>
      <c r="W1692" s="167">
        <f>Transactions[[#This Row],[Amount]]*INDEX(TransTypes[],Transactions[[#This Row],[TTR]],TT_COL_AmntSign)</f>
        <v>-113897.82</v>
      </c>
      <c r="X1692" s="167">
        <f>IF(INDEX(TransTypes[],Transactions[[#This Row],[TTR]],TT_COL_LONGORSHORT)="S",
      IF( OR(INDEX(TransTypes[],Transactions[[#This Row],[TTR]],TT_COL_GLFlag)=1, INDEX(TransTypes[], Transactions[[#This Row],[TTR]], TT_COL_ShareTransferFlag)=1),
            Transactions[[#This Row],[CostImpact]]*-1,
            Transactions[[#This Row],[CalCashImpact]]
      ),
     0
)</f>
        <v>0</v>
      </c>
      <c r="Y1692" s="168" t="str">
        <f>VLOOKUP(Transactions[[#This Row],[Symbol]],Symbols[], COLUMN(Symbols[Currency])-COLUMN(Symbols[])+1,FALSE)</f>
        <v>CNY</v>
      </c>
    </row>
    <row r="1693" spans="1:25">
      <c r="A1693" s="155" t="s">
        <v>82</v>
      </c>
      <c r="B1693" s="156">
        <v>42962</v>
      </c>
      <c r="C1693" s="155" t="s">
        <v>113</v>
      </c>
      <c r="D1693" s="155"/>
      <c r="E1693" s="155" t="s">
        <v>474</v>
      </c>
      <c r="F1693" s="157">
        <v>13000</v>
      </c>
      <c r="G1693" s="158">
        <v>18.434000000000001</v>
      </c>
      <c r="H1693" s="157">
        <v>95.85</v>
      </c>
      <c r="I1693" s="157"/>
      <c r="J1693" s="159">
        <v>239737.85</v>
      </c>
      <c r="K1693" s="6" t="s">
        <v>641</v>
      </c>
      <c r="L1693" s="20">
        <f>IF(ISNA(MATCH(Transactions[[#This Row],[TransType]],TransTypes[TransType],0)),1,MATCH(Transactions[[#This Row],[TransType]],TransTypes[TransType],0))</f>
        <v>2</v>
      </c>
      <c r="M1693" s="160">
        <f>IF( AND( INDEX(TransTypes[],Transactions[[#This Row],[TTR]],TT_COL_GLFlag)=1, INDEX(TransTypes[],Transactions[[#This Row],[TTR]],TT_COL_LONGORSHORT)="S" ),
      Transactions[[#This Row],[PL]],
      IF(INDEX(TransTypes[],Transactions[[#This Row],[TTR]],TT_COL_LONGORSHORT)="S",0,Transactions[[#This Row],[CalCashImpact]])
)</f>
        <v>-239737.85</v>
      </c>
      <c r="N1693" s="161">
        <f>IF(VLOOKUP(Transactions[[#This Row],[Symbol]],Symbols[],COLUMN(Symbols[Currency])-COLUMN(Symbols[])+1,FALSE)=
       VLOOKUP(Transactions[[#This Row],[Account]],Accounts[],COLUMN(Accounts[Currency])-COLUMN(Accounts[])+1,FALSE),
     Transactions[[#This Row],[OrigCashImpact]],
     0
)</f>
        <v>-239737.85</v>
      </c>
      <c r="O16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429582.69000000006</v>
      </c>
      <c r="P16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13000</v>
      </c>
      <c r="Q16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38000</v>
      </c>
      <c r="R1693" s="41">
        <f>ROW()</f>
        <v>1693</v>
      </c>
      <c r="S16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239737.85</v>
      </c>
      <c r="T16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699166.79125000001</v>
      </c>
      <c r="U16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38000</v>
      </c>
      <c r="V1693" s="166">
        <f>IF(INDEX(TransTypes[],Transactions[[#This Row],[TTR]],TT_COL_GLFlag)=1,Transactions[[#This Row],[CalCashImpact]]+Transactions[[#This Row],[CostImpact]],0)</f>
        <v>0</v>
      </c>
      <c r="W1693" s="167">
        <f>Transactions[[#This Row],[Amount]]*INDEX(TransTypes[],Transactions[[#This Row],[TTR]],TT_COL_AmntSign)</f>
        <v>-239737.85</v>
      </c>
      <c r="X1693" s="167">
        <f>IF(INDEX(TransTypes[],Transactions[[#This Row],[TTR]],TT_COL_LONGORSHORT)="S",
      IF( OR(INDEX(TransTypes[],Transactions[[#This Row],[TTR]],TT_COL_GLFlag)=1, INDEX(TransTypes[], Transactions[[#This Row],[TTR]], TT_COL_ShareTransferFlag)=1),
            Transactions[[#This Row],[CostImpact]]*-1,
            Transactions[[#This Row],[CalCashImpact]]
      ),
     0
)</f>
        <v>0</v>
      </c>
      <c r="Y1693" s="168" t="str">
        <f>VLOOKUP(Transactions[[#This Row],[Symbol]],Symbols[], COLUMN(Symbols[Currency])-COLUMN(Symbols[])+1,FALSE)</f>
        <v>CNY</v>
      </c>
    </row>
    <row r="1694" spans="1:25">
      <c r="A1694" s="155" t="s">
        <v>82</v>
      </c>
      <c r="B1694" s="156">
        <v>42962</v>
      </c>
      <c r="C1694" s="155" t="s">
        <v>115</v>
      </c>
      <c r="D1694" s="155"/>
      <c r="E1694" s="155" t="s">
        <v>258</v>
      </c>
      <c r="F1694" s="157">
        <v>10000</v>
      </c>
      <c r="G1694" s="158">
        <v>18.600000000000001</v>
      </c>
      <c r="H1694" s="157">
        <v>762.55</v>
      </c>
      <c r="I1694" s="157"/>
      <c r="J1694" s="159">
        <v>185237.45</v>
      </c>
      <c r="K1694" s="6" t="s">
        <v>641</v>
      </c>
      <c r="L1694" s="20">
        <f>IF(ISNA(MATCH(Transactions[[#This Row],[TransType]],TransTypes[TransType],0)),1,MATCH(Transactions[[#This Row],[TransType]],TransTypes[TransType],0))</f>
        <v>3</v>
      </c>
      <c r="M1694" s="160">
        <f>IF( AND( INDEX(TransTypes[],Transactions[[#This Row],[TTR]],TT_COL_GLFlag)=1, INDEX(TransTypes[],Transactions[[#This Row],[TTR]],TT_COL_LONGORSHORT)="S" ),
      Transactions[[#This Row],[PL]],
      IF(INDEX(TransTypes[],Transactions[[#This Row],[TTR]],TT_COL_LONGORSHORT)="S",0,Transactions[[#This Row],[CalCashImpact]])
)</f>
        <v>185237.45</v>
      </c>
      <c r="N1694" s="161">
        <f>IF(VLOOKUP(Transactions[[#This Row],[Symbol]],Symbols[],COLUMN(Symbols[Currency])-COLUMN(Symbols[])+1,FALSE)=
       VLOOKUP(Transactions[[#This Row],[Account]],Accounts[],COLUMN(Accounts[Currency])-COLUMN(Accounts[])+1,FALSE),
     Transactions[[#This Row],[OrigCashImpact]],
     0
)</f>
        <v>0</v>
      </c>
      <c r="O16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429582.69000000006</v>
      </c>
      <c r="P16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6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694" s="41">
        <f>ROW()</f>
        <v>1694</v>
      </c>
      <c r="S16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-92393.205833333341</v>
      </c>
      <c r="T16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92393.20583333337</v>
      </c>
      <c r="U16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694" s="166">
        <f>IF(INDEX(TransTypes[],Transactions[[#This Row],[TTR]],TT_COL_GLFlag)=1,Transactions[[#This Row],[CalCashImpact]]+Transactions[[#This Row],[CostImpact]],0)</f>
        <v>92844.244166666671</v>
      </c>
      <c r="W1694" s="167">
        <f>Transactions[[#This Row],[Amount]]*INDEX(TransTypes[],Transactions[[#This Row],[TTR]],TT_COL_AmntSign)</f>
        <v>185237.45</v>
      </c>
      <c r="X1694" s="167">
        <f>IF(INDEX(TransTypes[],Transactions[[#This Row],[TTR]],TT_COL_LONGORSHORT)="S",
      IF( OR(INDEX(TransTypes[],Transactions[[#This Row],[TTR]],TT_COL_GLFlag)=1, INDEX(TransTypes[], Transactions[[#This Row],[TTR]], TT_COL_ShareTransferFlag)=1),
            Transactions[[#This Row],[CostImpact]]*-1,
            Transactions[[#This Row],[CalCashImpact]]
      ),
     0
)</f>
        <v>0</v>
      </c>
      <c r="Y1694" s="168" t="str">
        <f>VLOOKUP(Transactions[[#This Row],[Symbol]],Symbols[], COLUMN(Symbols[Currency])-COLUMN(Symbols[])+1,FALSE)</f>
        <v>HKD</v>
      </c>
    </row>
    <row r="1695" spans="1:25">
      <c r="A1695" s="155" t="s">
        <v>82</v>
      </c>
      <c r="B1695" s="156">
        <v>42962</v>
      </c>
      <c r="C1695" s="155" t="s">
        <v>115</v>
      </c>
      <c r="D1695" s="155"/>
      <c r="E1695" s="155" t="s">
        <v>746</v>
      </c>
      <c r="F1695" s="157">
        <v>20000</v>
      </c>
      <c r="G1695" s="158">
        <v>9.26</v>
      </c>
      <c r="H1695" s="157">
        <v>776.41</v>
      </c>
      <c r="I1695" s="157"/>
      <c r="J1695" s="159">
        <v>184423.59</v>
      </c>
      <c r="K1695" s="6" t="s">
        <v>641</v>
      </c>
      <c r="L1695" s="20">
        <f>IF(ISNA(MATCH(Transactions[[#This Row],[TransType]],TransTypes[TransType],0)),1,MATCH(Transactions[[#This Row],[TransType]],TransTypes[TransType],0))</f>
        <v>3</v>
      </c>
      <c r="M1695" s="160">
        <f>IF( AND( INDEX(TransTypes[],Transactions[[#This Row],[TTR]],TT_COL_GLFlag)=1, INDEX(TransTypes[],Transactions[[#This Row],[TTR]],TT_COL_LONGORSHORT)="S" ),
      Transactions[[#This Row],[PL]],
      IF(INDEX(TransTypes[],Transactions[[#This Row],[TTR]],TT_COL_LONGORSHORT)="S",0,Transactions[[#This Row],[CalCashImpact]])
)</f>
        <v>184423.59</v>
      </c>
      <c r="N1695" s="161">
        <f>IF(VLOOKUP(Transactions[[#This Row],[Symbol]],Symbols[],COLUMN(Symbols[Currency])-COLUMN(Symbols[])+1,FALSE)=
       VLOOKUP(Transactions[[#This Row],[Account]],Accounts[],COLUMN(Accounts[Currency])-COLUMN(Accounts[])+1,FALSE),
     Transactions[[#This Row],[OrigCashImpact]],
     0
)</f>
        <v>0</v>
      </c>
      <c r="O16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429582.69000000006</v>
      </c>
      <c r="P16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6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95" s="41">
        <f>ROW()</f>
        <v>1695</v>
      </c>
      <c r="S16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-151059.87200000003</v>
      </c>
      <c r="T16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695" s="166">
        <f>IF(INDEX(TransTypes[],Transactions[[#This Row],[TTR]],TT_COL_GLFlag)=1,Transactions[[#This Row],[CalCashImpact]]+Transactions[[#This Row],[CostImpact]],0)</f>
        <v>33363.717999999964</v>
      </c>
      <c r="W1695" s="167">
        <f>Transactions[[#This Row],[Amount]]*INDEX(TransTypes[],Transactions[[#This Row],[TTR]],TT_COL_AmntSign)</f>
        <v>184423.59</v>
      </c>
      <c r="X1695" s="167">
        <f>IF(INDEX(TransTypes[],Transactions[[#This Row],[TTR]],TT_COL_LONGORSHORT)="S",
      IF( OR(INDEX(TransTypes[],Transactions[[#This Row],[TTR]],TT_COL_GLFlag)=1, INDEX(TransTypes[], Transactions[[#This Row],[TTR]], TT_COL_ShareTransferFlag)=1),
            Transactions[[#This Row],[CostImpact]]*-1,
            Transactions[[#This Row],[CalCashImpact]]
      ),
     0
)</f>
        <v>0</v>
      </c>
      <c r="Y1695" s="168" t="str">
        <f>VLOOKUP(Transactions[[#This Row],[Symbol]],Symbols[], COLUMN(Symbols[Currency])-COLUMN(Symbols[])+1,FALSE)</f>
        <v>HKD</v>
      </c>
    </row>
    <row r="1696" spans="1:25">
      <c r="A1696" s="155" t="s">
        <v>82</v>
      </c>
      <c r="B1696" s="156">
        <v>42962</v>
      </c>
      <c r="C1696" s="155" t="s">
        <v>156</v>
      </c>
      <c r="D1696" s="155"/>
      <c r="E1696" s="155" t="s">
        <v>210</v>
      </c>
      <c r="F1696" s="157">
        <v>316104.59999999998</v>
      </c>
      <c r="G1696" s="158">
        <f>Transactions[[#This Row],[Amount]]/Transactions[[#This Row],[Qty]]</f>
        <v>1.1694263228058055</v>
      </c>
      <c r="H1696" s="157"/>
      <c r="I1696" s="157"/>
      <c r="J1696" s="159">
        <v>369661.04</v>
      </c>
      <c r="K1696" s="6" t="s">
        <v>641</v>
      </c>
      <c r="L1696" s="20">
        <f>IF(ISNA(MATCH(Transactions[[#This Row],[TransType]],TransTypes[TransType],0)),1,MATCH(Transactions[[#This Row],[TransType]],TransTypes[TransType],0))</f>
        <v>17</v>
      </c>
      <c r="M1696" s="160">
        <f>IF( AND( INDEX(TransTypes[],Transactions[[#This Row],[TTR]],TT_COL_GLFlag)=1, INDEX(TransTypes[],Transactions[[#This Row],[TTR]],TT_COL_LONGORSHORT)="S" ),
      Transactions[[#This Row],[PL]],
      IF(INDEX(TransTypes[],Transactions[[#This Row],[TTR]],TT_COL_LONGORSHORT)="S",0,Transactions[[#This Row],[CalCashImpact]])
)</f>
        <v>-369661.04</v>
      </c>
      <c r="N1696" s="161">
        <f>IF(VLOOKUP(Transactions[[#This Row],[Symbol]],Symbols[],COLUMN(Symbols[Currency])-COLUMN(Symbols[])+1,FALSE)=
       VLOOKUP(Transactions[[#This Row],[Account]],Accounts[],COLUMN(Accounts[Currency])-COLUMN(Accounts[])+1,FALSE),
     Transactions[[#This Row],[OrigCashImpact]],
     0
)</f>
        <v>0</v>
      </c>
      <c r="O16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429582.69000000006</v>
      </c>
      <c r="P16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96" s="41">
        <f>ROW()</f>
        <v>1696</v>
      </c>
      <c r="S16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96" s="166">
        <f>IF(INDEX(TransTypes[],Transactions[[#This Row],[TTR]],TT_COL_GLFlag)=1,Transactions[[#This Row],[CalCashImpact]]+Transactions[[#This Row],[CostImpact]],0)</f>
        <v>0</v>
      </c>
      <c r="W1696" s="167">
        <f>Transactions[[#This Row],[Amount]]*INDEX(TransTypes[],Transactions[[#This Row],[TTR]],TT_COL_AmntSign)</f>
        <v>-369661.04</v>
      </c>
      <c r="X1696" s="167">
        <f>IF(INDEX(TransTypes[],Transactions[[#This Row],[TTR]],TT_COL_LONGORSHORT)="S",
      IF( OR(INDEX(TransTypes[],Transactions[[#This Row],[TTR]],TT_COL_GLFlag)=1, INDEX(TransTypes[], Transactions[[#This Row],[TTR]], TT_COL_ShareTransferFlag)=1),
            Transactions[[#This Row],[CostImpact]]*-1,
            Transactions[[#This Row],[CalCashImpact]]
      ),
     0
)</f>
        <v>0</v>
      </c>
      <c r="Y1696" s="168" t="str">
        <f>VLOOKUP(Transactions[[#This Row],[Symbol]],Symbols[], COLUMN(Symbols[Currency])-COLUMN(Symbols[])+1,FALSE)</f>
        <v>HKD</v>
      </c>
    </row>
    <row r="1697" spans="1:25">
      <c r="A1697" s="155" t="s">
        <v>82</v>
      </c>
      <c r="B1697" s="156">
        <v>42962</v>
      </c>
      <c r="C1697" s="155" t="s">
        <v>239</v>
      </c>
      <c r="D1697" s="155"/>
      <c r="E1697" s="155" t="s">
        <v>211</v>
      </c>
      <c r="F1697" s="157">
        <v>316104.59999999998</v>
      </c>
      <c r="G1697" s="158">
        <v>1</v>
      </c>
      <c r="H1697" s="157"/>
      <c r="I1697" s="157"/>
      <c r="J1697" s="159">
        <v>316104.59999999998</v>
      </c>
      <c r="K1697" s="6" t="s">
        <v>641</v>
      </c>
      <c r="L1697" s="20">
        <f>IF(ISNA(MATCH(Transactions[[#This Row],[TransType]],TransTypes[TransType],0)),1,MATCH(Transactions[[#This Row],[TransType]],TransTypes[TransType],0))</f>
        <v>18</v>
      </c>
      <c r="M1697" s="160">
        <f>IF( AND( INDEX(TransTypes[],Transactions[[#This Row],[TTR]],TT_COL_GLFlag)=1, INDEX(TransTypes[],Transactions[[#This Row],[TTR]],TT_COL_LONGORSHORT)="S" ),
      Transactions[[#This Row],[PL]],
      IF(INDEX(TransTypes[],Transactions[[#This Row],[TTR]],TT_COL_LONGORSHORT)="S",0,Transactions[[#This Row],[CalCashImpact]])
)</f>
        <v>316104.59999999998</v>
      </c>
      <c r="N1697" s="161">
        <f>IF(VLOOKUP(Transactions[[#This Row],[Symbol]],Symbols[],COLUMN(Symbols[Currency])-COLUMN(Symbols[])+1,FALSE)=
       VLOOKUP(Transactions[[#This Row],[Account]],Accounts[],COLUMN(Accounts[Currency])-COLUMN(Accounts[])+1,FALSE),
     Transactions[[#This Row],[OrigCashImpact]],
     0
)</f>
        <v>316104.59999999998</v>
      </c>
      <c r="O16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745687.29</v>
      </c>
      <c r="P16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6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697" s="41">
        <f>ROW()</f>
        <v>1697</v>
      </c>
      <c r="S16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6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6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697" s="166">
        <f>IF(INDEX(TransTypes[],Transactions[[#This Row],[TTR]],TT_COL_GLFlag)=1,Transactions[[#This Row],[CalCashImpact]]+Transactions[[#This Row],[CostImpact]],0)</f>
        <v>0</v>
      </c>
      <c r="W1697" s="167">
        <f>Transactions[[#This Row],[Amount]]*INDEX(TransTypes[],Transactions[[#This Row],[TTR]],TT_COL_AmntSign)</f>
        <v>316104.59999999998</v>
      </c>
      <c r="X1697" s="167">
        <f>IF(INDEX(TransTypes[],Transactions[[#This Row],[TTR]],TT_COL_LONGORSHORT)="S",
      IF( OR(INDEX(TransTypes[],Transactions[[#This Row],[TTR]],TT_COL_GLFlag)=1, INDEX(TransTypes[], Transactions[[#This Row],[TTR]], TT_COL_ShareTransferFlag)=1),
            Transactions[[#This Row],[CostImpact]]*-1,
            Transactions[[#This Row],[CalCashImpact]]
      ),
     0
)</f>
        <v>0</v>
      </c>
      <c r="Y1697" s="168" t="str">
        <f>VLOOKUP(Transactions[[#This Row],[Symbol]],Symbols[], COLUMN(Symbols[Currency])-COLUMN(Symbols[])+1,FALSE)</f>
        <v>CNY</v>
      </c>
    </row>
    <row r="1698" spans="1:25">
      <c r="A1698" s="155" t="s">
        <v>82</v>
      </c>
      <c r="B1698" s="156">
        <v>42963</v>
      </c>
      <c r="C1698" s="155" t="s">
        <v>113</v>
      </c>
      <c r="D1698" s="155"/>
      <c r="E1698" s="155" t="s">
        <v>730</v>
      </c>
      <c r="F1698" s="157">
        <v>5000</v>
      </c>
      <c r="G1698" s="158">
        <v>57.04</v>
      </c>
      <c r="H1698" s="157">
        <v>114.08</v>
      </c>
      <c r="I1698" s="157"/>
      <c r="J1698" s="159">
        <v>285314.08</v>
      </c>
      <c r="K1698" s="6" t="s">
        <v>641</v>
      </c>
      <c r="L1698" s="20">
        <f>IF(ISNA(MATCH(Transactions[[#This Row],[TransType]],TransTypes[TransType],0)),1,MATCH(Transactions[[#This Row],[TransType]],TransTypes[TransType],0))</f>
        <v>2</v>
      </c>
      <c r="M1698" s="160">
        <f>IF( AND( INDEX(TransTypes[],Transactions[[#This Row],[TTR]],TT_COL_GLFlag)=1, INDEX(TransTypes[],Transactions[[#This Row],[TTR]],TT_COL_LONGORSHORT)="S" ),
      Transactions[[#This Row],[PL]],
      IF(INDEX(TransTypes[],Transactions[[#This Row],[TTR]],TT_COL_LONGORSHORT)="S",0,Transactions[[#This Row],[CalCashImpact]])
)</f>
        <v>-285314.08</v>
      </c>
      <c r="N1698" s="161">
        <f>IF(VLOOKUP(Transactions[[#This Row],[Symbol]],Symbols[],COLUMN(Symbols[Currency])-COLUMN(Symbols[])+1,FALSE)=
       VLOOKUP(Transactions[[#This Row],[Account]],Accounts[],COLUMN(Accounts[Currency])-COLUMN(Accounts[])+1,FALSE),
     Transactions[[#This Row],[OrigCashImpact]],
     0
)</f>
        <v>-285314.08</v>
      </c>
      <c r="O16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460373.21</v>
      </c>
      <c r="P16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6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15000</v>
      </c>
      <c r="R1698" s="41">
        <f>ROW()</f>
        <v>1698</v>
      </c>
      <c r="S16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285314.08</v>
      </c>
      <c r="T16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791376.42999999993</v>
      </c>
      <c r="U16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15000</v>
      </c>
      <c r="V1698" s="166">
        <f>IF(INDEX(TransTypes[],Transactions[[#This Row],[TTR]],TT_COL_GLFlag)=1,Transactions[[#This Row],[CalCashImpact]]+Transactions[[#This Row],[CostImpact]],0)</f>
        <v>0</v>
      </c>
      <c r="W1698" s="167">
        <f>Transactions[[#This Row],[Amount]]*INDEX(TransTypes[],Transactions[[#This Row],[TTR]],TT_COL_AmntSign)</f>
        <v>-285314.08</v>
      </c>
      <c r="X1698" s="167">
        <f>IF(INDEX(TransTypes[],Transactions[[#This Row],[TTR]],TT_COL_LONGORSHORT)="S",
      IF( OR(INDEX(TransTypes[],Transactions[[#This Row],[TTR]],TT_COL_GLFlag)=1, INDEX(TransTypes[], Transactions[[#This Row],[TTR]], TT_COL_ShareTransferFlag)=1),
            Transactions[[#This Row],[CostImpact]]*-1,
            Transactions[[#This Row],[CalCashImpact]]
      ),
     0
)</f>
        <v>0</v>
      </c>
      <c r="Y1698" s="168" t="str">
        <f>VLOOKUP(Transactions[[#This Row],[Symbol]],Symbols[], COLUMN(Symbols[Currency])-COLUMN(Symbols[])+1,FALSE)</f>
        <v>CNY</v>
      </c>
    </row>
    <row r="1699" spans="1:25">
      <c r="A1699" s="155" t="s">
        <v>82</v>
      </c>
      <c r="B1699" s="156">
        <v>42963</v>
      </c>
      <c r="C1699" s="155" t="s">
        <v>115</v>
      </c>
      <c r="D1699" s="155"/>
      <c r="E1699" s="155" t="s">
        <v>468</v>
      </c>
      <c r="F1699" s="157">
        <v>2000</v>
      </c>
      <c r="G1699" s="158">
        <v>50.8</v>
      </c>
      <c r="H1699" s="157">
        <v>144.27000000000001</v>
      </c>
      <c r="I1699" s="157"/>
      <c r="J1699" s="159">
        <v>101455.73</v>
      </c>
      <c r="K1699" s="6" t="s">
        <v>641</v>
      </c>
      <c r="L1699" s="20">
        <f>IF(ISNA(MATCH(Transactions[[#This Row],[TransType]],TransTypes[TransType],0)),1,MATCH(Transactions[[#This Row],[TransType]],TransTypes[TransType],0))</f>
        <v>3</v>
      </c>
      <c r="M1699" s="160">
        <f>IF( AND( INDEX(TransTypes[],Transactions[[#This Row],[TTR]],TT_COL_GLFlag)=1, INDEX(TransTypes[],Transactions[[#This Row],[TTR]],TT_COL_LONGORSHORT)="S" ),
      Transactions[[#This Row],[PL]],
      IF(INDEX(TransTypes[],Transactions[[#This Row],[TTR]],TT_COL_LONGORSHORT)="S",0,Transactions[[#This Row],[CalCashImpact]])
)</f>
        <v>101455.73</v>
      </c>
      <c r="N1699" s="161">
        <f>IF(VLOOKUP(Transactions[[#This Row],[Symbol]],Symbols[],COLUMN(Symbols[Currency])-COLUMN(Symbols[])+1,FALSE)=
       VLOOKUP(Transactions[[#This Row],[Account]],Accounts[],COLUMN(Accounts[Currency])-COLUMN(Accounts[])+1,FALSE),
     Transactions[[#This Row],[OrigCashImpact]],
     0
)</f>
        <v>101455.73</v>
      </c>
      <c r="O16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561828.93999999994</v>
      </c>
      <c r="P16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6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699" s="41">
        <f>ROW()</f>
        <v>1699</v>
      </c>
      <c r="S16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-73341.971214285732</v>
      </c>
      <c r="T16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146683.94242857146</v>
      </c>
      <c r="U16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699" s="166">
        <f>IF(INDEX(TransTypes[],Transactions[[#This Row],[TTR]],TT_COL_GLFlag)=1,Transactions[[#This Row],[CalCashImpact]]+Transactions[[#This Row],[CostImpact]],0)</f>
        <v>28113.758785714264</v>
      </c>
      <c r="W1699" s="167">
        <f>Transactions[[#This Row],[Amount]]*INDEX(TransTypes[],Transactions[[#This Row],[TTR]],TT_COL_AmntSign)</f>
        <v>101455.73</v>
      </c>
      <c r="X1699" s="167">
        <f>IF(INDEX(TransTypes[],Transactions[[#This Row],[TTR]],TT_COL_LONGORSHORT)="S",
      IF( OR(INDEX(TransTypes[],Transactions[[#This Row],[TTR]],TT_COL_GLFlag)=1, INDEX(TransTypes[], Transactions[[#This Row],[TTR]], TT_COL_ShareTransferFlag)=1),
            Transactions[[#This Row],[CostImpact]]*-1,
            Transactions[[#This Row],[CalCashImpact]]
      ),
     0
)</f>
        <v>0</v>
      </c>
      <c r="Y1699" s="168" t="str">
        <f>VLOOKUP(Transactions[[#This Row],[Symbol]],Symbols[], COLUMN(Symbols[Currency])-COLUMN(Symbols[])+1,FALSE)</f>
        <v>CNY</v>
      </c>
    </row>
    <row r="1700" spans="1:25">
      <c r="A1700" s="155" t="s">
        <v>82</v>
      </c>
      <c r="B1700" s="156">
        <v>42963</v>
      </c>
      <c r="C1700" s="155" t="s">
        <v>115</v>
      </c>
      <c r="D1700" s="155"/>
      <c r="E1700" s="155" t="s">
        <v>713</v>
      </c>
      <c r="F1700" s="157">
        <v>20000</v>
      </c>
      <c r="G1700" s="158">
        <v>17.07</v>
      </c>
      <c r="H1700" s="157">
        <v>484.78</v>
      </c>
      <c r="I1700" s="157"/>
      <c r="J1700" s="159">
        <v>340915.22</v>
      </c>
      <c r="K1700" s="6" t="s">
        <v>641</v>
      </c>
      <c r="L1700" s="20">
        <f>IF(ISNA(MATCH(Transactions[[#This Row],[TransType]],TransTypes[TransType],0)),1,MATCH(Transactions[[#This Row],[TransType]],TransTypes[TransType],0))</f>
        <v>3</v>
      </c>
      <c r="M1700" s="160">
        <f>IF( AND( INDEX(TransTypes[],Transactions[[#This Row],[TTR]],TT_COL_GLFlag)=1, INDEX(TransTypes[],Transactions[[#This Row],[TTR]],TT_COL_LONGORSHORT)="S" ),
      Transactions[[#This Row],[PL]],
      IF(INDEX(TransTypes[],Transactions[[#This Row],[TTR]],TT_COL_LONGORSHORT)="S",0,Transactions[[#This Row],[CalCashImpact]])
)</f>
        <v>340915.22</v>
      </c>
      <c r="N1700" s="161">
        <f>IF(VLOOKUP(Transactions[[#This Row],[Symbol]],Symbols[],COLUMN(Symbols[Currency])-COLUMN(Symbols[])+1,FALSE)=
       VLOOKUP(Transactions[[#This Row],[Account]],Accounts[],COLUMN(Accounts[Currency])-COLUMN(Accounts[])+1,FALSE),
     Transactions[[#This Row],[OrigCashImpact]],
     0
)</f>
        <v>340915.22</v>
      </c>
      <c r="O17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902744.15999999992</v>
      </c>
      <c r="P17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7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00" s="41">
        <f>ROW()</f>
        <v>1700</v>
      </c>
      <c r="S17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-326737.17</v>
      </c>
      <c r="T17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700" s="166">
        <f>IF(INDEX(TransTypes[],Transactions[[#This Row],[TTR]],TT_COL_GLFlag)=1,Transactions[[#This Row],[CalCashImpact]]+Transactions[[#This Row],[CostImpact]],0)</f>
        <v>14178.049999999988</v>
      </c>
      <c r="W1700" s="167">
        <f>Transactions[[#This Row],[Amount]]*INDEX(TransTypes[],Transactions[[#This Row],[TTR]],TT_COL_AmntSign)</f>
        <v>340915.22</v>
      </c>
      <c r="X1700" s="167">
        <f>IF(INDEX(TransTypes[],Transactions[[#This Row],[TTR]],TT_COL_LONGORSHORT)="S",
      IF( OR(INDEX(TransTypes[],Transactions[[#This Row],[TTR]],TT_COL_GLFlag)=1, INDEX(TransTypes[], Transactions[[#This Row],[TTR]], TT_COL_ShareTransferFlag)=1),
            Transactions[[#This Row],[CostImpact]]*-1,
            Transactions[[#This Row],[CalCashImpact]]
      ),
     0
)</f>
        <v>0</v>
      </c>
      <c r="Y1700" s="168" t="str">
        <f>VLOOKUP(Transactions[[#This Row],[Symbol]],Symbols[], COLUMN(Symbols[Currency])-COLUMN(Symbols[])+1,FALSE)</f>
        <v>CNY</v>
      </c>
    </row>
    <row r="1701" spans="1:25">
      <c r="A1701" s="155" t="s">
        <v>82</v>
      </c>
      <c r="B1701" s="156">
        <v>42964</v>
      </c>
      <c r="C1701" s="155" t="s">
        <v>123</v>
      </c>
      <c r="D1701" s="155"/>
      <c r="E1701" s="155" t="s">
        <v>713</v>
      </c>
      <c r="F1701" s="157"/>
      <c r="G1701" s="158"/>
      <c r="H1701" s="157"/>
      <c r="I1701" s="157"/>
      <c r="J1701" s="159">
        <v>110</v>
      </c>
      <c r="K1701" s="6"/>
      <c r="L1701" s="20">
        <f>IF(ISNA(MATCH(Transactions[[#This Row],[TransType]],TransTypes[TransType],0)),1,MATCH(Transactions[[#This Row],[TransType]],TransTypes[TransType],0))</f>
        <v>7</v>
      </c>
      <c r="M1701" s="160">
        <f>IF( AND( INDEX(TransTypes[],Transactions[[#This Row],[TTR]],TT_COL_GLFlag)=1, INDEX(TransTypes[],Transactions[[#This Row],[TTR]],TT_COL_LONGORSHORT)="S" ),
      Transactions[[#This Row],[PL]],
      IF(INDEX(TransTypes[],Transactions[[#This Row],[TTR]],TT_COL_LONGORSHORT)="S",0,Transactions[[#This Row],[CalCashImpact]])
)</f>
        <v>-110</v>
      </c>
      <c r="N1701" s="161">
        <f>IF(VLOOKUP(Transactions[[#This Row],[Symbol]],Symbols[],COLUMN(Symbols[Currency])-COLUMN(Symbols[])+1,FALSE)=
       VLOOKUP(Transactions[[#This Row],[Account]],Accounts[],COLUMN(Accounts[Currency])-COLUMN(Accounts[])+1,FALSE),
     Transactions[[#This Row],[OrigCashImpact]],
     0
)</f>
        <v>-110</v>
      </c>
      <c r="O17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902634.16</v>
      </c>
      <c r="P17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01" s="41">
        <f>ROW()</f>
        <v>1701</v>
      </c>
      <c r="S17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01" s="166">
        <f>IF(INDEX(TransTypes[],Transactions[[#This Row],[TTR]],TT_COL_GLFlag)=1,Transactions[[#This Row],[CalCashImpact]]+Transactions[[#This Row],[CostImpact]],0)</f>
        <v>0</v>
      </c>
      <c r="W1701" s="167">
        <f>Transactions[[#This Row],[Amount]]*INDEX(TransTypes[],Transactions[[#This Row],[TTR]],TT_COL_AmntSign)</f>
        <v>-110</v>
      </c>
      <c r="X1701" s="167">
        <f>IF(INDEX(TransTypes[],Transactions[[#This Row],[TTR]],TT_COL_LONGORSHORT)="S",
      IF( OR(INDEX(TransTypes[],Transactions[[#This Row],[TTR]],TT_COL_GLFlag)=1, INDEX(TransTypes[], Transactions[[#This Row],[TTR]], TT_COL_ShareTransferFlag)=1),
            Transactions[[#This Row],[CostImpact]]*-1,
            Transactions[[#This Row],[CalCashImpact]]
      ),
     0
)</f>
        <v>0</v>
      </c>
      <c r="Y1701" s="168" t="str">
        <f>VLOOKUP(Transactions[[#This Row],[Symbol]],Symbols[], COLUMN(Symbols[Currency])-COLUMN(Symbols[])+1,FALSE)</f>
        <v>CNY</v>
      </c>
    </row>
    <row r="1702" spans="1:25">
      <c r="A1702" s="155" t="s">
        <v>82</v>
      </c>
      <c r="B1702" s="156">
        <v>42965</v>
      </c>
      <c r="C1702" s="155" t="s">
        <v>115</v>
      </c>
      <c r="D1702" s="155"/>
      <c r="E1702" s="155" t="s">
        <v>730</v>
      </c>
      <c r="F1702" s="157">
        <v>3000</v>
      </c>
      <c r="G1702" s="158">
        <v>56.96</v>
      </c>
      <c r="H1702" s="157">
        <v>239.33</v>
      </c>
      <c r="I1702" s="157"/>
      <c r="J1702" s="159">
        <v>170640.67</v>
      </c>
      <c r="K1702" s="6" t="s">
        <v>641</v>
      </c>
      <c r="L1702" s="20">
        <f>IF(ISNA(MATCH(Transactions[[#This Row],[TransType]],TransTypes[TransType],0)),1,MATCH(Transactions[[#This Row],[TransType]],TransTypes[TransType],0))</f>
        <v>3</v>
      </c>
      <c r="M1702" s="160">
        <f>IF( AND( INDEX(TransTypes[],Transactions[[#This Row],[TTR]],TT_COL_GLFlag)=1, INDEX(TransTypes[],Transactions[[#This Row],[TTR]],TT_COL_LONGORSHORT)="S" ),
      Transactions[[#This Row],[PL]],
      IF(INDEX(TransTypes[],Transactions[[#This Row],[TTR]],TT_COL_LONGORSHORT)="S",0,Transactions[[#This Row],[CalCashImpact]])
)</f>
        <v>170640.67</v>
      </c>
      <c r="N1702" s="161">
        <f>IF(VLOOKUP(Transactions[[#This Row],[Symbol]],Symbols[],COLUMN(Symbols[Currency])-COLUMN(Symbols[])+1,FALSE)=
       VLOOKUP(Transactions[[#This Row],[Account]],Accounts[],COLUMN(Accounts[Currency])-COLUMN(Accounts[])+1,FALSE),
     Transactions[[#This Row],[OrigCashImpact]],
     0
)</f>
        <v>170640.67</v>
      </c>
      <c r="O17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1073274.83</v>
      </c>
      <c r="P17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7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702" s="41">
        <f>ROW()</f>
        <v>1702</v>
      </c>
      <c r="S17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-158275.28599999999</v>
      </c>
      <c r="T17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633101.14399999997</v>
      </c>
      <c r="U17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15000</v>
      </c>
      <c r="V1702" s="166">
        <f>IF(INDEX(TransTypes[],Transactions[[#This Row],[TTR]],TT_COL_GLFlag)=1,Transactions[[#This Row],[CalCashImpact]]+Transactions[[#This Row],[CostImpact]],0)</f>
        <v>12365.38400000002</v>
      </c>
      <c r="W1702" s="167">
        <f>Transactions[[#This Row],[Amount]]*INDEX(TransTypes[],Transactions[[#This Row],[TTR]],TT_COL_AmntSign)</f>
        <v>170640.67</v>
      </c>
      <c r="X1702" s="167">
        <f>IF(INDEX(TransTypes[],Transactions[[#This Row],[TTR]],TT_COL_LONGORSHORT)="S",
      IF( OR(INDEX(TransTypes[],Transactions[[#This Row],[TTR]],TT_COL_GLFlag)=1, INDEX(TransTypes[], Transactions[[#This Row],[TTR]], TT_COL_ShareTransferFlag)=1),
            Transactions[[#This Row],[CostImpact]]*-1,
            Transactions[[#This Row],[CalCashImpact]]
      ),
     0
)</f>
        <v>0</v>
      </c>
      <c r="Y1702" s="168" t="str">
        <f>VLOOKUP(Transactions[[#This Row],[Symbol]],Symbols[], COLUMN(Symbols[Currency])-COLUMN(Symbols[])+1,FALSE)</f>
        <v>CNY</v>
      </c>
    </row>
    <row r="1703" spans="1:25">
      <c r="A1703" s="155" t="s">
        <v>82</v>
      </c>
      <c r="B1703" s="156">
        <v>42965</v>
      </c>
      <c r="C1703" s="155" t="s">
        <v>113</v>
      </c>
      <c r="D1703" s="155"/>
      <c r="E1703" s="155" t="s">
        <v>468</v>
      </c>
      <c r="F1703" s="157">
        <v>10000</v>
      </c>
      <c r="G1703" s="158">
        <v>52.713000000000001</v>
      </c>
      <c r="H1703" s="157">
        <v>221.41</v>
      </c>
      <c r="I1703" s="157"/>
      <c r="J1703" s="159">
        <v>527351.41</v>
      </c>
      <c r="K1703" s="6" t="s">
        <v>641</v>
      </c>
      <c r="L1703" s="20">
        <f>IF(ISNA(MATCH(Transactions[[#This Row],[TransType]],TransTypes[TransType],0)),1,MATCH(Transactions[[#This Row],[TransType]],TransTypes[TransType],0))</f>
        <v>2</v>
      </c>
      <c r="M1703" s="160">
        <f>IF( AND( INDEX(TransTypes[],Transactions[[#This Row],[TTR]],TT_COL_GLFlag)=1, INDEX(TransTypes[],Transactions[[#This Row],[TTR]],TT_COL_LONGORSHORT)="S" ),
      Transactions[[#This Row],[PL]],
      IF(INDEX(TransTypes[],Transactions[[#This Row],[TTR]],TT_COL_LONGORSHORT)="S",0,Transactions[[#This Row],[CalCashImpact]])
)</f>
        <v>-527351.41</v>
      </c>
      <c r="N1703" s="161">
        <f>IF(VLOOKUP(Transactions[[#This Row],[Symbol]],Symbols[],COLUMN(Symbols[Currency])-COLUMN(Symbols[])+1,FALSE)=
       VLOOKUP(Transactions[[#This Row],[Account]],Accounts[],COLUMN(Accounts[Currency])-COLUMN(Accounts[])+1,FALSE),
     Transactions[[#This Row],[OrigCashImpact]],
     0
)</f>
        <v>-527351.41</v>
      </c>
      <c r="O17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545923.42000000004</v>
      </c>
      <c r="P17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7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v>
      </c>
      <c r="R1703" s="41">
        <f>ROW()</f>
        <v>1703</v>
      </c>
      <c r="S17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527351.41</v>
      </c>
      <c r="T17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674035.35242857155</v>
      </c>
      <c r="U17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703" s="166">
        <f>IF(INDEX(TransTypes[],Transactions[[#This Row],[TTR]],TT_COL_GLFlag)=1,Transactions[[#This Row],[CalCashImpact]]+Transactions[[#This Row],[CostImpact]],0)</f>
        <v>0</v>
      </c>
      <c r="W1703" s="167">
        <f>Transactions[[#This Row],[Amount]]*INDEX(TransTypes[],Transactions[[#This Row],[TTR]],TT_COL_AmntSign)</f>
        <v>-527351.41</v>
      </c>
      <c r="X1703" s="167">
        <f>IF(INDEX(TransTypes[],Transactions[[#This Row],[TTR]],TT_COL_LONGORSHORT)="S",
      IF( OR(INDEX(TransTypes[],Transactions[[#This Row],[TTR]],TT_COL_GLFlag)=1, INDEX(TransTypes[], Transactions[[#This Row],[TTR]], TT_COL_ShareTransferFlag)=1),
            Transactions[[#This Row],[CostImpact]]*-1,
            Transactions[[#This Row],[CalCashImpact]]
      ),
     0
)</f>
        <v>0</v>
      </c>
      <c r="Y1703" s="168" t="str">
        <f>VLOOKUP(Transactions[[#This Row],[Symbol]],Symbols[], COLUMN(Symbols[Currency])-COLUMN(Symbols[])+1,FALSE)</f>
        <v>CNY</v>
      </c>
    </row>
    <row r="1704" spans="1:25">
      <c r="A1704" s="155" t="s">
        <v>82</v>
      </c>
      <c r="B1704" s="156">
        <v>42965</v>
      </c>
      <c r="C1704" s="155" t="s">
        <v>115</v>
      </c>
      <c r="D1704" s="155"/>
      <c r="E1704" s="155" t="s">
        <v>480</v>
      </c>
      <c r="F1704" s="157">
        <v>3000</v>
      </c>
      <c r="G1704" s="158">
        <v>53.76</v>
      </c>
      <c r="H1704" s="157">
        <v>229.03</v>
      </c>
      <c r="I1704" s="157"/>
      <c r="J1704" s="159">
        <v>161050.97</v>
      </c>
      <c r="K1704" s="6" t="s">
        <v>641</v>
      </c>
      <c r="L1704" s="20">
        <f>IF(ISNA(MATCH(Transactions[[#This Row],[TransType]],TransTypes[TransType],0)),1,MATCH(Transactions[[#This Row],[TransType]],TransTypes[TransType],0))</f>
        <v>3</v>
      </c>
      <c r="M1704" s="160">
        <f>IF( AND( INDEX(TransTypes[],Transactions[[#This Row],[TTR]],TT_COL_GLFlag)=1, INDEX(TransTypes[],Transactions[[#This Row],[TTR]],TT_COL_LONGORSHORT)="S" ),
      Transactions[[#This Row],[PL]],
      IF(INDEX(TransTypes[],Transactions[[#This Row],[TTR]],TT_COL_LONGORSHORT)="S",0,Transactions[[#This Row],[CalCashImpact]])
)</f>
        <v>161050.97</v>
      </c>
      <c r="N1704" s="161">
        <f>IF(VLOOKUP(Transactions[[#This Row],[Symbol]],Symbols[],COLUMN(Symbols[Currency])-COLUMN(Symbols[])+1,FALSE)=
       VLOOKUP(Transactions[[#This Row],[Account]],Accounts[],COLUMN(Accounts[Currency])-COLUMN(Accounts[])+1,FALSE),
     Transactions[[#This Row],[OrigCashImpact]],
     0
)</f>
        <v>161050.97</v>
      </c>
      <c r="O17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706974.39</v>
      </c>
      <c r="P17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7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704" s="41">
        <f>ROW()</f>
        <v>1704</v>
      </c>
      <c r="S17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-137818.91956284153</v>
      </c>
      <c r="T17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275637.83912568307</v>
      </c>
      <c r="U17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704" s="166">
        <f>IF(INDEX(TransTypes[],Transactions[[#This Row],[TTR]],TT_COL_GLFlag)=1,Transactions[[#This Row],[CalCashImpact]]+Transactions[[#This Row],[CostImpact]],0)</f>
        <v>23232.050437158468</v>
      </c>
      <c r="W1704" s="167">
        <f>Transactions[[#This Row],[Amount]]*INDEX(TransTypes[],Transactions[[#This Row],[TTR]],TT_COL_AmntSign)</f>
        <v>161050.97</v>
      </c>
      <c r="X1704" s="167">
        <f>IF(INDEX(TransTypes[],Transactions[[#This Row],[TTR]],TT_COL_LONGORSHORT)="S",
      IF( OR(INDEX(TransTypes[],Transactions[[#This Row],[TTR]],TT_COL_GLFlag)=1, INDEX(TransTypes[], Transactions[[#This Row],[TTR]], TT_COL_ShareTransferFlag)=1),
            Transactions[[#This Row],[CostImpact]]*-1,
            Transactions[[#This Row],[CalCashImpact]]
      ),
     0
)</f>
        <v>0</v>
      </c>
      <c r="Y1704" s="168" t="str">
        <f>VLOOKUP(Transactions[[#This Row],[Symbol]],Symbols[], COLUMN(Symbols[Currency])-COLUMN(Symbols[])+1,FALSE)</f>
        <v>CNY</v>
      </c>
    </row>
    <row r="1705" spans="1:25">
      <c r="A1705" s="155" t="s">
        <v>82</v>
      </c>
      <c r="B1705" s="156">
        <v>42968</v>
      </c>
      <c r="C1705" s="155" t="s">
        <v>115</v>
      </c>
      <c r="D1705" s="155"/>
      <c r="E1705" s="155" t="s">
        <v>474</v>
      </c>
      <c r="F1705" s="157">
        <v>32000</v>
      </c>
      <c r="G1705" s="158">
        <v>18.882000000000001</v>
      </c>
      <c r="H1705" s="157">
        <v>845.93</v>
      </c>
      <c r="I1705" s="157"/>
      <c r="J1705" s="159">
        <v>603378.06999999995</v>
      </c>
      <c r="K1705" s="6" t="s">
        <v>641</v>
      </c>
      <c r="L1705" s="20">
        <f>IF(ISNA(MATCH(Transactions[[#This Row],[TransType]],TransTypes[TransType],0)),1,MATCH(Transactions[[#This Row],[TransType]],TransTypes[TransType],0))</f>
        <v>3</v>
      </c>
      <c r="M1705" s="160">
        <f>IF( AND( INDEX(TransTypes[],Transactions[[#This Row],[TTR]],TT_COL_GLFlag)=1, INDEX(TransTypes[],Transactions[[#This Row],[TTR]],TT_COL_LONGORSHORT)="S" ),
      Transactions[[#This Row],[PL]],
      IF(INDEX(TransTypes[],Transactions[[#This Row],[TTR]],TT_COL_LONGORSHORT)="S",0,Transactions[[#This Row],[CalCashImpact]])
)</f>
        <v>603378.06999999995</v>
      </c>
      <c r="N1705" s="161">
        <f>IF(VLOOKUP(Transactions[[#This Row],[Symbol]],Symbols[],COLUMN(Symbols[Currency])-COLUMN(Symbols[])+1,FALSE)=
       VLOOKUP(Transactions[[#This Row],[Account]],Accounts[],COLUMN(Accounts[Currency])-COLUMN(Accounts[])+1,FALSE),
     Transactions[[#This Row],[OrigCashImpact]],
     0
)</f>
        <v>603378.06999999995</v>
      </c>
      <c r="O17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1310352.46</v>
      </c>
      <c r="P17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-32000</v>
      </c>
      <c r="Q17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705" s="41">
        <f>ROW()</f>
        <v>1705</v>
      </c>
      <c r="S17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-588772.03473684215</v>
      </c>
      <c r="T17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110394.75651315786</v>
      </c>
      <c r="U17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38000</v>
      </c>
      <c r="V1705" s="166">
        <f>IF(INDEX(TransTypes[],Transactions[[#This Row],[TTR]],TT_COL_GLFlag)=1,Transactions[[#This Row],[CalCashImpact]]+Transactions[[#This Row],[CostImpact]],0)</f>
        <v>14606.035263157799</v>
      </c>
      <c r="W1705" s="167">
        <f>Transactions[[#This Row],[Amount]]*INDEX(TransTypes[],Transactions[[#This Row],[TTR]],TT_COL_AmntSign)</f>
        <v>603378.06999999995</v>
      </c>
      <c r="X1705" s="167">
        <f>IF(INDEX(TransTypes[],Transactions[[#This Row],[TTR]],TT_COL_LONGORSHORT)="S",
      IF( OR(INDEX(TransTypes[],Transactions[[#This Row],[TTR]],TT_COL_GLFlag)=1, INDEX(TransTypes[], Transactions[[#This Row],[TTR]], TT_COL_ShareTransferFlag)=1),
            Transactions[[#This Row],[CostImpact]]*-1,
            Transactions[[#This Row],[CalCashImpact]]
      ),
     0
)</f>
        <v>0</v>
      </c>
      <c r="Y1705" s="168" t="str">
        <f>VLOOKUP(Transactions[[#This Row],[Symbol]],Symbols[], COLUMN(Symbols[Currency])-COLUMN(Symbols[])+1,FALSE)</f>
        <v>CNY</v>
      </c>
    </row>
    <row r="1706" spans="1:25">
      <c r="A1706" s="155" t="s">
        <v>82</v>
      </c>
      <c r="B1706" s="156">
        <v>42968</v>
      </c>
      <c r="C1706" s="155" t="s">
        <v>115</v>
      </c>
      <c r="D1706" s="155"/>
      <c r="E1706" s="155" t="s">
        <v>730</v>
      </c>
      <c r="F1706" s="157">
        <v>6000</v>
      </c>
      <c r="G1706" s="158">
        <v>55.64</v>
      </c>
      <c r="H1706" s="157">
        <v>467.38</v>
      </c>
      <c r="I1706" s="157"/>
      <c r="J1706" s="159">
        <v>333372.62</v>
      </c>
      <c r="K1706" s="6" t="s">
        <v>641</v>
      </c>
      <c r="L1706" s="20">
        <f>IF(ISNA(MATCH(Transactions[[#This Row],[TransType]],TransTypes[TransType],0)),1,MATCH(Transactions[[#This Row],[TransType]],TransTypes[TransType],0))</f>
        <v>3</v>
      </c>
      <c r="M1706" s="160">
        <f>IF( AND( INDEX(TransTypes[],Transactions[[#This Row],[TTR]],TT_COL_GLFlag)=1, INDEX(TransTypes[],Transactions[[#This Row],[TTR]],TT_COL_LONGORSHORT)="S" ),
      Transactions[[#This Row],[PL]],
      IF(INDEX(TransTypes[],Transactions[[#This Row],[TTR]],TT_COL_LONGORSHORT)="S",0,Transactions[[#This Row],[CalCashImpact]])
)</f>
        <v>333372.62</v>
      </c>
      <c r="N1706" s="161">
        <f>IF(VLOOKUP(Transactions[[#This Row],[Symbol]],Symbols[],COLUMN(Symbols[Currency])-COLUMN(Symbols[])+1,FALSE)=
       VLOOKUP(Transactions[[#This Row],[Account]],Accounts[],COLUMN(Accounts[Currency])-COLUMN(Accounts[])+1,FALSE),
     Transactions[[#This Row],[OrigCashImpact]],
     0
)</f>
        <v>333372.62</v>
      </c>
      <c r="O17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1643725.08</v>
      </c>
      <c r="P17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7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706" s="41">
        <f>ROW()</f>
        <v>1706</v>
      </c>
      <c r="S17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-316550.57199999999</v>
      </c>
      <c r="T17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316550.57199999999</v>
      </c>
      <c r="U17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706" s="166">
        <f>IF(INDEX(TransTypes[],Transactions[[#This Row],[TTR]],TT_COL_GLFlag)=1,Transactions[[#This Row],[CalCashImpact]]+Transactions[[#This Row],[CostImpact]],0)</f>
        <v>16822.04800000001</v>
      </c>
      <c r="W1706" s="167">
        <f>Transactions[[#This Row],[Amount]]*INDEX(TransTypes[],Transactions[[#This Row],[TTR]],TT_COL_AmntSign)</f>
        <v>333372.62</v>
      </c>
      <c r="X1706" s="167">
        <f>IF(INDEX(TransTypes[],Transactions[[#This Row],[TTR]],TT_COL_LONGORSHORT)="S",
      IF( OR(INDEX(TransTypes[],Transactions[[#This Row],[TTR]],TT_COL_GLFlag)=1, INDEX(TransTypes[], Transactions[[#This Row],[TTR]], TT_COL_ShareTransferFlag)=1),
            Transactions[[#This Row],[CostImpact]]*-1,
            Transactions[[#This Row],[CalCashImpact]]
      ),
     0
)</f>
        <v>0</v>
      </c>
      <c r="Y1706" s="168" t="str">
        <f>VLOOKUP(Transactions[[#This Row],[Symbol]],Symbols[], COLUMN(Symbols[Currency])-COLUMN(Symbols[])+1,FALSE)</f>
        <v>CNY</v>
      </c>
    </row>
    <row r="1707" spans="1:25">
      <c r="A1707" s="155" t="s">
        <v>82</v>
      </c>
      <c r="B1707" s="156">
        <v>42968</v>
      </c>
      <c r="C1707" s="155" t="s">
        <v>115</v>
      </c>
      <c r="D1707" s="155"/>
      <c r="E1707" s="155" t="s">
        <v>468</v>
      </c>
      <c r="F1707" s="157">
        <v>7000</v>
      </c>
      <c r="G1707" s="158">
        <v>53.26</v>
      </c>
      <c r="H1707" s="157">
        <v>529.5</v>
      </c>
      <c r="I1707" s="157"/>
      <c r="J1707" s="159">
        <v>372290.5</v>
      </c>
      <c r="K1707" s="6" t="s">
        <v>641</v>
      </c>
      <c r="L1707" s="20">
        <f>IF(ISNA(MATCH(Transactions[[#This Row],[TransType]],TransTypes[TransType],0)),1,MATCH(Transactions[[#This Row],[TransType]],TransTypes[TransType],0))</f>
        <v>3</v>
      </c>
      <c r="M1707" s="160">
        <f>IF( AND( INDEX(TransTypes[],Transactions[[#This Row],[TTR]],TT_COL_GLFlag)=1, INDEX(TransTypes[],Transactions[[#This Row],[TTR]],TT_COL_LONGORSHORT)="S" ),
      Transactions[[#This Row],[PL]],
      IF(INDEX(TransTypes[],Transactions[[#This Row],[TTR]],TT_COL_LONGORSHORT)="S",0,Transactions[[#This Row],[CalCashImpact]])
)</f>
        <v>372290.5</v>
      </c>
      <c r="N1707" s="161">
        <f>IF(VLOOKUP(Transactions[[#This Row],[Symbol]],Symbols[],COLUMN(Symbols[Currency])-COLUMN(Symbols[])+1,FALSE)=
       VLOOKUP(Transactions[[#This Row],[Account]],Accounts[],COLUMN(Accounts[Currency])-COLUMN(Accounts[])+1,FALSE),
     Transactions[[#This Row],[OrigCashImpact]],
     0
)</f>
        <v>372290.5</v>
      </c>
      <c r="O17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2016015.58</v>
      </c>
      <c r="P17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17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707" s="41">
        <f>ROW()</f>
        <v>1707</v>
      </c>
      <c r="S17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-337017.67621428578</v>
      </c>
      <c r="T17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337017.67621428578</v>
      </c>
      <c r="U17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707" s="166">
        <f>IF(INDEX(TransTypes[],Transactions[[#This Row],[TTR]],TT_COL_GLFlag)=1,Transactions[[#This Row],[CalCashImpact]]+Transactions[[#This Row],[CostImpact]],0)</f>
        <v>35272.823785714223</v>
      </c>
      <c r="W1707" s="167">
        <f>Transactions[[#This Row],[Amount]]*INDEX(TransTypes[],Transactions[[#This Row],[TTR]],TT_COL_AmntSign)</f>
        <v>372290.5</v>
      </c>
      <c r="X1707" s="167">
        <f>IF(INDEX(TransTypes[],Transactions[[#This Row],[TTR]],TT_COL_LONGORSHORT)="S",
      IF( OR(INDEX(TransTypes[],Transactions[[#This Row],[TTR]],TT_COL_GLFlag)=1, INDEX(TransTypes[], Transactions[[#This Row],[TTR]], TT_COL_ShareTransferFlag)=1),
            Transactions[[#This Row],[CostImpact]]*-1,
            Transactions[[#This Row],[CalCashImpact]]
      ),
     0
)</f>
        <v>0</v>
      </c>
      <c r="Y1707" s="168" t="str">
        <f>VLOOKUP(Transactions[[#This Row],[Symbol]],Symbols[], COLUMN(Symbols[Currency])-COLUMN(Symbols[])+1,FALSE)</f>
        <v>CNY</v>
      </c>
    </row>
    <row r="1708" spans="1:25">
      <c r="A1708" s="155" t="s">
        <v>82</v>
      </c>
      <c r="B1708" s="156">
        <v>42968</v>
      </c>
      <c r="C1708" s="155" t="s">
        <v>115</v>
      </c>
      <c r="D1708" s="155"/>
      <c r="E1708" s="155" t="s">
        <v>646</v>
      </c>
      <c r="F1708" s="157">
        <v>5000</v>
      </c>
      <c r="G1708" s="158">
        <v>327</v>
      </c>
      <c r="H1708" s="157">
        <v>6703.96</v>
      </c>
      <c r="I1708" s="157"/>
      <c r="J1708" s="159">
        <v>1628296.04</v>
      </c>
      <c r="K1708" s="6" t="s">
        <v>641</v>
      </c>
      <c r="L1708" s="20">
        <f>IF(ISNA(MATCH(Transactions[[#This Row],[TransType]],TransTypes[TransType],0)),1,MATCH(Transactions[[#This Row],[TransType]],TransTypes[TransType],0))</f>
        <v>3</v>
      </c>
      <c r="M1708" s="160">
        <f>IF( AND( INDEX(TransTypes[],Transactions[[#This Row],[TTR]],TT_COL_GLFlag)=1, INDEX(TransTypes[],Transactions[[#This Row],[TTR]],TT_COL_LONGORSHORT)="S" ),
      Transactions[[#This Row],[PL]],
      IF(INDEX(TransTypes[],Transactions[[#This Row],[TTR]],TT_COL_LONGORSHORT)="S",0,Transactions[[#This Row],[CalCashImpact]])
)</f>
        <v>1628296.04</v>
      </c>
      <c r="N1708" s="161">
        <f>IF(VLOOKUP(Transactions[[#This Row],[Symbol]],Symbols[],COLUMN(Symbols[Currency])-COLUMN(Symbols[])+1,FALSE)=
       VLOOKUP(Transactions[[#This Row],[Account]],Accounts[],COLUMN(Accounts[Currency])-COLUMN(Accounts[])+1,FALSE),
     Transactions[[#This Row],[OrigCashImpact]],
     0
)</f>
        <v>0</v>
      </c>
      <c r="O17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2016015.58</v>
      </c>
      <c r="P17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7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708" s="41">
        <f>ROW()</f>
        <v>1708</v>
      </c>
      <c r="S17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-1073968.1576923076</v>
      </c>
      <c r="T17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1718349.0523076924</v>
      </c>
      <c r="U17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13000</v>
      </c>
      <c r="V1708" s="166">
        <f>IF(INDEX(TransTypes[],Transactions[[#This Row],[TTR]],TT_COL_GLFlag)=1,Transactions[[#This Row],[CalCashImpact]]+Transactions[[#This Row],[CostImpact]],0)</f>
        <v>554327.88230769243</v>
      </c>
      <c r="W1708" s="167">
        <f>Transactions[[#This Row],[Amount]]*INDEX(TransTypes[],Transactions[[#This Row],[TTR]],TT_COL_AmntSign)</f>
        <v>1628296.04</v>
      </c>
      <c r="X1708" s="167">
        <f>IF(INDEX(TransTypes[],Transactions[[#This Row],[TTR]],TT_COL_LONGORSHORT)="S",
      IF( OR(INDEX(TransTypes[],Transactions[[#This Row],[TTR]],TT_COL_GLFlag)=1, INDEX(TransTypes[], Transactions[[#This Row],[TTR]], TT_COL_ShareTransferFlag)=1),
            Transactions[[#This Row],[CostImpact]]*-1,
            Transactions[[#This Row],[CalCashImpact]]
      ),
     0
)</f>
        <v>0</v>
      </c>
      <c r="Y1708" s="168" t="str">
        <f>VLOOKUP(Transactions[[#This Row],[Symbol]],Symbols[], COLUMN(Symbols[Currency])-COLUMN(Symbols[])+1,FALSE)</f>
        <v>HKD</v>
      </c>
    </row>
    <row r="1709" spans="1:25">
      <c r="A1709" s="155" t="s">
        <v>82</v>
      </c>
      <c r="B1709" s="156">
        <v>42968</v>
      </c>
      <c r="C1709" s="155" t="s">
        <v>156</v>
      </c>
      <c r="D1709" s="155"/>
      <c r="E1709" s="155" t="s">
        <v>210</v>
      </c>
      <c r="F1709" s="157">
        <v>1390906.78</v>
      </c>
      <c r="G1709" s="158">
        <f>Transactions[[#This Row],[Amount]]/Transactions[[#This Row],[Qty]]</f>
        <v>1.170672300554894</v>
      </c>
      <c r="H1709" s="157"/>
      <c r="I1709" s="157"/>
      <c r="J1709" s="159">
        <v>1628296.04</v>
      </c>
      <c r="K1709" s="6" t="s">
        <v>641</v>
      </c>
      <c r="L1709" s="20">
        <f>IF(ISNA(MATCH(Transactions[[#This Row],[TransType]],TransTypes[TransType],0)),1,MATCH(Transactions[[#This Row],[TransType]],TransTypes[TransType],0))</f>
        <v>17</v>
      </c>
      <c r="M1709" s="160">
        <f>IF( AND( INDEX(TransTypes[],Transactions[[#This Row],[TTR]],TT_COL_GLFlag)=1, INDEX(TransTypes[],Transactions[[#This Row],[TTR]],TT_COL_LONGORSHORT)="S" ),
      Transactions[[#This Row],[PL]],
      IF(INDEX(TransTypes[],Transactions[[#This Row],[TTR]],TT_COL_LONGORSHORT)="S",0,Transactions[[#This Row],[CalCashImpact]])
)</f>
        <v>-1628296.04</v>
      </c>
      <c r="N1709" s="161">
        <f>IF(VLOOKUP(Transactions[[#This Row],[Symbol]],Symbols[],COLUMN(Symbols[Currency])-COLUMN(Symbols[])+1,FALSE)=
       VLOOKUP(Transactions[[#This Row],[Account]],Accounts[],COLUMN(Accounts[Currency])-COLUMN(Accounts[])+1,FALSE),
     Transactions[[#This Row],[OrigCashImpact]],
     0
)</f>
        <v>0</v>
      </c>
      <c r="O17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2016015.58</v>
      </c>
      <c r="P17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09" s="41">
        <f>ROW()</f>
        <v>1709</v>
      </c>
      <c r="S17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09" s="166">
        <f>IF(INDEX(TransTypes[],Transactions[[#This Row],[TTR]],TT_COL_GLFlag)=1,Transactions[[#This Row],[CalCashImpact]]+Transactions[[#This Row],[CostImpact]],0)</f>
        <v>0</v>
      </c>
      <c r="W1709" s="167">
        <f>Transactions[[#This Row],[Amount]]*INDEX(TransTypes[],Transactions[[#This Row],[TTR]],TT_COL_AmntSign)</f>
        <v>-1628296.04</v>
      </c>
      <c r="X1709" s="167">
        <f>IF(INDEX(TransTypes[],Transactions[[#This Row],[TTR]],TT_COL_LONGORSHORT)="S",
      IF( OR(INDEX(TransTypes[],Transactions[[#This Row],[TTR]],TT_COL_GLFlag)=1, INDEX(TransTypes[], Transactions[[#This Row],[TTR]], TT_COL_ShareTransferFlag)=1),
            Transactions[[#This Row],[CostImpact]]*-1,
            Transactions[[#This Row],[CalCashImpact]]
      ),
     0
)</f>
        <v>0</v>
      </c>
      <c r="Y1709" s="168" t="str">
        <f>VLOOKUP(Transactions[[#This Row],[Symbol]],Symbols[], COLUMN(Symbols[Currency])-COLUMN(Symbols[])+1,FALSE)</f>
        <v>HKD</v>
      </c>
    </row>
    <row r="1710" spans="1:25">
      <c r="A1710" s="155" t="s">
        <v>82</v>
      </c>
      <c r="B1710" s="156">
        <v>42968</v>
      </c>
      <c r="C1710" s="155" t="s">
        <v>239</v>
      </c>
      <c r="D1710" s="155"/>
      <c r="E1710" s="155" t="s">
        <v>211</v>
      </c>
      <c r="F1710" s="157">
        <v>1390906.78</v>
      </c>
      <c r="G1710" s="158">
        <v>1</v>
      </c>
      <c r="H1710" s="157"/>
      <c r="I1710" s="157"/>
      <c r="J1710" s="159">
        <v>1390906.78</v>
      </c>
      <c r="K1710" s="6" t="s">
        <v>641</v>
      </c>
      <c r="L1710" s="20">
        <f>IF(ISNA(MATCH(Transactions[[#This Row],[TransType]],TransTypes[TransType],0)),1,MATCH(Transactions[[#This Row],[TransType]],TransTypes[TransType],0))</f>
        <v>18</v>
      </c>
      <c r="M1710" s="160">
        <f>IF( AND( INDEX(TransTypes[],Transactions[[#This Row],[TTR]],TT_COL_GLFlag)=1, INDEX(TransTypes[],Transactions[[#This Row],[TTR]],TT_COL_LONGORSHORT)="S" ),
      Transactions[[#This Row],[PL]],
      IF(INDEX(TransTypes[],Transactions[[#This Row],[TTR]],TT_COL_LONGORSHORT)="S",0,Transactions[[#This Row],[CalCashImpact]])
)</f>
        <v>1390906.78</v>
      </c>
      <c r="N1710" s="161">
        <f>IF(VLOOKUP(Transactions[[#This Row],[Symbol]],Symbols[],COLUMN(Symbols[Currency])-COLUMN(Symbols[])+1,FALSE)=
       VLOOKUP(Transactions[[#This Row],[Account]],Accounts[],COLUMN(Accounts[Currency])-COLUMN(Accounts[])+1,FALSE),
     Transactions[[#This Row],[OrigCashImpact]],
     0
)</f>
        <v>1390906.78</v>
      </c>
      <c r="O17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3406922.36</v>
      </c>
      <c r="P17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10" s="41">
        <f>ROW()</f>
        <v>1710</v>
      </c>
      <c r="S17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10" s="166">
        <f>IF(INDEX(TransTypes[],Transactions[[#This Row],[TTR]],TT_COL_GLFlag)=1,Transactions[[#This Row],[CalCashImpact]]+Transactions[[#This Row],[CostImpact]],0)</f>
        <v>0</v>
      </c>
      <c r="W1710" s="167">
        <f>Transactions[[#This Row],[Amount]]*INDEX(TransTypes[],Transactions[[#This Row],[TTR]],TT_COL_AmntSign)</f>
        <v>1390906.78</v>
      </c>
      <c r="X1710" s="167">
        <f>IF(INDEX(TransTypes[],Transactions[[#This Row],[TTR]],TT_COL_LONGORSHORT)="S",
      IF( OR(INDEX(TransTypes[],Transactions[[#This Row],[TTR]],TT_COL_GLFlag)=1, INDEX(TransTypes[], Transactions[[#This Row],[TTR]], TT_COL_ShareTransferFlag)=1),
            Transactions[[#This Row],[CostImpact]]*-1,
            Transactions[[#This Row],[CalCashImpact]]
      ),
     0
)</f>
        <v>0</v>
      </c>
      <c r="Y1710" s="168" t="str">
        <f>VLOOKUP(Transactions[[#This Row],[Symbol]],Symbols[], COLUMN(Symbols[Currency])-COLUMN(Symbols[])+1,FALSE)</f>
        <v>CNY</v>
      </c>
    </row>
    <row r="1711" spans="1:25">
      <c r="A1711" s="155" t="s">
        <v>82</v>
      </c>
      <c r="B1711" s="156">
        <v>42969</v>
      </c>
      <c r="C1711" s="155" t="s">
        <v>123</v>
      </c>
      <c r="D1711" s="155"/>
      <c r="E1711" s="155" t="s">
        <v>468</v>
      </c>
      <c r="F1711" s="157"/>
      <c r="G1711" s="158"/>
      <c r="H1711" s="157"/>
      <c r="I1711" s="157"/>
      <c r="J1711" s="159">
        <v>220</v>
      </c>
      <c r="K1711" s="6"/>
      <c r="L1711" s="20">
        <f>IF(ISNA(MATCH(Transactions[[#This Row],[TransType]],TransTypes[TransType],0)),1,MATCH(Transactions[[#This Row],[TransType]],TransTypes[TransType],0))</f>
        <v>7</v>
      </c>
      <c r="M1711" s="160">
        <f>IF( AND( INDEX(TransTypes[],Transactions[[#This Row],[TTR]],TT_COL_GLFlag)=1, INDEX(TransTypes[],Transactions[[#This Row],[TTR]],TT_COL_LONGORSHORT)="S" ),
      Transactions[[#This Row],[PL]],
      IF(INDEX(TransTypes[],Transactions[[#This Row],[TTR]],TT_COL_LONGORSHORT)="S",0,Transactions[[#This Row],[CalCashImpact]])
)</f>
        <v>-220</v>
      </c>
      <c r="N1711" s="161">
        <f>IF(VLOOKUP(Transactions[[#This Row],[Symbol]],Symbols[],COLUMN(Symbols[Currency])-COLUMN(Symbols[])+1,FALSE)=
       VLOOKUP(Transactions[[#This Row],[Account]],Accounts[],COLUMN(Accounts[Currency])-COLUMN(Accounts[])+1,FALSE),
     Transactions[[#This Row],[OrigCashImpact]],
     0
)</f>
        <v>-220</v>
      </c>
      <c r="O17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3406702.3600000003</v>
      </c>
      <c r="P17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711" s="41">
        <f>ROW()</f>
        <v>1711</v>
      </c>
      <c r="S17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337017.67621428578</v>
      </c>
      <c r="U17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11" s="166">
        <f>IF(INDEX(TransTypes[],Transactions[[#This Row],[TTR]],TT_COL_GLFlag)=1,Transactions[[#This Row],[CalCashImpact]]+Transactions[[#This Row],[CostImpact]],0)</f>
        <v>0</v>
      </c>
      <c r="W1711" s="167">
        <f>Transactions[[#This Row],[Amount]]*INDEX(TransTypes[],Transactions[[#This Row],[TTR]],TT_COL_AmntSign)</f>
        <v>-220</v>
      </c>
      <c r="X1711" s="167">
        <f>IF(INDEX(TransTypes[],Transactions[[#This Row],[TTR]],TT_COL_LONGORSHORT)="S",
      IF( OR(INDEX(TransTypes[],Transactions[[#This Row],[TTR]],TT_COL_GLFlag)=1, INDEX(TransTypes[], Transactions[[#This Row],[TTR]], TT_COL_ShareTransferFlag)=1),
            Transactions[[#This Row],[CostImpact]]*-1,
            Transactions[[#This Row],[CalCashImpact]]
      ),
     0
)</f>
        <v>0</v>
      </c>
      <c r="Y1711" s="168" t="str">
        <f>VLOOKUP(Transactions[[#This Row],[Symbol]],Symbols[], COLUMN(Symbols[Currency])-COLUMN(Symbols[])+1,FALSE)</f>
        <v>CNY</v>
      </c>
    </row>
    <row r="1712" spans="1:25">
      <c r="A1712" s="155" t="s">
        <v>82</v>
      </c>
      <c r="B1712" s="156">
        <v>42969</v>
      </c>
      <c r="C1712" s="155" t="s">
        <v>115</v>
      </c>
      <c r="D1712" s="155"/>
      <c r="E1712" s="155" t="s">
        <v>463</v>
      </c>
      <c r="F1712" s="157">
        <v>5000</v>
      </c>
      <c r="G1712" s="158">
        <v>25.21</v>
      </c>
      <c r="H1712" s="157">
        <v>178.99</v>
      </c>
      <c r="I1712" s="157"/>
      <c r="J1712" s="159">
        <v>125871.01</v>
      </c>
      <c r="K1712" s="6" t="s">
        <v>641</v>
      </c>
      <c r="L1712" s="20">
        <f>IF(ISNA(MATCH(Transactions[[#This Row],[TransType]],TransTypes[TransType],0)),1,MATCH(Transactions[[#This Row],[TransType]],TransTypes[TransType],0))</f>
        <v>3</v>
      </c>
      <c r="M1712" s="160">
        <f>IF( AND( INDEX(TransTypes[],Transactions[[#This Row],[TTR]],TT_COL_GLFlag)=1, INDEX(TransTypes[],Transactions[[#This Row],[TTR]],TT_COL_LONGORSHORT)="S" ),
      Transactions[[#This Row],[PL]],
      IF(INDEX(TransTypes[],Transactions[[#This Row],[TTR]],TT_COL_LONGORSHORT)="S",0,Transactions[[#This Row],[CalCashImpact]])
)</f>
        <v>125871.01</v>
      </c>
      <c r="N1712" s="161">
        <f>IF(VLOOKUP(Transactions[[#This Row],[Symbol]],Symbols[],COLUMN(Symbols[Currency])-COLUMN(Symbols[])+1,FALSE)=
       VLOOKUP(Transactions[[#This Row],[Account]],Accounts[],COLUMN(Accounts[Currency])-COLUMN(Accounts[])+1,FALSE),
     Transactions[[#This Row],[OrigCashImpact]],
     0
)</f>
        <v>125871.01</v>
      </c>
      <c r="O17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3532573.37</v>
      </c>
      <c r="P17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7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712" s="41">
        <f>ROW()</f>
        <v>1712</v>
      </c>
      <c r="S17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-121300.92499999999</v>
      </c>
      <c r="T17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121300.92499999999</v>
      </c>
      <c r="U17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712" s="166">
        <f>IF(INDEX(TransTypes[],Transactions[[#This Row],[TTR]],TT_COL_GLFlag)=1,Transactions[[#This Row],[CalCashImpact]]+Transactions[[#This Row],[CostImpact]],0)</f>
        <v>4570.0850000000064</v>
      </c>
      <c r="W1712" s="167">
        <f>Transactions[[#This Row],[Amount]]*INDEX(TransTypes[],Transactions[[#This Row],[TTR]],TT_COL_AmntSign)</f>
        <v>125871.01</v>
      </c>
      <c r="X1712" s="167">
        <f>IF(INDEX(TransTypes[],Transactions[[#This Row],[TTR]],TT_COL_LONGORSHORT)="S",
      IF( OR(INDEX(TransTypes[],Transactions[[#This Row],[TTR]],TT_COL_GLFlag)=1, INDEX(TransTypes[], Transactions[[#This Row],[TTR]], TT_COL_ShareTransferFlag)=1),
            Transactions[[#This Row],[CostImpact]]*-1,
            Transactions[[#This Row],[CalCashImpact]]
      ),
     0
)</f>
        <v>0</v>
      </c>
      <c r="Y1712" s="168" t="str">
        <f>VLOOKUP(Transactions[[#This Row],[Symbol]],Symbols[], COLUMN(Symbols[Currency])-COLUMN(Symbols[])+1,FALSE)</f>
        <v>CNY</v>
      </c>
    </row>
    <row r="1713" spans="1:25">
      <c r="A1713" s="155" t="s">
        <v>82</v>
      </c>
      <c r="B1713" s="156">
        <v>42969</v>
      </c>
      <c r="C1713" s="155" t="s">
        <v>115</v>
      </c>
      <c r="D1713" s="155"/>
      <c r="E1713" s="155" t="s">
        <v>488</v>
      </c>
      <c r="F1713" s="157">
        <v>8000</v>
      </c>
      <c r="G1713" s="158">
        <v>23.6</v>
      </c>
      <c r="H1713" s="157">
        <v>264.32</v>
      </c>
      <c r="I1713" s="157"/>
      <c r="J1713" s="159">
        <v>188535.67999999999</v>
      </c>
      <c r="K1713" s="6" t="s">
        <v>641</v>
      </c>
      <c r="L1713" s="20">
        <f>IF(ISNA(MATCH(Transactions[[#This Row],[TransType]],TransTypes[TransType],0)),1,MATCH(Transactions[[#This Row],[TransType]],TransTypes[TransType],0))</f>
        <v>3</v>
      </c>
      <c r="M1713" s="160">
        <f>IF( AND( INDEX(TransTypes[],Transactions[[#This Row],[TTR]],TT_COL_GLFlag)=1, INDEX(TransTypes[],Transactions[[#This Row],[TTR]],TT_COL_LONGORSHORT)="S" ),
      Transactions[[#This Row],[PL]],
      IF(INDEX(TransTypes[],Transactions[[#This Row],[TTR]],TT_COL_LONGORSHORT)="S",0,Transactions[[#This Row],[CalCashImpact]])
)</f>
        <v>188535.67999999999</v>
      </c>
      <c r="N1713" s="161">
        <f>IF(VLOOKUP(Transactions[[#This Row],[Symbol]],Symbols[],COLUMN(Symbols[Currency])-COLUMN(Symbols[])+1,FALSE)=
       VLOOKUP(Transactions[[#This Row],[Account]],Accounts[],COLUMN(Accounts[Currency])-COLUMN(Accounts[])+1,FALSE),
     Transactions[[#This Row],[OrigCashImpact]],
     0
)</f>
        <v>188535.67999999999</v>
      </c>
      <c r="O17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3721109.0500000003</v>
      </c>
      <c r="P17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7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713" s="41">
        <f>ROW()</f>
        <v>1713</v>
      </c>
      <c r="S17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-169104.61907692309</v>
      </c>
      <c r="T17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211380.77384615384</v>
      </c>
      <c r="U17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1713" s="166">
        <f>IF(INDEX(TransTypes[],Transactions[[#This Row],[TTR]],TT_COL_GLFlag)=1,Transactions[[#This Row],[CalCashImpact]]+Transactions[[#This Row],[CostImpact]],0)</f>
        <v>19431.060923076904</v>
      </c>
      <c r="W1713" s="167">
        <f>Transactions[[#This Row],[Amount]]*INDEX(TransTypes[],Transactions[[#This Row],[TTR]],TT_COL_AmntSign)</f>
        <v>188535.67999999999</v>
      </c>
      <c r="X1713" s="167">
        <f>IF(INDEX(TransTypes[],Transactions[[#This Row],[TTR]],TT_COL_LONGORSHORT)="S",
      IF( OR(INDEX(TransTypes[],Transactions[[#This Row],[TTR]],TT_COL_GLFlag)=1, INDEX(TransTypes[], Transactions[[#This Row],[TTR]], TT_COL_ShareTransferFlag)=1),
            Transactions[[#This Row],[CostImpact]]*-1,
            Transactions[[#This Row],[CalCashImpact]]
      ),
     0
)</f>
        <v>0</v>
      </c>
      <c r="Y1713" s="168" t="str">
        <f>VLOOKUP(Transactions[[#This Row],[Symbol]],Symbols[], COLUMN(Symbols[Currency])-COLUMN(Symbols[])+1,FALSE)</f>
        <v>CNY</v>
      </c>
    </row>
    <row r="1714" spans="1:25">
      <c r="A1714" s="155" t="s">
        <v>82</v>
      </c>
      <c r="B1714" s="156">
        <v>42969</v>
      </c>
      <c r="C1714" s="155" t="s">
        <v>113</v>
      </c>
      <c r="D1714" s="155"/>
      <c r="E1714" s="155" t="s">
        <v>464</v>
      </c>
      <c r="F1714" s="157">
        <v>300</v>
      </c>
      <c r="G1714" s="158">
        <v>479.983</v>
      </c>
      <c r="H1714" s="157">
        <v>60.48</v>
      </c>
      <c r="I1714" s="157"/>
      <c r="J1714" s="159">
        <v>144055.38</v>
      </c>
      <c r="K1714" s="6" t="s">
        <v>641</v>
      </c>
      <c r="L1714" s="20">
        <f>IF(ISNA(MATCH(Transactions[[#This Row],[TransType]],TransTypes[TransType],0)),1,MATCH(Transactions[[#This Row],[TransType]],TransTypes[TransType],0))</f>
        <v>2</v>
      </c>
      <c r="M1714" s="160">
        <f>IF( AND( INDEX(TransTypes[],Transactions[[#This Row],[TTR]],TT_COL_GLFlag)=1, INDEX(TransTypes[],Transactions[[#This Row],[TTR]],TT_COL_LONGORSHORT)="S" ),
      Transactions[[#This Row],[PL]],
      IF(INDEX(TransTypes[],Transactions[[#This Row],[TTR]],TT_COL_LONGORSHORT)="S",0,Transactions[[#This Row],[CalCashImpact]])
)</f>
        <v>-144055.38</v>
      </c>
      <c r="N1714" s="161">
        <f>IF(VLOOKUP(Transactions[[#This Row],[Symbol]],Symbols[],COLUMN(Symbols[Currency])-COLUMN(Symbols[])+1,FALSE)=
       VLOOKUP(Transactions[[#This Row],[Account]],Accounts[],COLUMN(Accounts[Currency])-COLUMN(Accounts[])+1,FALSE),
     Transactions[[#This Row],[OrigCashImpact]],
     0
)</f>
        <v>-144055.38</v>
      </c>
      <c r="O17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3577053.6700000004</v>
      </c>
      <c r="P17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17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1714" s="41">
        <f>ROW()</f>
        <v>1714</v>
      </c>
      <c r="S17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144055.38</v>
      </c>
      <c r="T17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332100.13893283339</v>
      </c>
      <c r="U17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714" s="166">
        <f>IF(INDEX(TransTypes[],Transactions[[#This Row],[TTR]],TT_COL_GLFlag)=1,Transactions[[#This Row],[CalCashImpact]]+Transactions[[#This Row],[CostImpact]],0)</f>
        <v>0</v>
      </c>
      <c r="W1714" s="167">
        <f>Transactions[[#This Row],[Amount]]*INDEX(TransTypes[],Transactions[[#This Row],[TTR]],TT_COL_AmntSign)</f>
        <v>-144055.38</v>
      </c>
      <c r="X1714" s="167">
        <f>IF(INDEX(TransTypes[],Transactions[[#This Row],[TTR]],TT_COL_LONGORSHORT)="S",
      IF( OR(INDEX(TransTypes[],Transactions[[#This Row],[TTR]],TT_COL_GLFlag)=1, INDEX(TransTypes[], Transactions[[#This Row],[TTR]], TT_COL_ShareTransferFlag)=1),
            Transactions[[#This Row],[CostImpact]]*-1,
            Transactions[[#This Row],[CalCashImpact]]
      ),
     0
)</f>
        <v>0</v>
      </c>
      <c r="Y1714" s="168" t="str">
        <f>VLOOKUP(Transactions[[#This Row],[Symbol]],Symbols[], COLUMN(Symbols[Currency])-COLUMN(Symbols[])+1,FALSE)</f>
        <v>CNY</v>
      </c>
    </row>
    <row r="1715" spans="1:25">
      <c r="A1715" s="155" t="s">
        <v>82</v>
      </c>
      <c r="B1715" s="156">
        <v>42969</v>
      </c>
      <c r="C1715" s="155" t="s">
        <v>115</v>
      </c>
      <c r="D1715" s="155"/>
      <c r="E1715" s="155" t="s">
        <v>463</v>
      </c>
      <c r="F1715" s="157">
        <v>5000</v>
      </c>
      <c r="G1715" s="158">
        <v>25.26</v>
      </c>
      <c r="H1715" s="157">
        <v>179.33</v>
      </c>
      <c r="I1715" s="157"/>
      <c r="J1715" s="159">
        <v>126120.67</v>
      </c>
      <c r="K1715" s="6" t="s">
        <v>641</v>
      </c>
      <c r="L1715" s="20">
        <f>IF(ISNA(MATCH(Transactions[[#This Row],[TransType]],TransTypes[TransType],0)),1,MATCH(Transactions[[#This Row],[TransType]],TransTypes[TransType],0))</f>
        <v>3</v>
      </c>
      <c r="M1715" s="160">
        <f>IF( AND( INDEX(TransTypes[],Transactions[[#This Row],[TTR]],TT_COL_GLFlag)=1, INDEX(TransTypes[],Transactions[[#This Row],[TTR]],TT_COL_LONGORSHORT)="S" ),
      Transactions[[#This Row],[PL]],
      IF(INDEX(TransTypes[],Transactions[[#This Row],[TTR]],TT_COL_LONGORSHORT)="S",0,Transactions[[#This Row],[CalCashImpact]])
)</f>
        <v>126120.67</v>
      </c>
      <c r="N1715" s="161">
        <f>IF(VLOOKUP(Transactions[[#This Row],[Symbol]],Symbols[],COLUMN(Symbols[Currency])-COLUMN(Symbols[])+1,FALSE)=
       VLOOKUP(Transactions[[#This Row],[Account]],Accounts[],COLUMN(Accounts[Currency])-COLUMN(Accounts[])+1,FALSE),
     Transactions[[#This Row],[OrigCashImpact]],
     0
)</f>
        <v>126120.67</v>
      </c>
      <c r="O17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3703174.3400000003</v>
      </c>
      <c r="P17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7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15" s="41">
        <f>ROW()</f>
        <v>1715</v>
      </c>
      <c r="S17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-121300.92499999999</v>
      </c>
      <c r="T17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715" s="166">
        <f>IF(INDEX(TransTypes[],Transactions[[#This Row],[TTR]],TT_COL_GLFlag)=1,Transactions[[#This Row],[CalCashImpact]]+Transactions[[#This Row],[CostImpact]],0)</f>
        <v>4819.7450000000099</v>
      </c>
      <c r="W1715" s="167">
        <f>Transactions[[#This Row],[Amount]]*INDEX(TransTypes[],Transactions[[#This Row],[TTR]],TT_COL_AmntSign)</f>
        <v>126120.67</v>
      </c>
      <c r="X1715" s="167">
        <f>IF(INDEX(TransTypes[],Transactions[[#This Row],[TTR]],TT_COL_LONGORSHORT)="S",
      IF( OR(INDEX(TransTypes[],Transactions[[#This Row],[TTR]],TT_COL_GLFlag)=1, INDEX(TransTypes[], Transactions[[#This Row],[TTR]], TT_COL_ShareTransferFlag)=1),
            Transactions[[#This Row],[CostImpact]]*-1,
            Transactions[[#This Row],[CalCashImpact]]
      ),
     0
)</f>
        <v>0</v>
      </c>
      <c r="Y1715" s="168" t="str">
        <f>VLOOKUP(Transactions[[#This Row],[Symbol]],Symbols[], COLUMN(Symbols[Currency])-COLUMN(Symbols[])+1,FALSE)</f>
        <v>CNY</v>
      </c>
    </row>
    <row r="1716" spans="1:25">
      <c r="A1716" s="155" t="s">
        <v>82</v>
      </c>
      <c r="B1716" s="156">
        <v>42972</v>
      </c>
      <c r="C1716" s="155" t="s">
        <v>112</v>
      </c>
      <c r="D1716" s="155"/>
      <c r="E1716" s="155" t="s">
        <v>211</v>
      </c>
      <c r="F1716" s="157"/>
      <c r="G1716" s="158"/>
      <c r="H1716" s="157"/>
      <c r="I1716" s="157"/>
      <c r="J1716" s="159">
        <v>33483.54</v>
      </c>
      <c r="K1716" s="6" t="s">
        <v>714</v>
      </c>
      <c r="L1716" s="20">
        <f>IF(ISNA(MATCH(Transactions[[#This Row],[TransType]],TransTypes[TransType],0)),1,MATCH(Transactions[[#This Row],[TransType]],TransTypes[TransType],0))</f>
        <v>1</v>
      </c>
      <c r="M1716" s="160">
        <f>IF( AND( INDEX(TransTypes[],Transactions[[#This Row],[TTR]],TT_COL_GLFlag)=1, INDEX(TransTypes[],Transactions[[#This Row],[TTR]],TT_COL_LONGORSHORT)="S" ),
      Transactions[[#This Row],[PL]],
      IF(INDEX(TransTypes[],Transactions[[#This Row],[TTR]],TT_COL_LONGORSHORT)="S",0,Transactions[[#This Row],[CalCashImpact]])
)</f>
        <v>33483.54</v>
      </c>
      <c r="N1716" s="161">
        <f>IF(VLOOKUP(Transactions[[#This Row],[Symbol]],Symbols[],COLUMN(Symbols[Currency])-COLUMN(Symbols[])+1,FALSE)=
       VLOOKUP(Transactions[[#This Row],[Account]],Accounts[],COLUMN(Accounts[Currency])-COLUMN(Accounts[])+1,FALSE),
     Transactions[[#This Row],[OrigCashImpact]],
     0
)</f>
        <v>33483.54</v>
      </c>
      <c r="O17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3736657.8800000004</v>
      </c>
      <c r="P17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16" s="41">
        <f>ROW()</f>
        <v>1716</v>
      </c>
      <c r="S17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16" s="166">
        <f>IF(INDEX(TransTypes[],Transactions[[#This Row],[TTR]],TT_COL_GLFlag)=1,Transactions[[#This Row],[CalCashImpact]]+Transactions[[#This Row],[CostImpact]],0)</f>
        <v>0</v>
      </c>
      <c r="W1716" s="167">
        <f>Transactions[[#This Row],[Amount]]*INDEX(TransTypes[],Transactions[[#This Row],[TTR]],TT_COL_AmntSign)</f>
        <v>33483.54</v>
      </c>
      <c r="X1716" s="167">
        <f>IF(INDEX(TransTypes[],Transactions[[#This Row],[TTR]],TT_COL_LONGORSHORT)="S",
      IF( OR(INDEX(TransTypes[],Transactions[[#This Row],[TTR]],TT_COL_GLFlag)=1, INDEX(TransTypes[], Transactions[[#This Row],[TTR]], TT_COL_ShareTransferFlag)=1),
            Transactions[[#This Row],[CostImpact]]*-1,
            Transactions[[#This Row],[CalCashImpact]]
      ),
     0
)</f>
        <v>0</v>
      </c>
      <c r="Y1716" s="168" t="str">
        <f>VLOOKUP(Transactions[[#This Row],[Symbol]],Symbols[], COLUMN(Symbols[Currency])-COLUMN(Symbols[])+1,FALSE)</f>
        <v>CNY</v>
      </c>
    </row>
    <row r="1717" spans="1:25">
      <c r="A1717" s="155" t="s">
        <v>82</v>
      </c>
      <c r="B1717" s="156">
        <v>42972</v>
      </c>
      <c r="C1717" s="155" t="s">
        <v>113</v>
      </c>
      <c r="D1717" s="155"/>
      <c r="E1717" s="155" t="s">
        <v>463</v>
      </c>
      <c r="F1717" s="157">
        <v>4000</v>
      </c>
      <c r="G1717" s="158">
        <v>27.13</v>
      </c>
      <c r="H1717" s="157">
        <v>45.58</v>
      </c>
      <c r="I1717" s="157"/>
      <c r="J1717" s="159">
        <v>108565.58</v>
      </c>
      <c r="K1717" s="6" t="s">
        <v>641</v>
      </c>
      <c r="L1717" s="20">
        <f>IF(ISNA(MATCH(Transactions[[#This Row],[TransType]],TransTypes[TransType],0)),1,MATCH(Transactions[[#This Row],[TransType]],TransTypes[TransType],0))</f>
        <v>2</v>
      </c>
      <c r="M1717" s="160">
        <f>IF( AND( INDEX(TransTypes[],Transactions[[#This Row],[TTR]],TT_COL_GLFlag)=1, INDEX(TransTypes[],Transactions[[#This Row],[TTR]],TT_COL_LONGORSHORT)="S" ),
      Transactions[[#This Row],[PL]],
      IF(INDEX(TransTypes[],Transactions[[#This Row],[TTR]],TT_COL_LONGORSHORT)="S",0,Transactions[[#This Row],[CalCashImpact]])
)</f>
        <v>-108565.58</v>
      </c>
      <c r="N1717" s="161">
        <f>IF(VLOOKUP(Transactions[[#This Row],[Symbol]],Symbols[],COLUMN(Symbols[Currency])-COLUMN(Symbols[])+1,FALSE)=
       VLOOKUP(Transactions[[#This Row],[Account]],Accounts[],COLUMN(Accounts[Currency])-COLUMN(Accounts[])+1,FALSE),
     Transactions[[#This Row],[OrigCashImpact]],
     0
)</f>
        <v>-108565.58</v>
      </c>
      <c r="O17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3628092.3000000003</v>
      </c>
      <c r="P17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717" s="41">
        <f>ROW()</f>
        <v>1717</v>
      </c>
      <c r="S17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108565.58</v>
      </c>
      <c r="T17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108565.58</v>
      </c>
      <c r="U17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717" s="166">
        <f>IF(INDEX(TransTypes[],Transactions[[#This Row],[TTR]],TT_COL_GLFlag)=1,Transactions[[#This Row],[CalCashImpact]]+Transactions[[#This Row],[CostImpact]],0)</f>
        <v>0</v>
      </c>
      <c r="W1717" s="167">
        <f>Transactions[[#This Row],[Amount]]*INDEX(TransTypes[],Transactions[[#This Row],[TTR]],TT_COL_AmntSign)</f>
        <v>-108565.58</v>
      </c>
      <c r="X1717" s="167">
        <f>IF(INDEX(TransTypes[],Transactions[[#This Row],[TTR]],TT_COL_LONGORSHORT)="S",
      IF( OR(INDEX(TransTypes[],Transactions[[#This Row],[TTR]],TT_COL_GLFlag)=1, INDEX(TransTypes[], Transactions[[#This Row],[TTR]], TT_COL_ShareTransferFlag)=1),
            Transactions[[#This Row],[CostImpact]]*-1,
            Transactions[[#This Row],[CalCashImpact]]
      ),
     0
)</f>
        <v>0</v>
      </c>
      <c r="Y1717" s="168" t="str">
        <f>VLOOKUP(Transactions[[#This Row],[Symbol]],Symbols[], COLUMN(Symbols[Currency])-COLUMN(Symbols[])+1,FALSE)</f>
        <v>CNY</v>
      </c>
    </row>
    <row r="1718" spans="1:25">
      <c r="A1718" s="155" t="s">
        <v>82</v>
      </c>
      <c r="B1718" s="156">
        <v>42972</v>
      </c>
      <c r="C1718" s="155" t="s">
        <v>119</v>
      </c>
      <c r="D1718" s="155"/>
      <c r="E1718" s="155" t="s">
        <v>211</v>
      </c>
      <c r="F1718" s="157"/>
      <c r="G1718" s="158"/>
      <c r="H1718" s="157"/>
      <c r="I1718" s="157"/>
      <c r="J1718" s="159">
        <v>3500000</v>
      </c>
      <c r="K1718" s="6" t="s">
        <v>641</v>
      </c>
      <c r="L1718" s="20">
        <f>IF(ISNA(MATCH(Transactions[[#This Row],[TransType]],TransTypes[TransType],0)),1,MATCH(Transactions[[#This Row],[TransType]],TransTypes[TransType],0))</f>
        <v>5</v>
      </c>
      <c r="M1718" s="160">
        <f>IF( AND( INDEX(TransTypes[],Transactions[[#This Row],[TTR]],TT_COL_GLFlag)=1, INDEX(TransTypes[],Transactions[[#This Row],[TTR]],TT_COL_LONGORSHORT)="S" ),
      Transactions[[#This Row],[PL]],
      IF(INDEX(TransTypes[],Transactions[[#This Row],[TTR]],TT_COL_LONGORSHORT)="S",0,Transactions[[#This Row],[CalCashImpact]])
)</f>
        <v>-3500000</v>
      </c>
      <c r="N1718" s="161">
        <f>IF(VLOOKUP(Transactions[[#This Row],[Symbol]],Symbols[],COLUMN(Symbols[Currency])-COLUMN(Symbols[])+1,FALSE)=
       VLOOKUP(Transactions[[#This Row],[Account]],Accounts[],COLUMN(Accounts[Currency])-COLUMN(Accounts[])+1,FALSE),
     Transactions[[#This Row],[OrigCashImpact]],
     0
)</f>
        <v>-3500000</v>
      </c>
      <c r="O17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128092.30000000028</v>
      </c>
      <c r="P17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18" s="41">
        <f>ROW()</f>
        <v>1718</v>
      </c>
      <c r="S17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18" s="166">
        <f>IF(INDEX(TransTypes[],Transactions[[#This Row],[TTR]],TT_COL_GLFlag)=1,Transactions[[#This Row],[CalCashImpact]]+Transactions[[#This Row],[CostImpact]],0)</f>
        <v>0</v>
      </c>
      <c r="W1718" s="167">
        <f>Transactions[[#This Row],[Amount]]*INDEX(TransTypes[],Transactions[[#This Row],[TTR]],TT_COL_AmntSign)</f>
        <v>-3500000</v>
      </c>
      <c r="X1718" s="167">
        <f>IF(INDEX(TransTypes[],Transactions[[#This Row],[TTR]],TT_COL_LONGORSHORT)="S",
      IF( OR(INDEX(TransTypes[],Transactions[[#This Row],[TTR]],TT_COL_GLFlag)=1, INDEX(TransTypes[], Transactions[[#This Row],[TTR]], TT_COL_ShareTransferFlag)=1),
            Transactions[[#This Row],[CostImpact]]*-1,
            Transactions[[#This Row],[CalCashImpact]]
      ),
     0
)</f>
        <v>0</v>
      </c>
      <c r="Y1718" s="168" t="str">
        <f>VLOOKUP(Transactions[[#This Row],[Symbol]],Symbols[], COLUMN(Symbols[Currency])-COLUMN(Symbols[])+1,FALSE)</f>
        <v>CNY</v>
      </c>
    </row>
    <row r="1719" spans="1:25">
      <c r="A1719" s="155" t="s">
        <v>82</v>
      </c>
      <c r="B1719" s="156">
        <v>42979</v>
      </c>
      <c r="C1719" s="155" t="s">
        <v>118</v>
      </c>
      <c r="D1719" s="155"/>
      <c r="E1719" s="155" t="s">
        <v>468</v>
      </c>
      <c r="F1719" s="157"/>
      <c r="G1719" s="158"/>
      <c r="H1719" s="157"/>
      <c r="I1719" s="157"/>
      <c r="J1719" s="159">
        <v>3500</v>
      </c>
      <c r="K1719" s="6" t="s">
        <v>641</v>
      </c>
      <c r="L1719" s="20">
        <f>IF(ISNA(MATCH(Transactions[[#This Row],[TransType]],TransTypes[TransType],0)),1,MATCH(Transactions[[#This Row],[TransType]],TransTypes[TransType],0))</f>
        <v>4</v>
      </c>
      <c r="M1719" s="160">
        <f>IF( AND( INDEX(TransTypes[],Transactions[[#This Row],[TTR]],TT_COL_GLFlag)=1, INDEX(TransTypes[],Transactions[[#This Row],[TTR]],TT_COL_LONGORSHORT)="S" ),
      Transactions[[#This Row],[PL]],
      IF(INDEX(TransTypes[],Transactions[[#This Row],[TTR]],TT_COL_LONGORSHORT)="S",0,Transactions[[#This Row],[CalCashImpact]])
)</f>
        <v>3500</v>
      </c>
      <c r="N1719" s="161">
        <f>IF(VLOOKUP(Transactions[[#This Row],[Symbol]],Symbols[],COLUMN(Symbols[Currency])-COLUMN(Symbols[])+1,FALSE)=
       VLOOKUP(Transactions[[#This Row],[Account]],Accounts[],COLUMN(Accounts[Currency])-COLUMN(Accounts[])+1,FALSE),
     Transactions[[#This Row],[OrigCashImpact]],
     0
)</f>
        <v>3500</v>
      </c>
      <c r="O17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131592.30000000028</v>
      </c>
      <c r="P17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719" s="41">
        <f>ROW()</f>
        <v>1719</v>
      </c>
      <c r="S17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337017.67621428578</v>
      </c>
      <c r="U17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19" s="166">
        <f>IF(INDEX(TransTypes[],Transactions[[#This Row],[TTR]],TT_COL_GLFlag)=1,Transactions[[#This Row],[CalCashImpact]]+Transactions[[#This Row],[CostImpact]],0)</f>
        <v>0</v>
      </c>
      <c r="W1719" s="167">
        <f>Transactions[[#This Row],[Amount]]*INDEX(TransTypes[],Transactions[[#This Row],[TTR]],TT_COL_AmntSign)</f>
        <v>3500</v>
      </c>
      <c r="X1719" s="167">
        <f>IF(INDEX(TransTypes[],Transactions[[#This Row],[TTR]],TT_COL_LONGORSHORT)="S",
      IF( OR(INDEX(TransTypes[],Transactions[[#This Row],[TTR]],TT_COL_GLFlag)=1, INDEX(TransTypes[], Transactions[[#This Row],[TTR]], TT_COL_ShareTransferFlag)=1),
            Transactions[[#This Row],[CostImpact]]*-1,
            Transactions[[#This Row],[CalCashImpact]]
      ),
     0
)</f>
        <v>0</v>
      </c>
      <c r="Y1719" s="168" t="str">
        <f>VLOOKUP(Transactions[[#This Row],[Symbol]],Symbols[], COLUMN(Symbols[Currency])-COLUMN(Symbols[])+1,FALSE)</f>
        <v>CNY</v>
      </c>
    </row>
    <row r="1720" spans="1:25">
      <c r="A1720" s="155" t="s">
        <v>82</v>
      </c>
      <c r="B1720" s="156">
        <v>42981</v>
      </c>
      <c r="C1720" s="155" t="s">
        <v>115</v>
      </c>
      <c r="D1720" s="155"/>
      <c r="E1720" s="155" t="s">
        <v>258</v>
      </c>
      <c r="F1720" s="157">
        <v>2000</v>
      </c>
      <c r="G1720" s="158">
        <v>22.9</v>
      </c>
      <c r="H1720" s="157">
        <v>191.96</v>
      </c>
      <c r="I1720" s="157"/>
      <c r="J1720" s="159">
        <v>45608.04</v>
      </c>
      <c r="K1720" s="6" t="s">
        <v>641</v>
      </c>
      <c r="L1720" s="20">
        <f>IF(ISNA(MATCH(Transactions[[#This Row],[TransType]],TransTypes[TransType],0)),1,MATCH(Transactions[[#This Row],[TransType]],TransTypes[TransType],0))</f>
        <v>3</v>
      </c>
      <c r="M1720" s="160">
        <f>IF( AND( INDEX(TransTypes[],Transactions[[#This Row],[TTR]],TT_COL_GLFlag)=1, INDEX(TransTypes[],Transactions[[#This Row],[TTR]],TT_COL_LONGORSHORT)="S" ),
      Transactions[[#This Row],[PL]],
      IF(INDEX(TransTypes[],Transactions[[#This Row],[TTR]],TT_COL_LONGORSHORT)="S",0,Transactions[[#This Row],[CalCashImpact]])
)</f>
        <v>45608.04</v>
      </c>
      <c r="N1720" s="161">
        <f>IF(VLOOKUP(Transactions[[#This Row],[Symbol]],Symbols[],COLUMN(Symbols[Currency])-COLUMN(Symbols[])+1,FALSE)=
       VLOOKUP(Transactions[[#This Row],[Account]],Accounts[],COLUMN(Accounts[Currency])-COLUMN(Accounts[])+1,FALSE),
     Transactions[[#This Row],[OrigCashImpact]],
     0
)</f>
        <v>0</v>
      </c>
      <c r="O17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131592.30000000028</v>
      </c>
      <c r="P17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720" s="41">
        <f>ROW()</f>
        <v>1720</v>
      </c>
      <c r="S17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-18478.641166666672</v>
      </c>
      <c r="T17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73914.564666666702</v>
      </c>
      <c r="U17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720" s="166">
        <f>IF(INDEX(TransTypes[],Transactions[[#This Row],[TTR]],TT_COL_GLFlag)=1,Transactions[[#This Row],[CalCashImpact]]+Transactions[[#This Row],[CostImpact]],0)</f>
        <v>27129.398833333329</v>
      </c>
      <c r="W1720" s="167">
        <f>Transactions[[#This Row],[Amount]]*INDEX(TransTypes[],Transactions[[#This Row],[TTR]],TT_COL_AmntSign)</f>
        <v>45608.04</v>
      </c>
      <c r="X1720" s="167">
        <f>IF(INDEX(TransTypes[],Transactions[[#This Row],[TTR]],TT_COL_LONGORSHORT)="S",
      IF( OR(INDEX(TransTypes[],Transactions[[#This Row],[TTR]],TT_COL_GLFlag)=1, INDEX(TransTypes[], Transactions[[#This Row],[TTR]], TT_COL_ShareTransferFlag)=1),
            Transactions[[#This Row],[CostImpact]]*-1,
            Transactions[[#This Row],[CalCashImpact]]
      ),
     0
)</f>
        <v>0</v>
      </c>
      <c r="Y1720" s="168" t="str">
        <f>VLOOKUP(Transactions[[#This Row],[Symbol]],Symbols[], COLUMN(Symbols[Currency])-COLUMN(Symbols[])+1,FALSE)</f>
        <v>HKD</v>
      </c>
    </row>
    <row r="1721" spans="1:25">
      <c r="A1721" s="155" t="s">
        <v>82</v>
      </c>
      <c r="B1721" s="156">
        <v>42981</v>
      </c>
      <c r="C1721" s="155" t="s">
        <v>152</v>
      </c>
      <c r="D1721" s="155"/>
      <c r="E1721" s="155" t="s">
        <v>211</v>
      </c>
      <c r="F1721" s="157">
        <v>45608.04</v>
      </c>
      <c r="G1721" s="158">
        <f>Transactions[[#This Row],[Amount]]/Transactions[[#This Row],[Qty]]</f>
        <v>0.84407025603380459</v>
      </c>
      <c r="H1721" s="157"/>
      <c r="I1721" s="157"/>
      <c r="J1721" s="159">
        <v>38496.39</v>
      </c>
      <c r="K1721" s="6" t="s">
        <v>641</v>
      </c>
      <c r="L1721" s="20">
        <f>IF(ISNA(MATCH(Transactions[[#This Row],[TransType]],TransTypes[TransType],0)),1,MATCH(Transactions[[#This Row],[TransType]],TransTypes[TransType],0))</f>
        <v>15</v>
      </c>
      <c r="M1721" s="160">
        <f>IF( AND( INDEX(TransTypes[],Transactions[[#This Row],[TTR]],TT_COL_GLFlag)=1, INDEX(TransTypes[],Transactions[[#This Row],[TTR]],TT_COL_LONGORSHORT)="S" ),
      Transactions[[#This Row],[PL]],
      IF(INDEX(TransTypes[],Transactions[[#This Row],[TTR]],TT_COL_LONGORSHORT)="S",0,Transactions[[#This Row],[CalCashImpact]])
)</f>
        <v>38496.39</v>
      </c>
      <c r="N1721" s="161">
        <f>IF(VLOOKUP(Transactions[[#This Row],[Symbol]],Symbols[],COLUMN(Symbols[Currency])-COLUMN(Symbols[])+1,FALSE)=
       VLOOKUP(Transactions[[#This Row],[Account]],Accounts[],COLUMN(Accounts[Currency])-COLUMN(Accounts[])+1,FALSE),
     Transactions[[#This Row],[OrigCashImpact]],
     0
)</f>
        <v>38496.39</v>
      </c>
      <c r="O17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170088.69000000029</v>
      </c>
      <c r="P17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21" s="41">
        <f>ROW()</f>
        <v>1721</v>
      </c>
      <c r="S17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21" s="166">
        <f>IF(INDEX(TransTypes[],Transactions[[#This Row],[TTR]],TT_COL_GLFlag)=1,Transactions[[#This Row],[CalCashImpact]]+Transactions[[#This Row],[CostImpact]],0)</f>
        <v>0</v>
      </c>
      <c r="W1721" s="167">
        <f>Transactions[[#This Row],[Amount]]*INDEX(TransTypes[],Transactions[[#This Row],[TTR]],TT_COL_AmntSign)</f>
        <v>38496.39</v>
      </c>
      <c r="X1721" s="167">
        <f>IF(INDEX(TransTypes[],Transactions[[#This Row],[TTR]],TT_COL_LONGORSHORT)="S",
      IF( OR(INDEX(TransTypes[],Transactions[[#This Row],[TTR]],TT_COL_GLFlag)=1, INDEX(TransTypes[], Transactions[[#This Row],[TTR]], TT_COL_ShareTransferFlag)=1),
            Transactions[[#This Row],[CostImpact]]*-1,
            Transactions[[#This Row],[CalCashImpact]]
      ),
     0
)</f>
        <v>0</v>
      </c>
      <c r="Y1721" s="168" t="str">
        <f>VLOOKUP(Transactions[[#This Row],[Symbol]],Symbols[], COLUMN(Symbols[Currency])-COLUMN(Symbols[])+1,FALSE)</f>
        <v>CNY</v>
      </c>
    </row>
    <row r="1722" spans="1:25">
      <c r="A1722" s="155" t="s">
        <v>82</v>
      </c>
      <c r="B1722" s="156">
        <v>42981</v>
      </c>
      <c r="C1722" s="155" t="s">
        <v>238</v>
      </c>
      <c r="D1722" s="155"/>
      <c r="E1722" s="155" t="s">
        <v>210</v>
      </c>
      <c r="F1722" s="157">
        <v>45608.04</v>
      </c>
      <c r="G1722" s="158">
        <v>1</v>
      </c>
      <c r="H1722" s="157"/>
      <c r="I1722" s="157"/>
      <c r="J1722" s="159">
        <v>45608.04</v>
      </c>
      <c r="K1722" s="6" t="s">
        <v>641</v>
      </c>
      <c r="L1722" s="20">
        <f>IF(ISNA(MATCH(Transactions[[#This Row],[TransType]],TransTypes[TransType],0)),1,MATCH(Transactions[[#This Row],[TransType]],TransTypes[TransType],0))</f>
        <v>16</v>
      </c>
      <c r="M1722" s="160">
        <f>IF( AND( INDEX(TransTypes[],Transactions[[#This Row],[TTR]],TT_COL_GLFlag)=1, INDEX(TransTypes[],Transactions[[#This Row],[TTR]],TT_COL_LONGORSHORT)="S" ),
      Transactions[[#This Row],[PL]],
      IF(INDEX(TransTypes[],Transactions[[#This Row],[TTR]],TT_COL_LONGORSHORT)="S",0,Transactions[[#This Row],[CalCashImpact]])
)</f>
        <v>-45608.04</v>
      </c>
      <c r="N1722" s="161">
        <f>IF(VLOOKUP(Transactions[[#This Row],[Symbol]],Symbols[],COLUMN(Symbols[Currency])-COLUMN(Symbols[])+1,FALSE)=
       VLOOKUP(Transactions[[#This Row],[Account]],Accounts[],COLUMN(Accounts[Currency])-COLUMN(Accounts[])+1,FALSE),
     Transactions[[#This Row],[OrigCashImpact]],
     0
)</f>
        <v>0</v>
      </c>
      <c r="O17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170088.69000000029</v>
      </c>
      <c r="P17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22" s="41">
        <f>ROW()</f>
        <v>1722</v>
      </c>
      <c r="S17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22" s="166">
        <f>IF(INDEX(TransTypes[],Transactions[[#This Row],[TTR]],TT_COL_GLFlag)=1,Transactions[[#This Row],[CalCashImpact]]+Transactions[[#This Row],[CostImpact]],0)</f>
        <v>0</v>
      </c>
      <c r="W1722" s="167">
        <f>Transactions[[#This Row],[Amount]]*INDEX(TransTypes[],Transactions[[#This Row],[TTR]],TT_COL_AmntSign)</f>
        <v>-45608.04</v>
      </c>
      <c r="X1722" s="167">
        <f>IF(INDEX(TransTypes[],Transactions[[#This Row],[TTR]],TT_COL_LONGORSHORT)="S",
      IF( OR(INDEX(TransTypes[],Transactions[[#This Row],[TTR]],TT_COL_GLFlag)=1, INDEX(TransTypes[], Transactions[[#This Row],[TTR]], TT_COL_ShareTransferFlag)=1),
            Transactions[[#This Row],[CostImpact]]*-1,
            Transactions[[#This Row],[CalCashImpact]]
      ),
     0
)</f>
        <v>0</v>
      </c>
      <c r="Y1722" s="168" t="str">
        <f>VLOOKUP(Transactions[[#This Row],[Symbol]],Symbols[], COLUMN(Symbols[Currency])-COLUMN(Symbols[])+1,FALSE)</f>
        <v>HKD</v>
      </c>
    </row>
    <row r="1723" spans="1:25">
      <c r="A1723" s="155" t="s">
        <v>82</v>
      </c>
      <c r="B1723" s="156">
        <v>42990</v>
      </c>
      <c r="C1723" s="155" t="s">
        <v>113</v>
      </c>
      <c r="D1723" s="155"/>
      <c r="E1723" s="155" t="s">
        <v>755</v>
      </c>
      <c r="F1723" s="157">
        <v>7000</v>
      </c>
      <c r="G1723" s="158">
        <v>38.35</v>
      </c>
      <c r="H1723" s="157">
        <v>112.75</v>
      </c>
      <c r="I1723" s="157"/>
      <c r="J1723" s="159">
        <v>268562.75</v>
      </c>
      <c r="K1723" s="6" t="s">
        <v>641</v>
      </c>
      <c r="L1723" s="20">
        <f>IF(ISNA(MATCH(Transactions[[#This Row],[TransType]],TransTypes[TransType],0)),1,MATCH(Transactions[[#This Row],[TransType]],TransTypes[TransType],0))</f>
        <v>2</v>
      </c>
      <c r="M1723" s="160">
        <f>IF( AND( INDEX(TransTypes[],Transactions[[#This Row],[TTR]],TT_COL_GLFlag)=1, INDEX(TransTypes[],Transactions[[#This Row],[TTR]],TT_COL_LONGORSHORT)="S" ),
      Transactions[[#This Row],[PL]],
      IF(INDEX(TransTypes[],Transactions[[#This Row],[TTR]],TT_COL_LONGORSHORT)="S",0,Transactions[[#This Row],[CalCashImpact]])
)</f>
        <v>-268562.75</v>
      </c>
      <c r="N1723" s="161">
        <f>IF(VLOOKUP(Transactions[[#This Row],[Symbol]],Symbols[],COLUMN(Symbols[Currency])-COLUMN(Symbols[])+1,FALSE)=
       VLOOKUP(Transactions[[#This Row],[Account]],Accounts[],COLUMN(Accounts[Currency])-COLUMN(Accounts[])+1,FALSE),
     Transactions[[#This Row],[OrigCashImpact]],
     0
)</f>
        <v>-268562.75</v>
      </c>
      <c r="O17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-98474.059999999707</v>
      </c>
      <c r="P17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17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723" s="41">
        <f>ROW()</f>
        <v>1723</v>
      </c>
      <c r="S17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268562.75</v>
      </c>
      <c r="T17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268562.75</v>
      </c>
      <c r="U17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23" s="166">
        <f>IF(INDEX(TransTypes[],Transactions[[#This Row],[TTR]],TT_COL_GLFlag)=1,Transactions[[#This Row],[CalCashImpact]]+Transactions[[#This Row],[CostImpact]],0)</f>
        <v>0</v>
      </c>
      <c r="W1723" s="167">
        <f>Transactions[[#This Row],[Amount]]*INDEX(TransTypes[],Transactions[[#This Row],[TTR]],TT_COL_AmntSign)</f>
        <v>-268562.75</v>
      </c>
      <c r="X1723" s="167">
        <f>IF(INDEX(TransTypes[],Transactions[[#This Row],[TTR]],TT_COL_LONGORSHORT)="S",
      IF( OR(INDEX(TransTypes[],Transactions[[#This Row],[TTR]],TT_COL_GLFlag)=1, INDEX(TransTypes[], Transactions[[#This Row],[TTR]], TT_COL_ShareTransferFlag)=1),
            Transactions[[#This Row],[CostImpact]]*-1,
            Transactions[[#This Row],[CalCashImpact]]
      ),
     0
)</f>
        <v>0</v>
      </c>
      <c r="Y1723" s="168" t="str">
        <f>VLOOKUP(Transactions[[#This Row],[Symbol]],Symbols[], COLUMN(Symbols[Currency])-COLUMN(Symbols[])+1,FALSE)</f>
        <v>CNY</v>
      </c>
    </row>
    <row r="1724" spans="1:25">
      <c r="A1724" s="155" t="s">
        <v>82</v>
      </c>
      <c r="B1724" s="156">
        <v>42990</v>
      </c>
      <c r="C1724" s="155" t="s">
        <v>115</v>
      </c>
      <c r="D1724" s="155"/>
      <c r="E1724" s="155" t="s">
        <v>463</v>
      </c>
      <c r="F1724" s="157">
        <v>4000</v>
      </c>
      <c r="G1724" s="158">
        <v>26.07</v>
      </c>
      <c r="H1724" s="157">
        <v>148.07</v>
      </c>
      <c r="I1724" s="157"/>
      <c r="J1724" s="159">
        <v>104131.93</v>
      </c>
      <c r="K1724" s="6" t="s">
        <v>641</v>
      </c>
      <c r="L1724" s="20">
        <f>IF(ISNA(MATCH(Transactions[[#This Row],[TransType]],TransTypes[TransType],0)),1,MATCH(Transactions[[#This Row],[TransType]],TransTypes[TransType],0))</f>
        <v>3</v>
      </c>
      <c r="M1724" s="160">
        <f>IF( AND( INDEX(TransTypes[],Transactions[[#This Row],[TTR]],TT_COL_GLFlag)=1, INDEX(TransTypes[],Transactions[[#This Row],[TTR]],TT_COL_LONGORSHORT)="S" ),
      Transactions[[#This Row],[PL]],
      IF(INDEX(TransTypes[],Transactions[[#This Row],[TTR]],TT_COL_LONGORSHORT)="S",0,Transactions[[#This Row],[CalCashImpact]])
)</f>
        <v>104131.93</v>
      </c>
      <c r="N1724" s="161">
        <f>IF(VLOOKUP(Transactions[[#This Row],[Symbol]],Symbols[],COLUMN(Symbols[Currency])-COLUMN(Symbols[])+1,FALSE)=
       VLOOKUP(Transactions[[#This Row],[Account]],Accounts[],COLUMN(Accounts[Currency])-COLUMN(Accounts[])+1,FALSE),
     Transactions[[#This Row],[OrigCashImpact]],
     0
)</f>
        <v>104131.93</v>
      </c>
      <c r="O172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5657.8700000002864</v>
      </c>
      <c r="P172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2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24" s="41">
        <f>ROW()</f>
        <v>1724</v>
      </c>
      <c r="S17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-108565.58</v>
      </c>
      <c r="T17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2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724" s="166">
        <f>IF(INDEX(TransTypes[],Transactions[[#This Row],[TTR]],TT_COL_GLFlag)=1,Transactions[[#This Row],[CalCashImpact]]+Transactions[[#This Row],[CostImpact]],0)</f>
        <v>-4433.6500000000087</v>
      </c>
      <c r="W1724" s="167">
        <f>Transactions[[#This Row],[Amount]]*INDEX(TransTypes[],Transactions[[#This Row],[TTR]],TT_COL_AmntSign)</f>
        <v>104131.93</v>
      </c>
      <c r="X1724" s="167">
        <f>IF(INDEX(TransTypes[],Transactions[[#This Row],[TTR]],TT_COL_LONGORSHORT)="S",
      IF( OR(INDEX(TransTypes[],Transactions[[#This Row],[TTR]],TT_COL_GLFlag)=1, INDEX(TransTypes[], Transactions[[#This Row],[TTR]], TT_COL_ShareTransferFlag)=1),
            Transactions[[#This Row],[CostImpact]]*-1,
            Transactions[[#This Row],[CalCashImpact]]
      ),
     0
)</f>
        <v>0</v>
      </c>
      <c r="Y1724" s="168" t="str">
        <f>VLOOKUP(Transactions[[#This Row],[Symbol]],Symbols[], COLUMN(Symbols[Currency])-COLUMN(Symbols[])+1,FALSE)</f>
        <v>CNY</v>
      </c>
    </row>
    <row r="1725" spans="1:25">
      <c r="A1725" s="155" t="s">
        <v>82</v>
      </c>
      <c r="B1725" s="156">
        <v>42990</v>
      </c>
      <c r="C1725" s="155" t="s">
        <v>113</v>
      </c>
      <c r="D1725" s="155"/>
      <c r="E1725" s="155" t="s">
        <v>482</v>
      </c>
      <c r="F1725" s="157">
        <v>2000</v>
      </c>
      <c r="G1725" s="158">
        <v>36.677</v>
      </c>
      <c r="H1725" s="157">
        <v>29.34</v>
      </c>
      <c r="I1725" s="157"/>
      <c r="J1725" s="159">
        <v>73383.34</v>
      </c>
      <c r="K1725" s="6" t="s">
        <v>641</v>
      </c>
      <c r="L1725" s="20">
        <f>IF(ISNA(MATCH(Transactions[[#This Row],[TransType]],TransTypes[TransType],0)),1,MATCH(Transactions[[#This Row],[TransType]],TransTypes[TransType],0))</f>
        <v>2</v>
      </c>
      <c r="M1725" s="160">
        <f>IF( AND( INDEX(TransTypes[],Transactions[[#This Row],[TTR]],TT_COL_GLFlag)=1, INDEX(TransTypes[],Transactions[[#This Row],[TTR]],TT_COL_LONGORSHORT)="S" ),
      Transactions[[#This Row],[PL]],
      IF(INDEX(TransTypes[],Transactions[[#This Row],[TTR]],TT_COL_LONGORSHORT)="S",0,Transactions[[#This Row],[CalCashImpact]])
)</f>
        <v>-73383.34</v>
      </c>
      <c r="N1725" s="161">
        <f>IF(VLOOKUP(Transactions[[#This Row],[Symbol]],Symbols[],COLUMN(Symbols[Currency])-COLUMN(Symbols[])+1,FALSE)=
       VLOOKUP(Transactions[[#This Row],[Account]],Accounts[],COLUMN(Accounts[Currency])-COLUMN(Accounts[])+1,FALSE),
     Transactions[[#This Row],[OrigCashImpact]],
     0
)</f>
        <v>-73383.34</v>
      </c>
      <c r="O172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-67725.46999999971</v>
      </c>
      <c r="P172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2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725" s="41">
        <f>ROW()</f>
        <v>1725</v>
      </c>
      <c r="S17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73383.34</v>
      </c>
      <c r="T17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255161.02333333335</v>
      </c>
      <c r="U172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725" s="166">
        <f>IF(INDEX(TransTypes[],Transactions[[#This Row],[TTR]],TT_COL_GLFlag)=1,Transactions[[#This Row],[CalCashImpact]]+Transactions[[#This Row],[CostImpact]],0)</f>
        <v>0</v>
      </c>
      <c r="W1725" s="167">
        <f>Transactions[[#This Row],[Amount]]*INDEX(TransTypes[],Transactions[[#This Row],[TTR]],TT_COL_AmntSign)</f>
        <v>-73383.34</v>
      </c>
      <c r="X1725" s="167">
        <f>IF(INDEX(TransTypes[],Transactions[[#This Row],[TTR]],TT_COL_LONGORSHORT)="S",
      IF( OR(INDEX(TransTypes[],Transactions[[#This Row],[TTR]],TT_COL_GLFlag)=1, INDEX(TransTypes[], Transactions[[#This Row],[TTR]], TT_COL_ShareTransferFlag)=1),
            Transactions[[#This Row],[CostImpact]]*-1,
            Transactions[[#This Row],[CalCashImpact]]
      ),
     0
)</f>
        <v>0</v>
      </c>
      <c r="Y1725" s="168" t="str">
        <f>VLOOKUP(Transactions[[#This Row],[Symbol]],Symbols[], COLUMN(Symbols[Currency])-COLUMN(Symbols[])+1,FALSE)</f>
        <v>CNY</v>
      </c>
    </row>
    <row r="1726" spans="1:25">
      <c r="A1726" s="155" t="s">
        <v>82</v>
      </c>
      <c r="B1726" s="156">
        <v>42990</v>
      </c>
      <c r="C1726" s="155" t="s">
        <v>115</v>
      </c>
      <c r="D1726" s="155"/>
      <c r="E1726" s="155" t="s">
        <v>730</v>
      </c>
      <c r="F1726" s="157">
        <v>1500</v>
      </c>
      <c r="G1726" s="158">
        <v>63.5</v>
      </c>
      <c r="H1726" s="157">
        <v>133.55000000000001</v>
      </c>
      <c r="I1726" s="157"/>
      <c r="J1726" s="159">
        <v>95116.45</v>
      </c>
      <c r="K1726" s="6" t="s">
        <v>641</v>
      </c>
      <c r="L1726" s="20">
        <f>IF(ISNA(MATCH(Transactions[[#This Row],[TransType]],TransTypes[TransType],0)),1,MATCH(Transactions[[#This Row],[TransType]],TransTypes[TransType],0))</f>
        <v>3</v>
      </c>
      <c r="M1726" s="160">
        <f>IF( AND( INDEX(TransTypes[],Transactions[[#This Row],[TTR]],TT_COL_GLFlag)=1, INDEX(TransTypes[],Transactions[[#This Row],[TTR]],TT_COL_LONGORSHORT)="S" ),
      Transactions[[#This Row],[PL]],
      IF(INDEX(TransTypes[],Transactions[[#This Row],[TTR]],TT_COL_LONGORSHORT)="S",0,Transactions[[#This Row],[CalCashImpact]])
)</f>
        <v>95116.45</v>
      </c>
      <c r="N1726" s="161">
        <f>IF(VLOOKUP(Transactions[[#This Row],[Symbol]],Symbols[],COLUMN(Symbols[Currency])-COLUMN(Symbols[])+1,FALSE)=
       VLOOKUP(Transactions[[#This Row],[Account]],Accounts[],COLUMN(Accounts[Currency])-COLUMN(Accounts[])+1,FALSE),
     Transactions[[#This Row],[OrigCashImpact]],
     0
)</f>
        <v>95116.45</v>
      </c>
      <c r="O172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27390.980000000272</v>
      </c>
      <c r="P172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v>
      </c>
      <c r="Q172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4500</v>
      </c>
      <c r="R1726" s="41">
        <f>ROW()</f>
        <v>1726</v>
      </c>
      <c r="S17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-79137.642999999996</v>
      </c>
      <c r="T17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237412.929</v>
      </c>
      <c r="U172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726" s="166">
        <f>IF(INDEX(TransTypes[],Transactions[[#This Row],[TTR]],TT_COL_GLFlag)=1,Transactions[[#This Row],[CalCashImpact]]+Transactions[[#This Row],[CostImpact]],0)</f>
        <v>15978.807000000001</v>
      </c>
      <c r="W1726" s="167">
        <f>Transactions[[#This Row],[Amount]]*INDEX(TransTypes[],Transactions[[#This Row],[TTR]],TT_COL_AmntSign)</f>
        <v>95116.45</v>
      </c>
      <c r="X1726" s="167">
        <f>IF(INDEX(TransTypes[],Transactions[[#This Row],[TTR]],TT_COL_LONGORSHORT)="S",
      IF( OR(INDEX(TransTypes[],Transactions[[#This Row],[TTR]],TT_COL_GLFlag)=1, INDEX(TransTypes[], Transactions[[#This Row],[TTR]], TT_COL_ShareTransferFlag)=1),
            Transactions[[#This Row],[CostImpact]]*-1,
            Transactions[[#This Row],[CalCashImpact]]
      ),
     0
)</f>
        <v>0</v>
      </c>
      <c r="Y1726" s="168" t="str">
        <f>VLOOKUP(Transactions[[#This Row],[Symbol]],Symbols[], COLUMN(Symbols[Currency])-COLUMN(Symbols[])+1,FALSE)</f>
        <v>CNY</v>
      </c>
    </row>
    <row r="1727" spans="1:25">
      <c r="A1727" s="155" t="s">
        <v>82</v>
      </c>
      <c r="B1727" s="156">
        <v>42990</v>
      </c>
      <c r="C1727" s="155" t="s">
        <v>112</v>
      </c>
      <c r="D1727" s="155"/>
      <c r="E1727" s="155" t="s">
        <v>211</v>
      </c>
      <c r="F1727" s="157"/>
      <c r="G1727" s="158"/>
      <c r="H1727" s="157"/>
      <c r="I1727" s="157"/>
      <c r="J1727" s="159">
        <v>200000</v>
      </c>
      <c r="K1727" s="6" t="s">
        <v>641</v>
      </c>
      <c r="L1727" s="20">
        <f>IF(ISNA(MATCH(Transactions[[#This Row],[TransType]],TransTypes[TransType],0)),1,MATCH(Transactions[[#This Row],[TransType]],TransTypes[TransType],0))</f>
        <v>1</v>
      </c>
      <c r="M1727" s="160">
        <f>IF( AND( INDEX(TransTypes[],Transactions[[#This Row],[TTR]],TT_COL_GLFlag)=1, INDEX(TransTypes[],Transactions[[#This Row],[TTR]],TT_COL_LONGORSHORT)="S" ),
      Transactions[[#This Row],[PL]],
      IF(INDEX(TransTypes[],Transactions[[#This Row],[TTR]],TT_COL_LONGORSHORT)="S",0,Transactions[[#This Row],[CalCashImpact]])
)</f>
        <v>200000</v>
      </c>
      <c r="N1727" s="161">
        <f>IF(VLOOKUP(Transactions[[#This Row],[Symbol]],Symbols[],COLUMN(Symbols[Currency])-COLUMN(Symbols[])+1,FALSE)=
       VLOOKUP(Transactions[[#This Row],[Account]],Accounts[],COLUMN(Accounts[Currency])-COLUMN(Accounts[])+1,FALSE),
     Transactions[[#This Row],[OrigCashImpact]],
     0
)</f>
        <v>200000</v>
      </c>
      <c r="O172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227390.98000000027</v>
      </c>
      <c r="P172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2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27" s="41">
        <f>ROW()</f>
        <v>1727</v>
      </c>
      <c r="S17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2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27" s="166">
        <f>IF(INDEX(TransTypes[],Transactions[[#This Row],[TTR]],TT_COL_GLFlag)=1,Transactions[[#This Row],[CalCashImpact]]+Transactions[[#This Row],[CostImpact]],0)</f>
        <v>0</v>
      </c>
      <c r="W1727" s="167">
        <f>Transactions[[#This Row],[Amount]]*INDEX(TransTypes[],Transactions[[#This Row],[TTR]],TT_COL_AmntSign)</f>
        <v>200000</v>
      </c>
      <c r="X1727" s="167">
        <f>IF(INDEX(TransTypes[],Transactions[[#This Row],[TTR]],TT_COL_LONGORSHORT)="S",
      IF( OR(INDEX(TransTypes[],Transactions[[#This Row],[TTR]],TT_COL_GLFlag)=1, INDEX(TransTypes[], Transactions[[#This Row],[TTR]], TT_COL_ShareTransferFlag)=1),
            Transactions[[#This Row],[CostImpact]]*-1,
            Transactions[[#This Row],[CalCashImpact]]
      ),
     0
)</f>
        <v>0</v>
      </c>
      <c r="Y1727" s="168" t="str">
        <f>VLOOKUP(Transactions[[#This Row],[Symbol]],Symbols[], COLUMN(Symbols[Currency])-COLUMN(Symbols[])+1,FALSE)</f>
        <v>CNY</v>
      </c>
    </row>
    <row r="1728" spans="1:25">
      <c r="A1728" s="155" t="s">
        <v>82</v>
      </c>
      <c r="B1728" s="156">
        <v>43004</v>
      </c>
      <c r="C1728" s="155" t="s">
        <v>113</v>
      </c>
      <c r="D1728" s="155"/>
      <c r="E1728" s="155" t="s">
        <v>756</v>
      </c>
      <c r="F1728" s="157">
        <v>8000</v>
      </c>
      <c r="G1728" s="158">
        <v>37.71</v>
      </c>
      <c r="H1728" s="157">
        <v>126.71</v>
      </c>
      <c r="I1728" s="157"/>
      <c r="J1728" s="159">
        <v>301806.71000000002</v>
      </c>
      <c r="K1728" s="6" t="s">
        <v>641</v>
      </c>
      <c r="L1728" s="20">
        <f>IF(ISNA(MATCH(Transactions[[#This Row],[TransType]],TransTypes[TransType],0)),1,MATCH(Transactions[[#This Row],[TransType]],TransTypes[TransType],0))</f>
        <v>2</v>
      </c>
      <c r="M1728" s="160">
        <f>IF( AND( INDEX(TransTypes[],Transactions[[#This Row],[TTR]],TT_COL_GLFlag)=1, INDEX(TransTypes[],Transactions[[#This Row],[TTR]],TT_COL_LONGORSHORT)="S" ),
      Transactions[[#This Row],[PL]],
      IF(INDEX(TransTypes[],Transactions[[#This Row],[TTR]],TT_COL_LONGORSHORT)="S",0,Transactions[[#This Row],[CalCashImpact]])
)</f>
        <v>-301806.71000000002</v>
      </c>
      <c r="N1728" s="161">
        <f>IF(VLOOKUP(Transactions[[#This Row],[Symbol]],Symbols[],COLUMN(Symbols[Currency])-COLUMN(Symbols[])+1,FALSE)=
       VLOOKUP(Transactions[[#This Row],[Account]],Accounts[],COLUMN(Accounts[Currency])-COLUMN(Accounts[])+1,FALSE),
     Transactions[[#This Row],[OrigCashImpact]],
     0
)</f>
        <v>-301806.71000000002</v>
      </c>
      <c r="O172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-74415.729999999749</v>
      </c>
      <c r="P172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72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728" s="41">
        <f>ROW()</f>
        <v>1728</v>
      </c>
      <c r="S17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301806.71000000002</v>
      </c>
      <c r="T17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301806.71000000002</v>
      </c>
      <c r="U172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728" s="166">
        <f>IF(INDEX(TransTypes[],Transactions[[#This Row],[TTR]],TT_COL_GLFlag)=1,Transactions[[#This Row],[CalCashImpact]]+Transactions[[#This Row],[CostImpact]],0)</f>
        <v>0</v>
      </c>
      <c r="W1728" s="167">
        <f>Transactions[[#This Row],[Amount]]*INDEX(TransTypes[],Transactions[[#This Row],[TTR]],TT_COL_AmntSign)</f>
        <v>-301806.71000000002</v>
      </c>
      <c r="X1728" s="167">
        <f>IF(INDEX(TransTypes[],Transactions[[#This Row],[TTR]],TT_COL_LONGORSHORT)="S",
      IF( OR(INDEX(TransTypes[],Transactions[[#This Row],[TTR]],TT_COL_GLFlag)=1, INDEX(TransTypes[], Transactions[[#This Row],[TTR]], TT_COL_ShareTransferFlag)=1),
            Transactions[[#This Row],[CostImpact]]*-1,
            Transactions[[#This Row],[CalCashImpact]]
      ),
     0
)</f>
        <v>0</v>
      </c>
      <c r="Y1728" s="168" t="str">
        <f>VLOOKUP(Transactions[[#This Row],[Symbol]],Symbols[], COLUMN(Symbols[Currency])-COLUMN(Symbols[])+1,FALSE)</f>
        <v>CNY</v>
      </c>
    </row>
    <row r="1729" spans="1:25">
      <c r="A1729" s="155" t="s">
        <v>82</v>
      </c>
      <c r="B1729" s="156">
        <v>43004</v>
      </c>
      <c r="C1729" s="155" t="s">
        <v>115</v>
      </c>
      <c r="D1729" s="155"/>
      <c r="E1729" s="155" t="s">
        <v>755</v>
      </c>
      <c r="F1729" s="157">
        <v>4000</v>
      </c>
      <c r="G1729" s="158">
        <v>30.5</v>
      </c>
      <c r="H1729" s="157">
        <v>173.24</v>
      </c>
      <c r="I1729" s="157"/>
      <c r="J1729" s="159">
        <v>121826.76</v>
      </c>
      <c r="K1729" s="6" t="s">
        <v>641</v>
      </c>
      <c r="L1729" s="20">
        <f>IF(ISNA(MATCH(Transactions[[#This Row],[TransType]],TransTypes[TransType],0)),1,MATCH(Transactions[[#This Row],[TransType]],TransTypes[TransType],0))</f>
        <v>3</v>
      </c>
      <c r="M1729" s="160">
        <f>IF( AND( INDEX(TransTypes[],Transactions[[#This Row],[TTR]],TT_COL_GLFlag)=1, INDEX(TransTypes[],Transactions[[#This Row],[TTR]],TT_COL_LONGORSHORT)="S" ),
      Transactions[[#This Row],[PL]],
      IF(INDEX(TransTypes[],Transactions[[#This Row],[TTR]],TT_COL_LONGORSHORT)="S",0,Transactions[[#This Row],[CalCashImpact]])
)</f>
        <v>121826.76</v>
      </c>
      <c r="N1729" s="161">
        <f>IF(VLOOKUP(Transactions[[#This Row],[Symbol]],Symbols[],COLUMN(Symbols[Currency])-COLUMN(Symbols[])+1,FALSE)=
       VLOOKUP(Transactions[[#This Row],[Account]],Accounts[],COLUMN(Accounts[Currency])-COLUMN(Accounts[])+1,FALSE),
     Transactions[[#This Row],[OrigCashImpact]],
     0
)</f>
        <v>121826.76</v>
      </c>
      <c r="O172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47411.030000000261</v>
      </c>
      <c r="P172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2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729" s="41">
        <f>ROW()</f>
        <v>1729</v>
      </c>
      <c r="S17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-153464.42857142858</v>
      </c>
      <c r="T17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115098.32142857142</v>
      </c>
      <c r="U172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29" s="166">
        <f>IF(INDEX(TransTypes[],Transactions[[#This Row],[TTR]],TT_COL_GLFlag)=1,Transactions[[#This Row],[CalCashImpact]]+Transactions[[#This Row],[CostImpact]],0)</f>
        <v>-31637.668571428585</v>
      </c>
      <c r="W1729" s="167">
        <f>Transactions[[#This Row],[Amount]]*INDEX(TransTypes[],Transactions[[#This Row],[TTR]],TT_COL_AmntSign)</f>
        <v>121826.76</v>
      </c>
      <c r="X1729" s="167">
        <f>IF(INDEX(TransTypes[],Transactions[[#This Row],[TTR]],TT_COL_LONGORSHORT)="S",
      IF( OR(INDEX(TransTypes[],Transactions[[#This Row],[TTR]],TT_COL_GLFlag)=1, INDEX(TransTypes[], Transactions[[#This Row],[TTR]], TT_COL_ShareTransferFlag)=1),
            Transactions[[#This Row],[CostImpact]]*-1,
            Transactions[[#This Row],[CalCashImpact]]
      ),
     0
)</f>
        <v>0</v>
      </c>
      <c r="Y1729" s="168" t="str">
        <f>VLOOKUP(Transactions[[#This Row],[Symbol]],Symbols[], COLUMN(Symbols[Currency])-COLUMN(Symbols[])+1,FALSE)</f>
        <v>CNY</v>
      </c>
    </row>
    <row r="1730" spans="1:25">
      <c r="A1730" s="155" t="s">
        <v>82</v>
      </c>
      <c r="B1730" s="156">
        <v>43006</v>
      </c>
      <c r="C1730" s="155" t="s">
        <v>115</v>
      </c>
      <c r="D1730" s="155"/>
      <c r="E1730" s="155" t="s">
        <v>493</v>
      </c>
      <c r="F1730" s="157">
        <v>650</v>
      </c>
      <c r="G1730" s="158">
        <v>41.47</v>
      </c>
      <c r="H1730" s="157">
        <v>37.729999999999997</v>
      </c>
      <c r="I1730" s="157"/>
      <c r="J1730" s="159">
        <v>26917.77</v>
      </c>
      <c r="K1730" s="6" t="s">
        <v>641</v>
      </c>
      <c r="L1730" s="20">
        <f>IF(ISNA(MATCH(Transactions[[#This Row],[TransType]],TransTypes[TransType],0)),1,MATCH(Transactions[[#This Row],[TransType]],TransTypes[TransType],0))</f>
        <v>3</v>
      </c>
      <c r="M1730" s="160">
        <f>IF( AND( INDEX(TransTypes[],Transactions[[#This Row],[TTR]],TT_COL_GLFlag)=1, INDEX(TransTypes[],Transactions[[#This Row],[TTR]],TT_COL_LONGORSHORT)="S" ),
      Transactions[[#This Row],[PL]],
      IF(INDEX(TransTypes[],Transactions[[#This Row],[TTR]],TT_COL_LONGORSHORT)="S",0,Transactions[[#This Row],[CalCashImpact]])
)</f>
        <v>26917.77</v>
      </c>
      <c r="N1730" s="161">
        <f>IF(VLOOKUP(Transactions[[#This Row],[Symbol]],Symbols[],COLUMN(Symbols[Currency])-COLUMN(Symbols[])+1,FALSE)=
       VLOOKUP(Transactions[[#This Row],[Account]],Accounts[],COLUMN(Accounts[Currency])-COLUMN(Accounts[])+1,FALSE),
     Transactions[[#This Row],[OrigCashImpact]],
     0
)</f>
        <v>26917.77</v>
      </c>
      <c r="O173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74328.80000000025</v>
      </c>
      <c r="P173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-650</v>
      </c>
      <c r="Q173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30" s="41">
        <f>ROW()</f>
        <v>1730</v>
      </c>
      <c r="S17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-26208.305217391306</v>
      </c>
      <c r="T17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3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650</v>
      </c>
      <c r="V1730" s="166">
        <f>IF(INDEX(TransTypes[],Transactions[[#This Row],[TTR]],TT_COL_GLFlag)=1,Transactions[[#This Row],[CalCashImpact]]+Transactions[[#This Row],[CostImpact]],0)</f>
        <v>709.4647826086948</v>
      </c>
      <c r="W1730" s="167">
        <f>Transactions[[#This Row],[Amount]]*INDEX(TransTypes[],Transactions[[#This Row],[TTR]],TT_COL_AmntSign)</f>
        <v>26917.77</v>
      </c>
      <c r="X1730" s="167">
        <f>IF(INDEX(TransTypes[],Transactions[[#This Row],[TTR]],TT_COL_LONGORSHORT)="S",
      IF( OR(INDEX(TransTypes[],Transactions[[#This Row],[TTR]],TT_COL_GLFlag)=1, INDEX(TransTypes[], Transactions[[#This Row],[TTR]], TT_COL_ShareTransferFlag)=1),
            Transactions[[#This Row],[CostImpact]]*-1,
            Transactions[[#This Row],[CalCashImpact]]
      ),
     0
)</f>
        <v>0</v>
      </c>
      <c r="Y1730" s="168" t="str">
        <f>VLOOKUP(Transactions[[#This Row],[Symbol]],Symbols[], COLUMN(Symbols[Currency])-COLUMN(Symbols[])+1,FALSE)</f>
        <v>CNY</v>
      </c>
    </row>
    <row r="1731" spans="1:25">
      <c r="A1731" s="155" t="s">
        <v>82</v>
      </c>
      <c r="B1731" s="156">
        <v>43006</v>
      </c>
      <c r="C1731" s="155" t="s">
        <v>113</v>
      </c>
      <c r="D1731" s="155"/>
      <c r="E1731" s="155" t="s">
        <v>463</v>
      </c>
      <c r="F1731" s="157">
        <v>4000</v>
      </c>
      <c r="G1731" s="158">
        <v>25.23</v>
      </c>
      <c r="H1731" s="157">
        <v>42.38</v>
      </c>
      <c r="I1731" s="157"/>
      <c r="J1731" s="159">
        <v>100962.38</v>
      </c>
      <c r="K1731" s="6" t="s">
        <v>641</v>
      </c>
      <c r="L1731" s="20">
        <f>IF(ISNA(MATCH(Transactions[[#This Row],[TransType]],TransTypes[TransType],0)),1,MATCH(Transactions[[#This Row],[TransType]],TransTypes[TransType],0))</f>
        <v>2</v>
      </c>
      <c r="M1731" s="160">
        <f>IF( AND( INDEX(TransTypes[],Transactions[[#This Row],[TTR]],TT_COL_GLFlag)=1, INDEX(TransTypes[],Transactions[[#This Row],[TTR]],TT_COL_LONGORSHORT)="S" ),
      Transactions[[#This Row],[PL]],
      IF(INDEX(TransTypes[],Transactions[[#This Row],[TTR]],TT_COL_LONGORSHORT)="S",0,Transactions[[#This Row],[CalCashImpact]])
)</f>
        <v>-100962.38</v>
      </c>
      <c r="N1731" s="161">
        <f>IF(VLOOKUP(Transactions[[#This Row],[Symbol]],Symbols[],COLUMN(Symbols[Currency])-COLUMN(Symbols[])+1,FALSE)=
       VLOOKUP(Transactions[[#This Row],[Account]],Accounts[],COLUMN(Accounts[Currency])-COLUMN(Accounts[])+1,FALSE),
     Transactions[[#This Row],[OrigCashImpact]],
     0
)</f>
        <v>-100962.38</v>
      </c>
      <c r="O173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-26633.579999999754</v>
      </c>
      <c r="P173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3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731" s="41">
        <f>ROW()</f>
        <v>1731</v>
      </c>
      <c r="S17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100962.38</v>
      </c>
      <c r="T17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100962.38</v>
      </c>
      <c r="U173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731" s="166">
        <f>IF(INDEX(TransTypes[],Transactions[[#This Row],[TTR]],TT_COL_GLFlag)=1,Transactions[[#This Row],[CalCashImpact]]+Transactions[[#This Row],[CostImpact]],0)</f>
        <v>0</v>
      </c>
      <c r="W1731" s="167">
        <f>Transactions[[#This Row],[Amount]]*INDEX(TransTypes[],Transactions[[#This Row],[TTR]],TT_COL_AmntSign)</f>
        <v>-100962.38</v>
      </c>
      <c r="X1731" s="167">
        <f>IF(INDEX(TransTypes[],Transactions[[#This Row],[TTR]],TT_COL_LONGORSHORT)="S",
      IF( OR(INDEX(TransTypes[],Transactions[[#This Row],[TTR]],TT_COL_GLFlag)=1, INDEX(TransTypes[], Transactions[[#This Row],[TTR]], TT_COL_ShareTransferFlag)=1),
            Transactions[[#This Row],[CostImpact]]*-1,
            Transactions[[#This Row],[CalCashImpact]]
      ),
     0
)</f>
        <v>0</v>
      </c>
      <c r="Y1731" s="168" t="str">
        <f>VLOOKUP(Transactions[[#This Row],[Symbol]],Symbols[], COLUMN(Symbols[Currency])-COLUMN(Symbols[])+1,FALSE)</f>
        <v>CNY</v>
      </c>
    </row>
    <row r="1732" spans="1:25">
      <c r="A1732" s="155" t="s">
        <v>82</v>
      </c>
      <c r="B1732" s="156">
        <v>43006</v>
      </c>
      <c r="C1732" s="155" t="s">
        <v>115</v>
      </c>
      <c r="D1732" s="155"/>
      <c r="E1732" s="155" t="s">
        <v>755</v>
      </c>
      <c r="F1732" s="157">
        <v>3000</v>
      </c>
      <c r="G1732" s="158">
        <v>30.62</v>
      </c>
      <c r="H1732" s="157">
        <v>130.44</v>
      </c>
      <c r="I1732" s="157"/>
      <c r="J1732" s="159">
        <v>91729.56</v>
      </c>
      <c r="K1732" s="6" t="s">
        <v>641</v>
      </c>
      <c r="L1732" s="20">
        <f>IF(ISNA(MATCH(Transactions[[#This Row],[TransType]],TransTypes[TransType],0)),1,MATCH(Transactions[[#This Row],[TransType]],TransTypes[TransType],0))</f>
        <v>3</v>
      </c>
      <c r="M1732" s="160">
        <f>IF( AND( INDEX(TransTypes[],Transactions[[#This Row],[TTR]],TT_COL_GLFlag)=1, INDEX(TransTypes[],Transactions[[#This Row],[TTR]],TT_COL_LONGORSHORT)="S" ),
      Transactions[[#This Row],[PL]],
      IF(INDEX(TransTypes[],Transactions[[#This Row],[TTR]],TT_COL_LONGORSHORT)="S",0,Transactions[[#This Row],[CalCashImpact]])
)</f>
        <v>91729.56</v>
      </c>
      <c r="N1732" s="161">
        <f>IF(VLOOKUP(Transactions[[#This Row],[Symbol]],Symbols[],COLUMN(Symbols[Currency])-COLUMN(Symbols[])+1,FALSE)=
       VLOOKUP(Transactions[[#This Row],[Account]],Accounts[],COLUMN(Accounts[Currency])-COLUMN(Accounts[])+1,FALSE),
     Transactions[[#This Row],[OrigCashImpact]],
     0
)</f>
        <v>91729.56</v>
      </c>
      <c r="O173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65095.980000000243</v>
      </c>
      <c r="P173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73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32" s="41">
        <f>ROW()</f>
        <v>1732</v>
      </c>
      <c r="S17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-115098.32142857142</v>
      </c>
      <c r="T17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3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3000</v>
      </c>
      <c r="V1732" s="166">
        <f>IF(INDEX(TransTypes[],Transactions[[#This Row],[TTR]],TT_COL_GLFlag)=1,Transactions[[#This Row],[CalCashImpact]]+Transactions[[#This Row],[CostImpact]],0)</f>
        <v>-23368.761428571423</v>
      </c>
      <c r="W1732" s="167">
        <f>Transactions[[#This Row],[Amount]]*INDEX(TransTypes[],Transactions[[#This Row],[TTR]],TT_COL_AmntSign)</f>
        <v>91729.56</v>
      </c>
      <c r="X1732" s="167">
        <f>IF(INDEX(TransTypes[],Transactions[[#This Row],[TTR]],TT_COL_LONGORSHORT)="S",
      IF( OR(INDEX(TransTypes[],Transactions[[#This Row],[TTR]],TT_COL_GLFlag)=1, INDEX(TransTypes[], Transactions[[#This Row],[TTR]], TT_COL_ShareTransferFlag)=1),
            Transactions[[#This Row],[CostImpact]]*-1,
            Transactions[[#This Row],[CalCashImpact]]
      ),
     0
)</f>
        <v>0</v>
      </c>
      <c r="Y1732" s="168" t="str">
        <f>VLOOKUP(Transactions[[#This Row],[Symbol]],Symbols[], COLUMN(Symbols[Currency])-COLUMN(Symbols[])+1,FALSE)</f>
        <v>CNY</v>
      </c>
    </row>
    <row r="1733" spans="1:25">
      <c r="A1733" s="155" t="s">
        <v>82</v>
      </c>
      <c r="B1733" s="156">
        <v>43017</v>
      </c>
      <c r="C1733" s="155" t="s">
        <v>115</v>
      </c>
      <c r="D1733" s="155"/>
      <c r="E1733" s="155" t="s">
        <v>258</v>
      </c>
      <c r="F1733" s="157">
        <v>6000</v>
      </c>
      <c r="G1733" s="158">
        <v>38.799999999999997</v>
      </c>
      <c r="H1733" s="157">
        <v>960.69</v>
      </c>
      <c r="I1733" s="157"/>
      <c r="J1733" s="159">
        <v>231839.31</v>
      </c>
      <c r="K1733" s="6" t="s">
        <v>641</v>
      </c>
      <c r="L1733" s="20">
        <f>IF(ISNA(MATCH(Transactions[[#This Row],[TransType]],TransTypes[TransType],0)),1,MATCH(Transactions[[#This Row],[TransType]],TransTypes[TransType],0))</f>
        <v>3</v>
      </c>
      <c r="M1733" s="160">
        <f>IF( AND( INDEX(TransTypes[],Transactions[[#This Row],[TTR]],TT_COL_GLFlag)=1, INDEX(TransTypes[],Transactions[[#This Row],[TTR]],TT_COL_LONGORSHORT)="S" ),
      Transactions[[#This Row],[PL]],
      IF(INDEX(TransTypes[],Transactions[[#This Row],[TTR]],TT_COL_LONGORSHORT)="S",0,Transactions[[#This Row],[CalCashImpact]])
)</f>
        <v>231839.31</v>
      </c>
      <c r="N1733" s="161">
        <f>IF(VLOOKUP(Transactions[[#This Row],[Symbol]],Symbols[],COLUMN(Symbols[Currency])-COLUMN(Symbols[])+1,FALSE)=
       VLOOKUP(Transactions[[#This Row],[Account]],Accounts[],COLUMN(Accounts[Currency])-COLUMN(Accounts[])+1,FALSE),
     Transactions[[#This Row],[OrigCashImpact]],
     0
)</f>
        <v>0</v>
      </c>
      <c r="O173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65095.980000000243</v>
      </c>
      <c r="P173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-6000</v>
      </c>
      <c r="Q173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733" s="41">
        <f>ROW()</f>
        <v>1733</v>
      </c>
      <c r="S17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-55435.923500000026</v>
      </c>
      <c r="T17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18478.641166666675</v>
      </c>
      <c r="U173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733" s="166">
        <f>IF(INDEX(TransTypes[],Transactions[[#This Row],[TTR]],TT_COL_GLFlag)=1,Transactions[[#This Row],[CalCashImpact]]+Transactions[[#This Row],[CostImpact]],0)</f>
        <v>176403.38649999996</v>
      </c>
      <c r="W1733" s="167">
        <f>Transactions[[#This Row],[Amount]]*INDEX(TransTypes[],Transactions[[#This Row],[TTR]],TT_COL_AmntSign)</f>
        <v>231839.31</v>
      </c>
      <c r="X1733" s="167">
        <f>IF(INDEX(TransTypes[],Transactions[[#This Row],[TTR]],TT_COL_LONGORSHORT)="S",
      IF( OR(INDEX(TransTypes[],Transactions[[#This Row],[TTR]],TT_COL_GLFlag)=1, INDEX(TransTypes[], Transactions[[#This Row],[TTR]], TT_COL_ShareTransferFlag)=1),
            Transactions[[#This Row],[CostImpact]]*-1,
            Transactions[[#This Row],[CalCashImpact]]
      ),
     0
)</f>
        <v>0</v>
      </c>
      <c r="Y1733" s="168" t="str">
        <f>VLOOKUP(Transactions[[#This Row],[Symbol]],Symbols[], COLUMN(Symbols[Currency])-COLUMN(Symbols[])+1,FALSE)</f>
        <v>HKD</v>
      </c>
    </row>
    <row r="1734" spans="1:25">
      <c r="A1734" s="155" t="s">
        <v>82</v>
      </c>
      <c r="B1734" s="156">
        <v>43026</v>
      </c>
      <c r="C1734" s="172" t="s">
        <v>152</v>
      </c>
      <c r="D1734" s="155"/>
      <c r="E1734" s="155" t="s">
        <v>211</v>
      </c>
      <c r="F1734" s="157">
        <v>231839.31</v>
      </c>
      <c r="G1734" s="158">
        <v>0.85178876696000005</v>
      </c>
      <c r="H1734" s="157"/>
      <c r="I1734" s="157"/>
      <c r="J1734" s="159">
        <v>197478.12</v>
      </c>
      <c r="K1734" s="6" t="s">
        <v>641</v>
      </c>
      <c r="L1734" s="20">
        <f>IF(ISNA(MATCH(Transactions[[#This Row],[TransType]],TransTypes[TransType],0)),1,MATCH(Transactions[[#This Row],[TransType]],TransTypes[TransType],0))</f>
        <v>15</v>
      </c>
      <c r="M1734" s="160">
        <f>IF( AND( INDEX(TransTypes[],Transactions[[#This Row],[TTR]],TT_COL_GLFlag)=1, INDEX(TransTypes[],Transactions[[#This Row],[TTR]],TT_COL_LONGORSHORT)="S" ),
      Transactions[[#This Row],[PL]],
      IF(INDEX(TransTypes[],Transactions[[#This Row],[TTR]],TT_COL_LONGORSHORT)="S",0,Transactions[[#This Row],[CalCashImpact]])
)</f>
        <v>197478.12</v>
      </c>
      <c r="N1734" s="161">
        <f>IF(VLOOKUP(Transactions[[#This Row],[Symbol]],Symbols[],COLUMN(Symbols[Currency])-COLUMN(Symbols[])+1,FALSE)=
       VLOOKUP(Transactions[[#This Row],[Account]],Accounts[],COLUMN(Accounts[Currency])-COLUMN(Accounts[])+1,FALSE),
     Transactions[[#This Row],[OrigCashImpact]],
     0
)</f>
        <v>197478.12</v>
      </c>
      <c r="O173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262574.10000000021</v>
      </c>
      <c r="P173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3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34" s="41">
        <f>ROW()</f>
        <v>1734</v>
      </c>
      <c r="S17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3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34" s="166">
        <f>IF(INDEX(TransTypes[],Transactions[[#This Row],[TTR]],TT_COL_GLFlag)=1,Transactions[[#This Row],[CalCashImpact]]+Transactions[[#This Row],[CostImpact]],0)</f>
        <v>0</v>
      </c>
      <c r="W1734" s="167">
        <f>Transactions[[#This Row],[Amount]]*INDEX(TransTypes[],Transactions[[#This Row],[TTR]],TT_COL_AmntSign)</f>
        <v>197478.12</v>
      </c>
      <c r="X1734" s="167">
        <f>IF(INDEX(TransTypes[],Transactions[[#This Row],[TTR]],TT_COL_LONGORSHORT)="S",
      IF( OR(INDEX(TransTypes[],Transactions[[#This Row],[TTR]],TT_COL_GLFlag)=1, INDEX(TransTypes[], Transactions[[#This Row],[TTR]], TT_COL_ShareTransferFlag)=1),
            Transactions[[#This Row],[CostImpact]]*-1,
            Transactions[[#This Row],[CalCashImpact]]
      ),
     0
)</f>
        <v>0</v>
      </c>
      <c r="Y1734" s="168" t="str">
        <f>VLOOKUP(Transactions[[#This Row],[Symbol]],Symbols[], COLUMN(Symbols[Currency])-COLUMN(Symbols[])+1,FALSE)</f>
        <v>CNY</v>
      </c>
    </row>
    <row r="1735" spans="1:25">
      <c r="A1735" s="155" t="s">
        <v>82</v>
      </c>
      <c r="B1735" s="156">
        <v>43026</v>
      </c>
      <c r="C1735" s="155" t="s">
        <v>238</v>
      </c>
      <c r="D1735" s="155"/>
      <c r="E1735" s="172" t="s">
        <v>210</v>
      </c>
      <c r="F1735" s="157">
        <v>231839.31</v>
      </c>
      <c r="G1735" s="158">
        <v>1</v>
      </c>
      <c r="H1735" s="157"/>
      <c r="I1735" s="157"/>
      <c r="J1735" s="159">
        <v>231839.31</v>
      </c>
      <c r="K1735" s="6" t="s">
        <v>641</v>
      </c>
      <c r="L1735" s="20">
        <f>IF(ISNA(MATCH(Transactions[[#This Row],[TransType]],TransTypes[TransType],0)),1,MATCH(Transactions[[#This Row],[TransType]],TransTypes[TransType],0))</f>
        <v>16</v>
      </c>
      <c r="M1735" s="160">
        <f>IF( AND( INDEX(TransTypes[],Transactions[[#This Row],[TTR]],TT_COL_GLFlag)=1, INDEX(TransTypes[],Transactions[[#This Row],[TTR]],TT_COL_LONGORSHORT)="S" ),
      Transactions[[#This Row],[PL]],
      IF(INDEX(TransTypes[],Transactions[[#This Row],[TTR]],TT_COL_LONGORSHORT)="S",0,Transactions[[#This Row],[CalCashImpact]])
)</f>
        <v>-231839.31</v>
      </c>
      <c r="N1735" s="161">
        <f>IF(VLOOKUP(Transactions[[#This Row],[Symbol]],Symbols[],COLUMN(Symbols[Currency])-COLUMN(Symbols[])+1,FALSE)=
       VLOOKUP(Transactions[[#This Row],[Account]],Accounts[],COLUMN(Accounts[Currency])-COLUMN(Accounts[])+1,FALSE),
     Transactions[[#This Row],[OrigCashImpact]],
     0
)</f>
        <v>0</v>
      </c>
      <c r="O173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262574.10000000021</v>
      </c>
      <c r="P173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3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35" s="41">
        <f>ROW()</f>
        <v>1735</v>
      </c>
      <c r="S17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3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35" s="166">
        <f>IF(INDEX(TransTypes[],Transactions[[#This Row],[TTR]],TT_COL_GLFlag)=1,Transactions[[#This Row],[CalCashImpact]]+Transactions[[#This Row],[CostImpact]],0)</f>
        <v>0</v>
      </c>
      <c r="W1735" s="167">
        <f>Transactions[[#This Row],[Amount]]*INDEX(TransTypes[],Transactions[[#This Row],[TTR]],TT_COL_AmntSign)</f>
        <v>-231839.31</v>
      </c>
      <c r="X1735" s="167">
        <f>IF(INDEX(TransTypes[],Transactions[[#This Row],[TTR]],TT_COL_LONGORSHORT)="S",
      IF( OR(INDEX(TransTypes[],Transactions[[#This Row],[TTR]],TT_COL_GLFlag)=1, INDEX(TransTypes[], Transactions[[#This Row],[TTR]], TT_COL_ShareTransferFlag)=1),
            Transactions[[#This Row],[CostImpact]]*-1,
            Transactions[[#This Row],[CalCashImpact]]
      ),
     0
)</f>
        <v>0</v>
      </c>
      <c r="Y1735" s="168" t="str">
        <f>VLOOKUP(Transactions[[#This Row],[Symbol]],Symbols[], COLUMN(Symbols[Currency])-COLUMN(Symbols[])+1,FALSE)</f>
        <v>HKD</v>
      </c>
    </row>
    <row r="1736" spans="1:25">
      <c r="A1736" s="155" t="s">
        <v>82</v>
      </c>
      <c r="B1736" s="156">
        <v>43027</v>
      </c>
      <c r="C1736" s="155" t="s">
        <v>113</v>
      </c>
      <c r="D1736" s="155"/>
      <c r="E1736" s="155" t="s">
        <v>485</v>
      </c>
      <c r="F1736" s="157">
        <v>12000</v>
      </c>
      <c r="G1736" s="158">
        <v>13.06</v>
      </c>
      <c r="H1736" s="157">
        <v>65.819999999999993</v>
      </c>
      <c r="I1736" s="157"/>
      <c r="J1736" s="159">
        <v>156785.82</v>
      </c>
      <c r="K1736" s="6" t="s">
        <v>641</v>
      </c>
      <c r="L1736" s="20">
        <f>IF(ISNA(MATCH(Transactions[[#This Row],[TransType]],TransTypes[TransType],0)),1,MATCH(Transactions[[#This Row],[TransType]],TransTypes[TransType],0))</f>
        <v>2</v>
      </c>
      <c r="M1736" s="160">
        <f>IF( AND( INDEX(TransTypes[],Transactions[[#This Row],[TTR]],TT_COL_GLFlag)=1, INDEX(TransTypes[],Transactions[[#This Row],[TTR]],TT_COL_LONGORSHORT)="S" ),
      Transactions[[#This Row],[PL]],
      IF(INDEX(TransTypes[],Transactions[[#This Row],[TTR]],TT_COL_LONGORSHORT)="S",0,Transactions[[#This Row],[CalCashImpact]])
)</f>
        <v>-156785.82</v>
      </c>
      <c r="N1736" s="161">
        <f>IF(VLOOKUP(Transactions[[#This Row],[Symbol]],Symbols[],COLUMN(Symbols[Currency])-COLUMN(Symbols[])+1,FALSE)=
       VLOOKUP(Transactions[[#This Row],[Account]],Accounts[],COLUMN(Accounts[Currency])-COLUMN(Accounts[])+1,FALSE),
     Transactions[[#This Row],[OrigCashImpact]],
     0
)</f>
        <v>-156785.82</v>
      </c>
      <c r="O173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105788.2800000002</v>
      </c>
      <c r="P173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12000</v>
      </c>
      <c r="Q173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736" s="41">
        <f>ROW()</f>
        <v>1736</v>
      </c>
      <c r="S17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156785.82</v>
      </c>
      <c r="T17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156785.82</v>
      </c>
      <c r="U173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736" s="166">
        <f>IF(INDEX(TransTypes[],Transactions[[#This Row],[TTR]],TT_COL_GLFlag)=1,Transactions[[#This Row],[CalCashImpact]]+Transactions[[#This Row],[CostImpact]],0)</f>
        <v>0</v>
      </c>
      <c r="W1736" s="167">
        <f>Transactions[[#This Row],[Amount]]*INDEX(TransTypes[],Transactions[[#This Row],[TTR]],TT_COL_AmntSign)</f>
        <v>-156785.82</v>
      </c>
      <c r="X1736" s="167">
        <f>IF(INDEX(TransTypes[],Transactions[[#This Row],[TTR]],TT_COL_LONGORSHORT)="S",
      IF( OR(INDEX(TransTypes[],Transactions[[#This Row],[TTR]],TT_COL_GLFlag)=1, INDEX(TransTypes[], Transactions[[#This Row],[TTR]], TT_COL_ShareTransferFlag)=1),
            Transactions[[#This Row],[CostImpact]]*-1,
            Transactions[[#This Row],[CalCashImpact]]
      ),
     0
)</f>
        <v>0</v>
      </c>
      <c r="Y1736" s="168" t="str">
        <f>VLOOKUP(Transactions[[#This Row],[Symbol]],Symbols[], COLUMN(Symbols[Currency])-COLUMN(Symbols[])+1,FALSE)</f>
        <v>CNY</v>
      </c>
    </row>
    <row r="1737" spans="1:25">
      <c r="A1737" s="155" t="s">
        <v>82</v>
      </c>
      <c r="B1737" s="156">
        <v>43028</v>
      </c>
      <c r="C1737" s="155" t="s">
        <v>113</v>
      </c>
      <c r="D1737" s="155"/>
      <c r="E1737" s="155" t="s">
        <v>467</v>
      </c>
      <c r="F1737" s="157">
        <v>20000</v>
      </c>
      <c r="G1737" s="158">
        <v>13.05</v>
      </c>
      <c r="H1737" s="157">
        <v>104.4</v>
      </c>
      <c r="I1737" s="157"/>
      <c r="J1737" s="159">
        <v>261104.4</v>
      </c>
      <c r="K1737" s="6" t="s">
        <v>641</v>
      </c>
      <c r="L1737" s="20">
        <f>IF(ISNA(MATCH(Transactions[[#This Row],[TransType]],TransTypes[TransType],0)),1,MATCH(Transactions[[#This Row],[TransType]],TransTypes[TransType],0))</f>
        <v>2</v>
      </c>
      <c r="M1737" s="160">
        <f>IF( AND( INDEX(TransTypes[],Transactions[[#This Row],[TTR]],TT_COL_GLFlag)=1, INDEX(TransTypes[],Transactions[[#This Row],[TTR]],TT_COL_LONGORSHORT)="S" ),
      Transactions[[#This Row],[PL]],
      IF(INDEX(TransTypes[],Transactions[[#This Row],[TTR]],TT_COL_LONGORSHORT)="S",0,Transactions[[#This Row],[CalCashImpact]])
)</f>
        <v>-261104.4</v>
      </c>
      <c r="N1737" s="161">
        <f>IF(VLOOKUP(Transactions[[#This Row],[Symbol]],Symbols[],COLUMN(Symbols[Currency])-COLUMN(Symbols[])+1,FALSE)=
       VLOOKUP(Transactions[[#This Row],[Account]],Accounts[],COLUMN(Accounts[Currency])-COLUMN(Accounts[])+1,FALSE),
     Transactions[[#This Row],[OrigCashImpact]],
     0
)</f>
        <v>-261104.4</v>
      </c>
      <c r="O173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-155316.11999999979</v>
      </c>
      <c r="P173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73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737" s="41">
        <f>ROW()</f>
        <v>1737</v>
      </c>
      <c r="S17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261104.4</v>
      </c>
      <c r="T17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261104.4</v>
      </c>
      <c r="U173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737" s="166">
        <f>IF(INDEX(TransTypes[],Transactions[[#This Row],[TTR]],TT_COL_GLFlag)=1,Transactions[[#This Row],[CalCashImpact]]+Transactions[[#This Row],[CostImpact]],0)</f>
        <v>0</v>
      </c>
      <c r="W1737" s="167">
        <f>Transactions[[#This Row],[Amount]]*INDEX(TransTypes[],Transactions[[#This Row],[TTR]],TT_COL_AmntSign)</f>
        <v>-261104.4</v>
      </c>
      <c r="X1737" s="167">
        <f>IF(INDEX(TransTypes[],Transactions[[#This Row],[TTR]],TT_COL_LONGORSHORT)="S",
      IF( OR(INDEX(TransTypes[],Transactions[[#This Row],[TTR]],TT_COL_GLFlag)=1, INDEX(TransTypes[], Transactions[[#This Row],[TTR]], TT_COL_ShareTransferFlag)=1),
            Transactions[[#This Row],[CostImpact]]*-1,
            Transactions[[#This Row],[CalCashImpact]]
      ),
     0
)</f>
        <v>0</v>
      </c>
      <c r="Y1737" s="168" t="str">
        <f>VLOOKUP(Transactions[[#This Row],[Symbol]],Symbols[], COLUMN(Symbols[Currency])-COLUMN(Symbols[])+1,FALSE)</f>
        <v>CNY</v>
      </c>
    </row>
    <row r="1738" spans="1:25">
      <c r="A1738" s="155" t="s">
        <v>82</v>
      </c>
      <c r="B1738" s="156">
        <v>43028</v>
      </c>
      <c r="C1738" s="155" t="s">
        <v>115</v>
      </c>
      <c r="D1738" s="155"/>
      <c r="E1738" s="155" t="s">
        <v>730</v>
      </c>
      <c r="F1738" s="157">
        <v>2000</v>
      </c>
      <c r="G1738" s="158">
        <v>59.057000000000002</v>
      </c>
      <c r="H1738" s="157">
        <v>165.39</v>
      </c>
      <c r="I1738" s="157"/>
      <c r="J1738" s="159">
        <v>117948.61</v>
      </c>
      <c r="K1738" s="6" t="s">
        <v>641</v>
      </c>
      <c r="L1738" s="20">
        <f>IF(ISNA(MATCH(Transactions[[#This Row],[TransType]],TransTypes[TransType],0)),1,MATCH(Transactions[[#This Row],[TransType]],TransTypes[TransType],0))</f>
        <v>3</v>
      </c>
      <c r="M1738" s="160">
        <f>IF( AND( INDEX(TransTypes[],Transactions[[#This Row],[TTR]],TT_COL_GLFlag)=1, INDEX(TransTypes[],Transactions[[#This Row],[TTR]],TT_COL_LONGORSHORT)="S" ),
      Transactions[[#This Row],[PL]],
      IF(INDEX(TransTypes[],Transactions[[#This Row],[TTR]],TT_COL_LONGORSHORT)="S",0,Transactions[[#This Row],[CalCashImpact]])
)</f>
        <v>117948.61</v>
      </c>
      <c r="N1738" s="161">
        <f>IF(VLOOKUP(Transactions[[#This Row],[Symbol]],Symbols[],COLUMN(Symbols[Currency])-COLUMN(Symbols[])+1,FALSE)=
       VLOOKUP(Transactions[[#This Row],[Account]],Accounts[],COLUMN(Accounts[Currency])-COLUMN(Accounts[])+1,FALSE),
     Transactions[[#This Row],[OrigCashImpact]],
     0
)</f>
        <v>117948.61</v>
      </c>
      <c r="O173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-37367.509999999776</v>
      </c>
      <c r="P173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3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v>
      </c>
      <c r="R1738" s="41">
        <f>ROW()</f>
        <v>1738</v>
      </c>
      <c r="S17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-105516.85733333333</v>
      </c>
      <c r="T17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131896.07166666666</v>
      </c>
      <c r="U173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4500</v>
      </c>
      <c r="V1738" s="166">
        <f>IF(INDEX(TransTypes[],Transactions[[#This Row],[TTR]],TT_COL_GLFlag)=1,Transactions[[#This Row],[CalCashImpact]]+Transactions[[#This Row],[CostImpact]],0)</f>
        <v>12431.752666666667</v>
      </c>
      <c r="W1738" s="167">
        <f>Transactions[[#This Row],[Amount]]*INDEX(TransTypes[],Transactions[[#This Row],[TTR]],TT_COL_AmntSign)</f>
        <v>117948.61</v>
      </c>
      <c r="X1738" s="167">
        <f>IF(INDEX(TransTypes[],Transactions[[#This Row],[TTR]],TT_COL_LONGORSHORT)="S",
      IF( OR(INDEX(TransTypes[],Transactions[[#This Row],[TTR]],TT_COL_GLFlag)=1, INDEX(TransTypes[], Transactions[[#This Row],[TTR]], TT_COL_ShareTransferFlag)=1),
            Transactions[[#This Row],[CostImpact]]*-1,
            Transactions[[#This Row],[CalCashImpact]]
      ),
     0
)</f>
        <v>0</v>
      </c>
      <c r="Y1738" s="168" t="str">
        <f>VLOOKUP(Transactions[[#This Row],[Symbol]],Symbols[], COLUMN(Symbols[Currency])-COLUMN(Symbols[])+1,FALSE)</f>
        <v>CNY</v>
      </c>
    </row>
    <row r="1739" spans="1:25">
      <c r="A1739" s="155" t="s">
        <v>82</v>
      </c>
      <c r="B1739" s="156">
        <v>43028</v>
      </c>
      <c r="C1739" s="155" t="s">
        <v>115</v>
      </c>
      <c r="D1739" s="155"/>
      <c r="E1739" s="155" t="s">
        <v>482</v>
      </c>
      <c r="F1739" s="157">
        <v>1000</v>
      </c>
      <c r="G1739" s="158">
        <v>40.18</v>
      </c>
      <c r="H1739" s="157">
        <v>56.26</v>
      </c>
      <c r="I1739" s="157"/>
      <c r="J1739" s="159">
        <v>40123.74</v>
      </c>
      <c r="K1739" s="6" t="s">
        <v>641</v>
      </c>
      <c r="L1739" s="20">
        <f>IF(ISNA(MATCH(Transactions[[#This Row],[TransType]],TransTypes[TransType],0)),1,MATCH(Transactions[[#This Row],[TransType]],TransTypes[TransType],0))</f>
        <v>3</v>
      </c>
      <c r="M1739" s="160">
        <f>IF( AND( INDEX(TransTypes[],Transactions[[#This Row],[TTR]],TT_COL_GLFlag)=1, INDEX(TransTypes[],Transactions[[#This Row],[TTR]],TT_COL_LONGORSHORT)="S" ),
      Transactions[[#This Row],[PL]],
      IF(INDEX(TransTypes[],Transactions[[#This Row],[TTR]],TT_COL_LONGORSHORT)="S",0,Transactions[[#This Row],[CalCashImpact]])
)</f>
        <v>40123.74</v>
      </c>
      <c r="N1739" s="161">
        <f>IF(VLOOKUP(Transactions[[#This Row],[Symbol]],Symbols[],COLUMN(Symbols[Currency])-COLUMN(Symbols[])+1,FALSE)=
       VLOOKUP(Transactions[[#This Row],[Account]],Accounts[],COLUMN(Accounts[Currency])-COLUMN(Accounts[])+1,FALSE),
     Transactions[[#This Row],[OrigCashImpact]],
     0
)</f>
        <v>40123.74</v>
      </c>
      <c r="O173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2756.2300000002142</v>
      </c>
      <c r="P173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73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739" s="41">
        <f>ROW()</f>
        <v>1739</v>
      </c>
      <c r="S17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-31895.127916666668</v>
      </c>
      <c r="T17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223265.89541666667</v>
      </c>
      <c r="U173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739" s="166">
        <f>IF(INDEX(TransTypes[],Transactions[[#This Row],[TTR]],TT_COL_GLFlag)=1,Transactions[[#This Row],[CalCashImpact]]+Transactions[[#This Row],[CostImpact]],0)</f>
        <v>8228.6120833333298</v>
      </c>
      <c r="W1739" s="167">
        <f>Transactions[[#This Row],[Amount]]*INDEX(TransTypes[],Transactions[[#This Row],[TTR]],TT_COL_AmntSign)</f>
        <v>40123.74</v>
      </c>
      <c r="X1739" s="167">
        <f>IF(INDEX(TransTypes[],Transactions[[#This Row],[TTR]],TT_COL_LONGORSHORT)="S",
      IF( OR(INDEX(TransTypes[],Transactions[[#This Row],[TTR]],TT_COL_GLFlag)=1, INDEX(TransTypes[], Transactions[[#This Row],[TTR]], TT_COL_ShareTransferFlag)=1),
            Transactions[[#This Row],[CostImpact]]*-1,
            Transactions[[#This Row],[CalCashImpact]]
      ),
     0
)</f>
        <v>0</v>
      </c>
      <c r="Y1739" s="168" t="str">
        <f>VLOOKUP(Transactions[[#This Row],[Symbol]],Symbols[], COLUMN(Symbols[Currency])-COLUMN(Symbols[])+1,FALSE)</f>
        <v>CNY</v>
      </c>
    </row>
    <row r="1740" spans="1:25">
      <c r="A1740" s="155" t="s">
        <v>82</v>
      </c>
      <c r="B1740" s="156">
        <v>43028</v>
      </c>
      <c r="C1740" s="155" t="s">
        <v>113</v>
      </c>
      <c r="D1740" s="155"/>
      <c r="E1740" s="155" t="s">
        <v>730</v>
      </c>
      <c r="F1740" s="157">
        <v>1500</v>
      </c>
      <c r="G1740" s="158">
        <v>59.048999999999999</v>
      </c>
      <c r="H1740" s="157">
        <v>35.43</v>
      </c>
      <c r="I1740" s="157"/>
      <c r="J1740" s="159">
        <v>88608.93</v>
      </c>
      <c r="K1740" s="6" t="s">
        <v>641</v>
      </c>
      <c r="L1740" s="20">
        <f>IF(ISNA(MATCH(Transactions[[#This Row],[TransType]],TransTypes[TransType],0)),1,MATCH(Transactions[[#This Row],[TransType]],TransTypes[TransType],0))</f>
        <v>2</v>
      </c>
      <c r="M1740" s="160">
        <f>IF( AND( INDEX(TransTypes[],Transactions[[#This Row],[TTR]],TT_COL_GLFlag)=1, INDEX(TransTypes[],Transactions[[#This Row],[TTR]],TT_COL_LONGORSHORT)="S" ),
      Transactions[[#This Row],[PL]],
      IF(INDEX(TransTypes[],Transactions[[#This Row],[TTR]],TT_COL_LONGORSHORT)="S",0,Transactions[[#This Row],[CalCashImpact]])
)</f>
        <v>-88608.93</v>
      </c>
      <c r="N1740" s="161">
        <f>IF(VLOOKUP(Transactions[[#This Row],[Symbol]],Symbols[],COLUMN(Symbols[Currency])-COLUMN(Symbols[])+1,FALSE)=
       VLOOKUP(Transactions[[#This Row],[Account]],Accounts[],COLUMN(Accounts[Currency])-COLUMN(Accounts[])+1,FALSE),
     Transactions[[#This Row],[OrigCashImpact]],
     0
)</f>
        <v>-88608.93</v>
      </c>
      <c r="O174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-85852.699999999779</v>
      </c>
      <c r="P174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v>
      </c>
      <c r="Q174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740" s="41">
        <f>ROW()</f>
        <v>1740</v>
      </c>
      <c r="S17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88608.93</v>
      </c>
      <c r="T17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220505.00166666665</v>
      </c>
      <c r="U174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740" s="166">
        <f>IF(INDEX(TransTypes[],Transactions[[#This Row],[TTR]],TT_COL_GLFlag)=1,Transactions[[#This Row],[CalCashImpact]]+Transactions[[#This Row],[CostImpact]],0)</f>
        <v>0</v>
      </c>
      <c r="W1740" s="167">
        <f>Transactions[[#This Row],[Amount]]*INDEX(TransTypes[],Transactions[[#This Row],[TTR]],TT_COL_AmntSign)</f>
        <v>-88608.93</v>
      </c>
      <c r="X1740" s="167">
        <f>IF(INDEX(TransTypes[],Transactions[[#This Row],[TTR]],TT_COL_LONGORSHORT)="S",
      IF( OR(INDEX(TransTypes[],Transactions[[#This Row],[TTR]],TT_COL_GLFlag)=1, INDEX(TransTypes[], Transactions[[#This Row],[TTR]], TT_COL_ShareTransferFlag)=1),
            Transactions[[#This Row],[CostImpact]]*-1,
            Transactions[[#This Row],[CalCashImpact]]
      ),
     0
)</f>
        <v>0</v>
      </c>
      <c r="Y1740" s="168" t="str">
        <f>VLOOKUP(Transactions[[#This Row],[Symbol]],Symbols[], COLUMN(Symbols[Currency])-COLUMN(Symbols[])+1,FALSE)</f>
        <v>CNY</v>
      </c>
    </row>
    <row r="1741" spans="1:25">
      <c r="A1741" s="155" t="s">
        <v>82</v>
      </c>
      <c r="B1741" s="156">
        <v>43028</v>
      </c>
      <c r="C1741" s="155" t="s">
        <v>115</v>
      </c>
      <c r="D1741" s="155"/>
      <c r="E1741" s="155" t="s">
        <v>710</v>
      </c>
      <c r="F1741" s="157">
        <v>4000</v>
      </c>
      <c r="G1741" s="158">
        <v>38.450000000000003</v>
      </c>
      <c r="H1741" s="157">
        <v>215.32</v>
      </c>
      <c r="I1741" s="157"/>
      <c r="J1741" s="159">
        <v>153584.68</v>
      </c>
      <c r="K1741" s="6" t="s">
        <v>641</v>
      </c>
      <c r="L1741" s="20">
        <f>IF(ISNA(MATCH(Transactions[[#This Row],[TransType]],TransTypes[TransType],0)),1,MATCH(Transactions[[#This Row],[TransType]],TransTypes[TransType],0))</f>
        <v>3</v>
      </c>
      <c r="M1741" s="160">
        <f>IF( AND( INDEX(TransTypes[],Transactions[[#This Row],[TTR]],TT_COL_GLFlag)=1, INDEX(TransTypes[],Transactions[[#This Row],[TTR]],TT_COL_LONGORSHORT)="S" ),
      Transactions[[#This Row],[PL]],
      IF(INDEX(TransTypes[],Transactions[[#This Row],[TTR]],TT_COL_LONGORSHORT)="S",0,Transactions[[#This Row],[CalCashImpact]])
)</f>
        <v>153584.68</v>
      </c>
      <c r="N1741" s="161">
        <f>IF(VLOOKUP(Transactions[[#This Row],[Symbol]],Symbols[],COLUMN(Symbols[Currency])-COLUMN(Symbols[])+1,FALSE)=
       VLOOKUP(Transactions[[#This Row],[Account]],Accounts[],COLUMN(Accounts[Currency])-COLUMN(Accounts[])+1,FALSE),
     Transactions[[#This Row],[OrigCashImpact]],
     0
)</f>
        <v>153584.68</v>
      </c>
      <c r="O174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67731.980000000214</v>
      </c>
      <c r="P174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4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41" s="41">
        <f>ROW()</f>
        <v>1741</v>
      </c>
      <c r="S17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-130916.82973280424</v>
      </c>
      <c r="T17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4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741" s="166">
        <f>IF(INDEX(TransTypes[],Transactions[[#This Row],[TTR]],TT_COL_GLFlag)=1,Transactions[[#This Row],[CalCashImpact]]+Transactions[[#This Row],[CostImpact]],0)</f>
        <v>22667.850267195754</v>
      </c>
      <c r="W1741" s="167">
        <f>Transactions[[#This Row],[Amount]]*INDEX(TransTypes[],Transactions[[#This Row],[TTR]],TT_COL_AmntSign)</f>
        <v>153584.68</v>
      </c>
      <c r="X1741" s="167">
        <f>IF(INDEX(TransTypes[],Transactions[[#This Row],[TTR]],TT_COL_LONGORSHORT)="S",
      IF( OR(INDEX(TransTypes[],Transactions[[#This Row],[TTR]],TT_COL_GLFlag)=1, INDEX(TransTypes[], Transactions[[#This Row],[TTR]], TT_COL_ShareTransferFlag)=1),
            Transactions[[#This Row],[CostImpact]]*-1,
            Transactions[[#This Row],[CalCashImpact]]
      ),
     0
)</f>
        <v>0</v>
      </c>
      <c r="Y1741" s="168" t="str">
        <f>VLOOKUP(Transactions[[#This Row],[Symbol]],Symbols[], COLUMN(Symbols[Currency])-COLUMN(Symbols[])+1,FALSE)</f>
        <v>CNY</v>
      </c>
    </row>
    <row r="1742" spans="1:25">
      <c r="A1742" s="155" t="s">
        <v>82</v>
      </c>
      <c r="B1742" s="156">
        <v>43028</v>
      </c>
      <c r="C1742" s="155" t="s">
        <v>115</v>
      </c>
      <c r="D1742" s="155"/>
      <c r="E1742" s="155" t="s">
        <v>756</v>
      </c>
      <c r="F1742" s="157">
        <v>2000</v>
      </c>
      <c r="G1742" s="158">
        <v>38.909999999999997</v>
      </c>
      <c r="H1742" s="157">
        <v>110.51</v>
      </c>
      <c r="I1742" s="157"/>
      <c r="J1742" s="159">
        <v>77709.490000000005</v>
      </c>
      <c r="K1742" s="6" t="s">
        <v>641</v>
      </c>
      <c r="L1742" s="20">
        <f>IF(ISNA(MATCH(Transactions[[#This Row],[TransType]],TransTypes[TransType],0)),1,MATCH(Transactions[[#This Row],[TransType]],TransTypes[TransType],0))</f>
        <v>3</v>
      </c>
      <c r="M1742" s="160">
        <f>IF( AND( INDEX(TransTypes[],Transactions[[#This Row],[TTR]],TT_COL_GLFlag)=1, INDEX(TransTypes[],Transactions[[#This Row],[TTR]],TT_COL_LONGORSHORT)="S" ),
      Transactions[[#This Row],[PL]],
      IF(INDEX(TransTypes[],Transactions[[#This Row],[TTR]],TT_COL_LONGORSHORT)="S",0,Transactions[[#This Row],[CalCashImpact]])
)</f>
        <v>77709.490000000005</v>
      </c>
      <c r="N1742" s="161">
        <f>IF(VLOOKUP(Transactions[[#This Row],[Symbol]],Symbols[],COLUMN(Symbols[Currency])-COLUMN(Symbols[])+1,FALSE)=
       VLOOKUP(Transactions[[#This Row],[Account]],Accounts[],COLUMN(Accounts[Currency])-COLUMN(Accounts[])+1,FALSE),
     Transactions[[#This Row],[OrigCashImpact]],
     0
)</f>
        <v>77709.490000000005</v>
      </c>
      <c r="O174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145441.4700000002</v>
      </c>
      <c r="P174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4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742" s="41">
        <f>ROW()</f>
        <v>1742</v>
      </c>
      <c r="S17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-75451.677500000005</v>
      </c>
      <c r="T17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226355.03250000003</v>
      </c>
      <c r="U174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742" s="166">
        <f>IF(INDEX(TransTypes[],Transactions[[#This Row],[TTR]],TT_COL_GLFlag)=1,Transactions[[#This Row],[CalCashImpact]]+Transactions[[#This Row],[CostImpact]],0)</f>
        <v>2257.8125</v>
      </c>
      <c r="W1742" s="167">
        <f>Transactions[[#This Row],[Amount]]*INDEX(TransTypes[],Transactions[[#This Row],[TTR]],TT_COL_AmntSign)</f>
        <v>77709.490000000005</v>
      </c>
      <c r="X1742" s="167">
        <f>IF(INDEX(TransTypes[],Transactions[[#This Row],[TTR]],TT_COL_LONGORSHORT)="S",
      IF( OR(INDEX(TransTypes[],Transactions[[#This Row],[TTR]],TT_COL_GLFlag)=1, INDEX(TransTypes[], Transactions[[#This Row],[TTR]], TT_COL_ShareTransferFlag)=1),
            Transactions[[#This Row],[CostImpact]]*-1,
            Transactions[[#This Row],[CalCashImpact]]
      ),
     0
)</f>
        <v>0</v>
      </c>
      <c r="Y1742" s="168" t="str">
        <f>VLOOKUP(Transactions[[#This Row],[Symbol]],Symbols[], COLUMN(Symbols[Currency])-COLUMN(Symbols[])+1,FALSE)</f>
        <v>CNY</v>
      </c>
    </row>
    <row r="1743" spans="1:25">
      <c r="A1743" s="155" t="s">
        <v>82</v>
      </c>
      <c r="B1743" s="156">
        <v>43033</v>
      </c>
      <c r="C1743" s="155" t="s">
        <v>113</v>
      </c>
      <c r="D1743" s="155"/>
      <c r="E1743" s="155" t="s">
        <v>477</v>
      </c>
      <c r="F1743" s="157">
        <v>5000</v>
      </c>
      <c r="G1743" s="158">
        <v>23.047999999999998</v>
      </c>
      <c r="H1743" s="157">
        <v>46.1</v>
      </c>
      <c r="I1743" s="157"/>
      <c r="J1743" s="159">
        <v>115286.1</v>
      </c>
      <c r="K1743" s="6" t="s">
        <v>641</v>
      </c>
      <c r="L1743" s="20">
        <f>IF(ISNA(MATCH(Transactions[[#This Row],[TransType]],TransTypes[TransType],0)),1,MATCH(Transactions[[#This Row],[TransType]],TransTypes[TransType],0))</f>
        <v>2</v>
      </c>
      <c r="M1743" s="160">
        <f>IF( AND( INDEX(TransTypes[],Transactions[[#This Row],[TTR]],TT_COL_GLFlag)=1, INDEX(TransTypes[],Transactions[[#This Row],[TTR]],TT_COL_LONGORSHORT)="S" ),
      Transactions[[#This Row],[PL]],
      IF(INDEX(TransTypes[],Transactions[[#This Row],[TTR]],TT_COL_LONGORSHORT)="S",0,Transactions[[#This Row],[CalCashImpact]])
)</f>
        <v>-115286.1</v>
      </c>
      <c r="N1743" s="161">
        <f>IF(VLOOKUP(Transactions[[#This Row],[Symbol]],Symbols[],COLUMN(Symbols[Currency])-COLUMN(Symbols[])+1,FALSE)=
       VLOOKUP(Transactions[[#This Row],[Account]],Accounts[],COLUMN(Accounts[Currency])-COLUMN(Accounts[])+1,FALSE),
     Transactions[[#This Row],[OrigCashImpact]],
     0
)</f>
        <v>-115286.1</v>
      </c>
      <c r="O174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30155.370000000199</v>
      </c>
      <c r="P174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74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743" s="41">
        <f>ROW()</f>
        <v>1743</v>
      </c>
      <c r="S17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115286.1</v>
      </c>
      <c r="T17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115286.1</v>
      </c>
      <c r="U174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743" s="166">
        <f>IF(INDEX(TransTypes[],Transactions[[#This Row],[TTR]],TT_COL_GLFlag)=1,Transactions[[#This Row],[CalCashImpact]]+Transactions[[#This Row],[CostImpact]],0)</f>
        <v>0</v>
      </c>
      <c r="W1743" s="167">
        <f>Transactions[[#This Row],[Amount]]*INDEX(TransTypes[],Transactions[[#This Row],[TTR]],TT_COL_AmntSign)</f>
        <v>-115286.1</v>
      </c>
      <c r="X1743" s="167">
        <f>IF(INDEX(TransTypes[],Transactions[[#This Row],[TTR]],TT_COL_LONGORSHORT)="S",
      IF( OR(INDEX(TransTypes[],Transactions[[#This Row],[TTR]],TT_COL_GLFlag)=1, INDEX(TransTypes[], Transactions[[#This Row],[TTR]], TT_COL_ShareTransferFlag)=1),
            Transactions[[#This Row],[CostImpact]]*-1,
            Transactions[[#This Row],[CalCashImpact]]
      ),
     0
)</f>
        <v>0</v>
      </c>
      <c r="Y1743" s="168" t="str">
        <f>VLOOKUP(Transactions[[#This Row],[Symbol]],Symbols[], COLUMN(Symbols[Currency])-COLUMN(Symbols[])+1,FALSE)</f>
        <v>CNY</v>
      </c>
    </row>
    <row r="1744" spans="1:25">
      <c r="A1744" s="155" t="s">
        <v>82</v>
      </c>
      <c r="B1744" s="156">
        <v>43038</v>
      </c>
      <c r="C1744" s="155" t="s">
        <v>113</v>
      </c>
      <c r="D1744" s="155"/>
      <c r="E1744" s="155" t="s">
        <v>477</v>
      </c>
      <c r="F1744" s="157">
        <v>3000</v>
      </c>
      <c r="G1744" s="158">
        <v>23.966999999999999</v>
      </c>
      <c r="H1744" s="157">
        <v>28.76</v>
      </c>
      <c r="I1744" s="157"/>
      <c r="J1744" s="159">
        <v>71929.759999999995</v>
      </c>
      <c r="K1744" s="6" t="s">
        <v>641</v>
      </c>
      <c r="L1744" s="20">
        <f>IF(ISNA(MATCH(Transactions[[#This Row],[TransType]],TransTypes[TransType],0)),1,MATCH(Transactions[[#This Row],[TransType]],TransTypes[TransType],0))</f>
        <v>2</v>
      </c>
      <c r="M1744" s="160">
        <f>IF( AND( INDEX(TransTypes[],Transactions[[#This Row],[TTR]],TT_COL_GLFlag)=1, INDEX(TransTypes[],Transactions[[#This Row],[TTR]],TT_COL_LONGORSHORT)="S" ),
      Transactions[[#This Row],[PL]],
      IF(INDEX(TransTypes[],Transactions[[#This Row],[TTR]],TT_COL_LONGORSHORT)="S",0,Transactions[[#This Row],[CalCashImpact]])
)</f>
        <v>-71929.759999999995</v>
      </c>
      <c r="N1744" s="161">
        <f>IF(VLOOKUP(Transactions[[#This Row],[Symbol]],Symbols[],COLUMN(Symbols[Currency])-COLUMN(Symbols[])+1,FALSE)=
       VLOOKUP(Transactions[[#This Row],[Account]],Accounts[],COLUMN(Accounts[Currency])-COLUMN(Accounts[])+1,FALSE),
     Transactions[[#This Row],[OrigCashImpact]],
     0
)</f>
        <v>-71929.759999999995</v>
      </c>
      <c r="O174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-41774.389999999796</v>
      </c>
      <c r="P174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74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744" s="41">
        <f>ROW()</f>
        <v>1744</v>
      </c>
      <c r="S17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71929.759999999995</v>
      </c>
      <c r="T17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187215.86</v>
      </c>
      <c r="U174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744" s="166">
        <f>IF(INDEX(TransTypes[],Transactions[[#This Row],[TTR]],TT_COL_GLFlag)=1,Transactions[[#This Row],[CalCashImpact]]+Transactions[[#This Row],[CostImpact]],0)</f>
        <v>0</v>
      </c>
      <c r="W1744" s="167">
        <f>Transactions[[#This Row],[Amount]]*INDEX(TransTypes[],Transactions[[#This Row],[TTR]],TT_COL_AmntSign)</f>
        <v>-71929.759999999995</v>
      </c>
      <c r="X1744" s="167">
        <f>IF(INDEX(TransTypes[],Transactions[[#This Row],[TTR]],TT_COL_LONGORSHORT)="S",
      IF( OR(INDEX(TransTypes[],Transactions[[#This Row],[TTR]],TT_COL_GLFlag)=1, INDEX(TransTypes[], Transactions[[#This Row],[TTR]], TT_COL_ShareTransferFlag)=1),
            Transactions[[#This Row],[CostImpact]]*-1,
            Transactions[[#This Row],[CalCashImpact]]
      ),
     0
)</f>
        <v>0</v>
      </c>
      <c r="Y1744" s="168" t="str">
        <f>VLOOKUP(Transactions[[#This Row],[Symbol]],Symbols[], COLUMN(Symbols[Currency])-COLUMN(Symbols[])+1,FALSE)</f>
        <v>CNY</v>
      </c>
    </row>
    <row r="1745" spans="1:25">
      <c r="A1745" s="155" t="s">
        <v>82</v>
      </c>
      <c r="B1745" s="156">
        <v>43038</v>
      </c>
      <c r="C1745" s="155" t="s">
        <v>115</v>
      </c>
      <c r="D1745" s="155"/>
      <c r="E1745" s="155" t="s">
        <v>488</v>
      </c>
      <c r="F1745" s="157">
        <v>1000</v>
      </c>
      <c r="G1745" s="158">
        <v>27.32</v>
      </c>
      <c r="H1745" s="157">
        <v>38.799999999999997</v>
      </c>
      <c r="I1745" s="157"/>
      <c r="J1745" s="159">
        <v>27281.200000000001</v>
      </c>
      <c r="K1745" s="6" t="s">
        <v>641</v>
      </c>
      <c r="L1745" s="20">
        <f>IF(ISNA(MATCH(Transactions[[#This Row],[TransType]],TransTypes[TransType],0)),1,MATCH(Transactions[[#This Row],[TransType]],TransTypes[TransType],0))</f>
        <v>3</v>
      </c>
      <c r="M1745" s="160">
        <f>IF( AND( INDEX(TransTypes[],Transactions[[#This Row],[TTR]],TT_COL_GLFlag)=1, INDEX(TransTypes[],Transactions[[#This Row],[TTR]],TT_COL_LONGORSHORT)="S" ),
      Transactions[[#This Row],[PL]],
      IF(INDEX(TransTypes[],Transactions[[#This Row],[TTR]],TT_COL_LONGORSHORT)="S",0,Transactions[[#This Row],[CalCashImpact]])
)</f>
        <v>27281.200000000001</v>
      </c>
      <c r="N1745" s="161">
        <f>IF(VLOOKUP(Transactions[[#This Row],[Symbol]],Symbols[],COLUMN(Symbols[Currency])-COLUMN(Symbols[])+1,FALSE)=
       VLOOKUP(Transactions[[#This Row],[Account]],Accounts[],COLUMN(Accounts[Currency])-COLUMN(Accounts[])+1,FALSE),
     Transactions[[#This Row],[OrigCashImpact]],
     0
)</f>
        <v>27281.200000000001</v>
      </c>
      <c r="O174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-14493.189999999799</v>
      </c>
      <c r="P174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74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745" s="41">
        <f>ROW()</f>
        <v>1745</v>
      </c>
      <c r="S17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-21138.077384615382</v>
      </c>
      <c r="T17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190242.69646153846</v>
      </c>
      <c r="U174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745" s="166">
        <f>IF(INDEX(TransTypes[],Transactions[[#This Row],[TTR]],TT_COL_GLFlag)=1,Transactions[[#This Row],[CalCashImpact]]+Transactions[[#This Row],[CostImpact]],0)</f>
        <v>6143.1226153846183</v>
      </c>
      <c r="W1745" s="167">
        <f>Transactions[[#This Row],[Amount]]*INDEX(TransTypes[],Transactions[[#This Row],[TTR]],TT_COL_AmntSign)</f>
        <v>27281.200000000001</v>
      </c>
      <c r="X1745" s="167">
        <f>IF(INDEX(TransTypes[],Transactions[[#This Row],[TTR]],TT_COL_LONGORSHORT)="S",
      IF( OR(INDEX(TransTypes[],Transactions[[#This Row],[TTR]],TT_COL_GLFlag)=1, INDEX(TransTypes[], Transactions[[#This Row],[TTR]], TT_COL_ShareTransferFlag)=1),
            Transactions[[#This Row],[CostImpact]]*-1,
            Transactions[[#This Row],[CalCashImpact]]
      ),
     0
)</f>
        <v>0</v>
      </c>
      <c r="Y1745" s="168" t="str">
        <f>VLOOKUP(Transactions[[#This Row],[Symbol]],Symbols[], COLUMN(Symbols[Currency])-COLUMN(Symbols[])+1,FALSE)</f>
        <v>CNY</v>
      </c>
    </row>
    <row r="1746" spans="1:25">
      <c r="A1746" s="155" t="s">
        <v>82</v>
      </c>
      <c r="B1746" s="156">
        <v>43038</v>
      </c>
      <c r="C1746" s="155" t="s">
        <v>115</v>
      </c>
      <c r="D1746" s="155"/>
      <c r="E1746" s="155" t="s">
        <v>468</v>
      </c>
      <c r="F1746" s="157">
        <v>1000</v>
      </c>
      <c r="G1746" s="158">
        <v>64.48</v>
      </c>
      <c r="H1746" s="157">
        <v>91.56</v>
      </c>
      <c r="I1746" s="157"/>
      <c r="J1746" s="159">
        <v>64388.44</v>
      </c>
      <c r="K1746" s="6" t="s">
        <v>641</v>
      </c>
      <c r="L1746" s="20">
        <f>IF(ISNA(MATCH(Transactions[[#This Row],[TransType]],TransTypes[TransType],0)),1,MATCH(Transactions[[#This Row],[TransType]],TransTypes[TransType],0))</f>
        <v>3</v>
      </c>
      <c r="M1746" s="160">
        <f>IF( AND( INDEX(TransTypes[],Transactions[[#This Row],[TTR]],TT_COL_GLFlag)=1, INDEX(TransTypes[],Transactions[[#This Row],[TTR]],TT_COL_LONGORSHORT)="S" ),
      Transactions[[#This Row],[PL]],
      IF(INDEX(TransTypes[],Transactions[[#This Row],[TTR]],TT_COL_LONGORSHORT)="S",0,Transactions[[#This Row],[CalCashImpact]])
)</f>
        <v>64388.44</v>
      </c>
      <c r="N1746" s="161">
        <f>IF(VLOOKUP(Transactions[[#This Row],[Symbol]],Symbols[],COLUMN(Symbols[Currency])-COLUMN(Symbols[])+1,FALSE)=
       VLOOKUP(Transactions[[#This Row],[Account]],Accounts[],COLUMN(Accounts[Currency])-COLUMN(Accounts[])+1,FALSE),
     Transactions[[#This Row],[OrigCashImpact]],
     0
)</f>
        <v>64388.44</v>
      </c>
      <c r="O174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49895.250000000204</v>
      </c>
      <c r="P174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74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746" s="41">
        <f>ROW()</f>
        <v>1746</v>
      </c>
      <c r="S17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-48145.382316326541</v>
      </c>
      <c r="T17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288872.29389795923</v>
      </c>
      <c r="U174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46" s="166">
        <f>IF(INDEX(TransTypes[],Transactions[[#This Row],[TTR]],TT_COL_GLFlag)=1,Transactions[[#This Row],[CalCashImpact]]+Transactions[[#This Row],[CostImpact]],0)</f>
        <v>16243.057683673462</v>
      </c>
      <c r="W1746" s="167">
        <f>Transactions[[#This Row],[Amount]]*INDEX(TransTypes[],Transactions[[#This Row],[TTR]],TT_COL_AmntSign)</f>
        <v>64388.44</v>
      </c>
      <c r="X1746" s="167">
        <f>IF(INDEX(TransTypes[],Transactions[[#This Row],[TTR]],TT_COL_LONGORSHORT)="S",
      IF( OR(INDEX(TransTypes[],Transactions[[#This Row],[TTR]],TT_COL_GLFlag)=1, INDEX(TransTypes[], Transactions[[#This Row],[TTR]], TT_COL_ShareTransferFlag)=1),
            Transactions[[#This Row],[CostImpact]]*-1,
            Transactions[[#This Row],[CalCashImpact]]
      ),
     0
)</f>
        <v>0</v>
      </c>
      <c r="Y1746" s="168" t="str">
        <f>VLOOKUP(Transactions[[#This Row],[Symbol]],Symbols[], COLUMN(Symbols[Currency])-COLUMN(Symbols[])+1,FALSE)</f>
        <v>CNY</v>
      </c>
    </row>
    <row r="1747" spans="1:25">
      <c r="A1747" s="155" t="s">
        <v>82</v>
      </c>
      <c r="B1747" s="156">
        <v>43038</v>
      </c>
      <c r="C1747" s="155" t="s">
        <v>115</v>
      </c>
      <c r="D1747" s="155"/>
      <c r="E1747" s="155" t="s">
        <v>464</v>
      </c>
      <c r="F1747" s="157">
        <v>100</v>
      </c>
      <c r="G1747" s="158">
        <v>624.1</v>
      </c>
      <c r="H1747" s="157">
        <v>88.62</v>
      </c>
      <c r="I1747" s="157"/>
      <c r="J1747" s="159">
        <v>62321.38</v>
      </c>
      <c r="K1747" s="6" t="s">
        <v>641</v>
      </c>
      <c r="L1747" s="20">
        <f>IF(ISNA(MATCH(Transactions[[#This Row],[TransType]],TransTypes[TransType],0)),1,MATCH(Transactions[[#This Row],[TransType]],TransTypes[TransType],0))</f>
        <v>3</v>
      </c>
      <c r="M1747" s="160">
        <f>IF( AND( INDEX(TransTypes[],Transactions[[#This Row],[TTR]],TT_COL_GLFlag)=1, INDEX(TransTypes[],Transactions[[#This Row],[TTR]],TT_COL_LONGORSHORT)="S" ),
      Transactions[[#This Row],[PL]],
      IF(INDEX(TransTypes[],Transactions[[#This Row],[TTR]],TT_COL_LONGORSHORT)="S",0,Transactions[[#This Row],[CalCashImpact]])
)</f>
        <v>62321.38</v>
      </c>
      <c r="N1747" s="161">
        <f>IF(VLOOKUP(Transactions[[#This Row],[Symbol]],Symbols[],COLUMN(Symbols[Currency])-COLUMN(Symbols[])+1,FALSE)=
       VLOOKUP(Transactions[[#This Row],[Account]],Accounts[],COLUMN(Accounts[Currency])-COLUMN(Accounts[])+1,FALSE),
     Transactions[[#This Row],[OrigCashImpact]],
     0
)</f>
        <v>62321.38</v>
      </c>
      <c r="O174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112216.63000000021</v>
      </c>
      <c r="P174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74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1747" s="41">
        <f>ROW()</f>
        <v>1747</v>
      </c>
      <c r="S17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-41512.517366604174</v>
      </c>
      <c r="T17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290587.62156622921</v>
      </c>
      <c r="U174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747" s="166">
        <f>IF(INDEX(TransTypes[],Transactions[[#This Row],[TTR]],TT_COL_GLFlag)=1,Transactions[[#This Row],[CalCashImpact]]+Transactions[[#This Row],[CostImpact]],0)</f>
        <v>20808.862633395824</v>
      </c>
      <c r="W1747" s="167">
        <f>Transactions[[#This Row],[Amount]]*INDEX(TransTypes[],Transactions[[#This Row],[TTR]],TT_COL_AmntSign)</f>
        <v>62321.38</v>
      </c>
      <c r="X1747" s="167">
        <f>IF(INDEX(TransTypes[],Transactions[[#This Row],[TTR]],TT_COL_LONGORSHORT)="S",
      IF( OR(INDEX(TransTypes[],Transactions[[#This Row],[TTR]],TT_COL_GLFlag)=1, INDEX(TransTypes[], Transactions[[#This Row],[TTR]], TT_COL_ShareTransferFlag)=1),
            Transactions[[#This Row],[CostImpact]]*-1,
            Transactions[[#This Row],[CalCashImpact]]
      ),
     0
)</f>
        <v>0</v>
      </c>
      <c r="Y1747" s="168" t="str">
        <f>VLOOKUP(Transactions[[#This Row],[Symbol]],Symbols[], COLUMN(Symbols[Currency])-COLUMN(Symbols[])+1,FALSE)</f>
        <v>CNY</v>
      </c>
    </row>
    <row r="1748" spans="1:25">
      <c r="A1748" s="155" t="s">
        <v>82</v>
      </c>
      <c r="B1748" s="156">
        <v>43041</v>
      </c>
      <c r="C1748" s="155" t="s">
        <v>113</v>
      </c>
      <c r="D1748" s="155"/>
      <c r="E1748" s="155" t="s">
        <v>485</v>
      </c>
      <c r="F1748" s="157">
        <v>10000</v>
      </c>
      <c r="G1748" s="158">
        <v>14.115</v>
      </c>
      <c r="H1748" s="157">
        <v>59.28</v>
      </c>
      <c r="I1748" s="157"/>
      <c r="J1748" s="159">
        <v>141209.28</v>
      </c>
      <c r="K1748" s="6" t="s">
        <v>641</v>
      </c>
      <c r="L1748" s="20">
        <f>IF(ISNA(MATCH(Transactions[[#This Row],[TransType]],TransTypes[TransType],0)),1,MATCH(Transactions[[#This Row],[TransType]],TransTypes[TransType],0))</f>
        <v>2</v>
      </c>
      <c r="M1748" s="160">
        <f>IF( AND( INDEX(TransTypes[],Transactions[[#This Row],[TTR]],TT_COL_GLFlag)=1, INDEX(TransTypes[],Transactions[[#This Row],[TTR]],TT_COL_LONGORSHORT)="S" ),
      Transactions[[#This Row],[PL]],
      IF(INDEX(TransTypes[],Transactions[[#This Row],[TTR]],TT_COL_LONGORSHORT)="S",0,Transactions[[#This Row],[CalCashImpact]])
)</f>
        <v>-141209.28</v>
      </c>
      <c r="N1748" s="161">
        <f>IF(VLOOKUP(Transactions[[#This Row],[Symbol]],Symbols[],COLUMN(Symbols[Currency])-COLUMN(Symbols[])+1,FALSE)=
       VLOOKUP(Transactions[[#This Row],[Account]],Accounts[],COLUMN(Accounts[Currency])-COLUMN(Accounts[])+1,FALSE),
     Transactions[[#This Row],[OrigCashImpact]],
     0
)</f>
        <v>-141209.28</v>
      </c>
      <c r="O174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-28992.64999999979</v>
      </c>
      <c r="P174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10000</v>
      </c>
      <c r="Q174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22000</v>
      </c>
      <c r="R1748" s="41">
        <f>ROW()</f>
        <v>1748</v>
      </c>
      <c r="S17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141209.28</v>
      </c>
      <c r="T17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297995.09999999998</v>
      </c>
      <c r="U174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22000</v>
      </c>
      <c r="V1748" s="166">
        <f>IF(INDEX(TransTypes[],Transactions[[#This Row],[TTR]],TT_COL_GLFlag)=1,Transactions[[#This Row],[CalCashImpact]]+Transactions[[#This Row],[CostImpact]],0)</f>
        <v>0</v>
      </c>
      <c r="W1748" s="167">
        <f>Transactions[[#This Row],[Amount]]*INDEX(TransTypes[],Transactions[[#This Row],[TTR]],TT_COL_AmntSign)</f>
        <v>-141209.28</v>
      </c>
      <c r="X1748" s="167">
        <f>IF(INDEX(TransTypes[],Transactions[[#This Row],[TTR]],TT_COL_LONGORSHORT)="S",
      IF( OR(INDEX(TransTypes[],Transactions[[#This Row],[TTR]],TT_COL_GLFlag)=1, INDEX(TransTypes[], Transactions[[#This Row],[TTR]], TT_COL_ShareTransferFlag)=1),
            Transactions[[#This Row],[CostImpact]]*-1,
            Transactions[[#This Row],[CalCashImpact]]
      ),
     0
)</f>
        <v>0</v>
      </c>
      <c r="Y1748" s="168" t="str">
        <f>VLOOKUP(Transactions[[#This Row],[Symbol]],Symbols[], COLUMN(Symbols[Currency])-COLUMN(Symbols[])+1,FALSE)</f>
        <v>CNY</v>
      </c>
    </row>
    <row r="1749" spans="1:25">
      <c r="A1749" s="155" t="s">
        <v>82</v>
      </c>
      <c r="B1749" s="156">
        <v>43041</v>
      </c>
      <c r="C1749" s="155" t="s">
        <v>115</v>
      </c>
      <c r="D1749" s="155"/>
      <c r="E1749" s="155" t="s">
        <v>488</v>
      </c>
      <c r="F1749" s="157">
        <v>2000</v>
      </c>
      <c r="G1749" s="158">
        <v>26.75</v>
      </c>
      <c r="H1749" s="157">
        <v>75.97</v>
      </c>
      <c r="I1749" s="157"/>
      <c r="J1749" s="159">
        <v>53424.03</v>
      </c>
      <c r="K1749" s="6" t="s">
        <v>641</v>
      </c>
      <c r="L1749" s="20">
        <f>IF(ISNA(MATCH(Transactions[[#This Row],[TransType]],TransTypes[TransType],0)),1,MATCH(Transactions[[#This Row],[TransType]],TransTypes[TransType],0))</f>
        <v>3</v>
      </c>
      <c r="M1749" s="160">
        <f>IF( AND( INDEX(TransTypes[],Transactions[[#This Row],[TTR]],TT_COL_GLFlag)=1, INDEX(TransTypes[],Transactions[[#This Row],[TTR]],TT_COL_LONGORSHORT)="S" ),
      Transactions[[#This Row],[PL]],
      IF(INDEX(TransTypes[],Transactions[[#This Row],[TTR]],TT_COL_LONGORSHORT)="S",0,Transactions[[#This Row],[CalCashImpact]])
)</f>
        <v>53424.03</v>
      </c>
      <c r="N1749" s="161">
        <f>IF(VLOOKUP(Transactions[[#This Row],[Symbol]],Symbols[],COLUMN(Symbols[Currency])-COLUMN(Symbols[])+1,FALSE)=
       VLOOKUP(Transactions[[#This Row],[Account]],Accounts[],COLUMN(Accounts[Currency])-COLUMN(Accounts[])+1,FALSE),
     Transactions[[#This Row],[OrigCashImpact]],
     0
)</f>
        <v>53424.03</v>
      </c>
      <c r="O174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24431.380000000208</v>
      </c>
      <c r="P174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4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749" s="41">
        <f>ROW()</f>
        <v>1749</v>
      </c>
      <c r="S17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-42276.154769230772</v>
      </c>
      <c r="T17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147966.54169230768</v>
      </c>
      <c r="U174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749" s="166">
        <f>IF(INDEX(TransTypes[],Transactions[[#This Row],[TTR]],TT_COL_GLFlag)=1,Transactions[[#This Row],[CalCashImpact]]+Transactions[[#This Row],[CostImpact]],0)</f>
        <v>11147.875230769227</v>
      </c>
      <c r="W1749" s="167">
        <f>Transactions[[#This Row],[Amount]]*INDEX(TransTypes[],Transactions[[#This Row],[TTR]],TT_COL_AmntSign)</f>
        <v>53424.03</v>
      </c>
      <c r="X1749" s="167">
        <f>IF(INDEX(TransTypes[],Transactions[[#This Row],[TTR]],TT_COL_LONGORSHORT)="S",
      IF( OR(INDEX(TransTypes[],Transactions[[#This Row],[TTR]],TT_COL_GLFlag)=1, INDEX(TransTypes[], Transactions[[#This Row],[TTR]], TT_COL_ShareTransferFlag)=1),
            Transactions[[#This Row],[CostImpact]]*-1,
            Transactions[[#This Row],[CalCashImpact]]
      ),
     0
)</f>
        <v>0</v>
      </c>
      <c r="Y1749" s="168" t="str">
        <f>VLOOKUP(Transactions[[#This Row],[Symbol]],Symbols[], COLUMN(Symbols[Currency])-COLUMN(Symbols[])+1,FALSE)</f>
        <v>CNY</v>
      </c>
    </row>
    <row r="1750" spans="1:25">
      <c r="A1750" s="155" t="s">
        <v>82</v>
      </c>
      <c r="B1750" s="156">
        <v>43041</v>
      </c>
      <c r="C1750" s="155" t="s">
        <v>115</v>
      </c>
      <c r="D1750" s="155"/>
      <c r="E1750" s="155" t="s">
        <v>488</v>
      </c>
      <c r="F1750" s="157">
        <v>2000</v>
      </c>
      <c r="G1750" s="158">
        <v>26.75</v>
      </c>
      <c r="H1750" s="157">
        <v>75.97</v>
      </c>
      <c r="I1750" s="157"/>
      <c r="J1750" s="159">
        <v>53424.03</v>
      </c>
      <c r="K1750" s="6" t="s">
        <v>641</v>
      </c>
      <c r="L1750" s="20">
        <f>IF(ISNA(MATCH(Transactions[[#This Row],[TransType]],TransTypes[TransType],0)),1,MATCH(Transactions[[#This Row],[TransType]],TransTypes[TransType],0))</f>
        <v>3</v>
      </c>
      <c r="M1750" s="160">
        <f>IF( AND( INDEX(TransTypes[],Transactions[[#This Row],[TTR]],TT_COL_GLFlag)=1, INDEX(TransTypes[],Transactions[[#This Row],[TTR]],TT_COL_LONGORSHORT)="S" ),
      Transactions[[#This Row],[PL]],
      IF(INDEX(TransTypes[],Transactions[[#This Row],[TTR]],TT_COL_LONGORSHORT)="S",0,Transactions[[#This Row],[CalCashImpact]])
)</f>
        <v>53424.03</v>
      </c>
      <c r="N1750" s="161">
        <f>IF(VLOOKUP(Transactions[[#This Row],[Symbol]],Symbols[],COLUMN(Symbols[Currency])-COLUMN(Symbols[])+1,FALSE)=
       VLOOKUP(Transactions[[#This Row],[Account]],Accounts[],COLUMN(Accounts[Currency])-COLUMN(Accounts[])+1,FALSE),
     Transactions[[#This Row],[OrigCashImpact]],
     0
)</f>
        <v>53424.03</v>
      </c>
      <c r="O175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77855.410000000207</v>
      </c>
      <c r="P175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5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750" s="41">
        <f>ROW()</f>
        <v>1750</v>
      </c>
      <c r="S17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-42276.154769230765</v>
      </c>
      <c r="T17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105690.38692307693</v>
      </c>
      <c r="U175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50" s="166">
        <f>IF(INDEX(TransTypes[],Transactions[[#This Row],[TTR]],TT_COL_GLFlag)=1,Transactions[[#This Row],[CalCashImpact]]+Transactions[[#This Row],[CostImpact]],0)</f>
        <v>11147.875230769234</v>
      </c>
      <c r="W1750" s="167">
        <f>Transactions[[#This Row],[Amount]]*INDEX(TransTypes[],Transactions[[#This Row],[TTR]],TT_COL_AmntSign)</f>
        <v>53424.03</v>
      </c>
      <c r="X1750" s="167">
        <f>IF(INDEX(TransTypes[],Transactions[[#This Row],[TTR]],TT_COL_LONGORSHORT)="S",
      IF( OR(INDEX(TransTypes[],Transactions[[#This Row],[TTR]],TT_COL_GLFlag)=1, INDEX(TransTypes[], Transactions[[#This Row],[TTR]], TT_COL_ShareTransferFlag)=1),
            Transactions[[#This Row],[CostImpact]]*-1,
            Transactions[[#This Row],[CalCashImpact]]
      ),
     0
)</f>
        <v>0</v>
      </c>
      <c r="Y1750" s="168" t="str">
        <f>VLOOKUP(Transactions[[#This Row],[Symbol]],Symbols[], COLUMN(Symbols[Currency])-COLUMN(Symbols[])+1,FALSE)</f>
        <v>CNY</v>
      </c>
    </row>
    <row r="1751" spans="1:25">
      <c r="A1751" s="155" t="s">
        <v>82</v>
      </c>
      <c r="B1751" s="156">
        <v>43042</v>
      </c>
      <c r="C1751" s="155" t="s">
        <v>123</v>
      </c>
      <c r="D1751" s="155"/>
      <c r="E1751" s="155" t="s">
        <v>488</v>
      </c>
      <c r="F1751" s="157"/>
      <c r="G1751" s="158"/>
      <c r="H1751" s="157"/>
      <c r="I1751" s="157"/>
      <c r="J1751" s="159">
        <v>150</v>
      </c>
      <c r="K1751" s="6" t="s">
        <v>729</v>
      </c>
      <c r="L1751" s="20">
        <f>IF(ISNA(MATCH(Transactions[[#This Row],[TransType]],TransTypes[TransType],0)),1,MATCH(Transactions[[#This Row],[TransType]],TransTypes[TransType],0))</f>
        <v>7</v>
      </c>
      <c r="M1751" s="160">
        <f>IF( AND( INDEX(TransTypes[],Transactions[[#This Row],[TTR]],TT_COL_GLFlag)=1, INDEX(TransTypes[],Transactions[[#This Row],[TTR]],TT_COL_LONGORSHORT)="S" ),
      Transactions[[#This Row],[PL]],
      IF(INDEX(TransTypes[],Transactions[[#This Row],[TTR]],TT_COL_LONGORSHORT)="S",0,Transactions[[#This Row],[CalCashImpact]])
)</f>
        <v>-150</v>
      </c>
      <c r="N1751" s="161">
        <f>IF(VLOOKUP(Transactions[[#This Row],[Symbol]],Symbols[],COLUMN(Symbols[Currency])-COLUMN(Symbols[])+1,FALSE)=
       VLOOKUP(Transactions[[#This Row],[Account]],Accounts[],COLUMN(Accounts[Currency])-COLUMN(Accounts[])+1,FALSE),
     Transactions[[#This Row],[OrigCashImpact]],
     0
)</f>
        <v>-150</v>
      </c>
      <c r="O175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77705.410000000207</v>
      </c>
      <c r="P175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5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751" s="41">
        <f>ROW()</f>
        <v>1751</v>
      </c>
      <c r="S17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105690.38692307692</v>
      </c>
      <c r="U175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751" s="166">
        <f>IF(INDEX(TransTypes[],Transactions[[#This Row],[TTR]],TT_COL_GLFlag)=1,Transactions[[#This Row],[CalCashImpact]]+Transactions[[#This Row],[CostImpact]],0)</f>
        <v>0</v>
      </c>
      <c r="W1751" s="167">
        <f>Transactions[[#This Row],[Amount]]*INDEX(TransTypes[],Transactions[[#This Row],[TTR]],TT_COL_AmntSign)</f>
        <v>-150</v>
      </c>
      <c r="X1751" s="167">
        <f>IF(INDEX(TransTypes[],Transactions[[#This Row],[TTR]],TT_COL_LONGORSHORT)="S",
      IF( OR(INDEX(TransTypes[],Transactions[[#This Row],[TTR]],TT_COL_GLFlag)=1, INDEX(TransTypes[], Transactions[[#This Row],[TTR]], TT_COL_ShareTransferFlag)=1),
            Transactions[[#This Row],[CostImpact]]*-1,
            Transactions[[#This Row],[CalCashImpact]]
      ),
     0
)</f>
        <v>0</v>
      </c>
      <c r="Y1751" s="168" t="str">
        <f>VLOOKUP(Transactions[[#This Row],[Symbol]],Symbols[], COLUMN(Symbols[Currency])-COLUMN(Symbols[])+1,FALSE)</f>
        <v>CNY</v>
      </c>
    </row>
    <row r="1752" spans="1:25">
      <c r="A1752" s="155" t="s">
        <v>82</v>
      </c>
      <c r="B1752" s="156">
        <v>43046</v>
      </c>
      <c r="C1752" s="155" t="s">
        <v>113</v>
      </c>
      <c r="D1752" s="155"/>
      <c r="E1752" s="155" t="s">
        <v>477</v>
      </c>
      <c r="F1752" s="157">
        <v>3000</v>
      </c>
      <c r="G1752" s="158">
        <v>22</v>
      </c>
      <c r="H1752" s="157">
        <v>26.4</v>
      </c>
      <c r="I1752" s="157"/>
      <c r="J1752" s="159">
        <v>66026.399999999994</v>
      </c>
      <c r="K1752" s="6" t="s">
        <v>641</v>
      </c>
      <c r="L1752" s="20">
        <f>IF(ISNA(MATCH(Transactions[[#This Row],[TransType]],TransTypes[TransType],0)),1,MATCH(Transactions[[#This Row],[TransType]],TransTypes[TransType],0))</f>
        <v>2</v>
      </c>
      <c r="M1752" s="160">
        <f>IF( AND( INDEX(TransTypes[],Transactions[[#This Row],[TTR]],TT_COL_GLFlag)=1, INDEX(TransTypes[],Transactions[[#This Row],[TTR]],TT_COL_LONGORSHORT)="S" ),
      Transactions[[#This Row],[PL]],
      IF(INDEX(TransTypes[],Transactions[[#This Row],[TTR]],TT_COL_LONGORSHORT)="S",0,Transactions[[#This Row],[CalCashImpact]])
)</f>
        <v>-66026.399999999994</v>
      </c>
      <c r="N1752" s="161">
        <f>IF(VLOOKUP(Transactions[[#This Row],[Symbol]],Symbols[],COLUMN(Symbols[Currency])-COLUMN(Symbols[])+1,FALSE)=
       VLOOKUP(Transactions[[#This Row],[Account]],Accounts[],COLUMN(Accounts[Currency])-COLUMN(Accounts[])+1,FALSE),
     Transactions[[#This Row],[OrigCashImpact]],
     0
)</f>
        <v>-66026.399999999994</v>
      </c>
      <c r="O175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11679.010000000213</v>
      </c>
      <c r="P175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75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11000</v>
      </c>
      <c r="R1752" s="41">
        <f>ROW()</f>
        <v>1752</v>
      </c>
      <c r="S17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66026.399999999994</v>
      </c>
      <c r="T17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253242.25999999998</v>
      </c>
      <c r="U175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11000</v>
      </c>
      <c r="V1752" s="166">
        <f>IF(INDEX(TransTypes[],Transactions[[#This Row],[TTR]],TT_COL_GLFlag)=1,Transactions[[#This Row],[CalCashImpact]]+Transactions[[#This Row],[CostImpact]],0)</f>
        <v>0</v>
      </c>
      <c r="W1752" s="167">
        <f>Transactions[[#This Row],[Amount]]*INDEX(TransTypes[],Transactions[[#This Row],[TTR]],TT_COL_AmntSign)</f>
        <v>-66026.399999999994</v>
      </c>
      <c r="X1752" s="167">
        <f>IF(INDEX(TransTypes[],Transactions[[#This Row],[TTR]],TT_COL_LONGORSHORT)="S",
      IF( OR(INDEX(TransTypes[],Transactions[[#This Row],[TTR]],TT_COL_GLFlag)=1, INDEX(TransTypes[], Transactions[[#This Row],[TTR]], TT_COL_ShareTransferFlag)=1),
            Transactions[[#This Row],[CostImpact]]*-1,
            Transactions[[#This Row],[CalCashImpact]]
      ),
     0
)</f>
        <v>0</v>
      </c>
      <c r="Y1752" s="168" t="str">
        <f>VLOOKUP(Transactions[[#This Row],[Symbol]],Symbols[], COLUMN(Symbols[Currency])-COLUMN(Symbols[])+1,FALSE)</f>
        <v>CNY</v>
      </c>
    </row>
    <row r="1753" spans="1:25">
      <c r="A1753" s="155" t="s">
        <v>82</v>
      </c>
      <c r="B1753" s="156">
        <v>43046</v>
      </c>
      <c r="C1753" s="155" t="s">
        <v>115</v>
      </c>
      <c r="D1753" s="155"/>
      <c r="E1753" s="155" t="s">
        <v>480</v>
      </c>
      <c r="F1753" s="157">
        <v>1000</v>
      </c>
      <c r="G1753" s="158">
        <v>72.13</v>
      </c>
      <c r="H1753" s="157">
        <v>102.42</v>
      </c>
      <c r="I1753" s="157"/>
      <c r="J1753" s="159">
        <v>72027.58</v>
      </c>
      <c r="K1753" s="6" t="s">
        <v>641</v>
      </c>
      <c r="L1753" s="20">
        <f>IF(ISNA(MATCH(Transactions[[#This Row],[TransType]],TransTypes[TransType],0)),1,MATCH(Transactions[[#This Row],[TransType]],TransTypes[TransType],0))</f>
        <v>3</v>
      </c>
      <c r="M1753" s="160">
        <f>IF( AND( INDEX(TransTypes[],Transactions[[#This Row],[TTR]],TT_COL_GLFlag)=1, INDEX(TransTypes[],Transactions[[#This Row],[TTR]],TT_COL_LONGORSHORT)="S" ),
      Transactions[[#This Row],[PL]],
      IF(INDEX(TransTypes[],Transactions[[#This Row],[TTR]],TT_COL_LONGORSHORT)="S",0,Transactions[[#This Row],[CalCashImpact]])
)</f>
        <v>72027.58</v>
      </c>
      <c r="N1753" s="161">
        <f>IF(VLOOKUP(Transactions[[#This Row],[Symbol]],Symbols[],COLUMN(Symbols[Currency])-COLUMN(Symbols[])+1,FALSE)=
       VLOOKUP(Transactions[[#This Row],[Account]],Accounts[],COLUMN(Accounts[Currency])-COLUMN(Accounts[])+1,FALSE),
     Transactions[[#This Row],[OrigCashImpact]],
     0
)</f>
        <v>72027.58</v>
      </c>
      <c r="O175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83706.590000000215</v>
      </c>
      <c r="P175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75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753" s="41">
        <f>ROW()</f>
        <v>1753</v>
      </c>
      <c r="S17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-45939.639854280511</v>
      </c>
      <c r="T17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229698.19927140255</v>
      </c>
      <c r="U175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753" s="166">
        <f>IF(INDEX(TransTypes[],Transactions[[#This Row],[TTR]],TT_COL_GLFlag)=1,Transactions[[#This Row],[CalCashImpact]]+Transactions[[#This Row],[CostImpact]],0)</f>
        <v>26087.940145719491</v>
      </c>
      <c r="W1753" s="167">
        <f>Transactions[[#This Row],[Amount]]*INDEX(TransTypes[],Transactions[[#This Row],[TTR]],TT_COL_AmntSign)</f>
        <v>72027.58</v>
      </c>
      <c r="X1753" s="167">
        <f>IF(INDEX(TransTypes[],Transactions[[#This Row],[TTR]],TT_COL_LONGORSHORT)="S",
      IF( OR(INDEX(TransTypes[],Transactions[[#This Row],[TTR]],TT_COL_GLFlag)=1, INDEX(TransTypes[], Transactions[[#This Row],[TTR]], TT_COL_ShareTransferFlag)=1),
            Transactions[[#This Row],[CostImpact]]*-1,
            Transactions[[#This Row],[CalCashImpact]]
      ),
     0
)</f>
        <v>0</v>
      </c>
      <c r="Y1753" s="168" t="str">
        <f>VLOOKUP(Transactions[[#This Row],[Symbol]],Symbols[], COLUMN(Symbols[Currency])-COLUMN(Symbols[])+1,FALSE)</f>
        <v>CNY</v>
      </c>
    </row>
    <row r="1754" spans="1:25">
      <c r="A1754" s="155" t="s">
        <v>82</v>
      </c>
      <c r="B1754" s="156">
        <v>43046</v>
      </c>
      <c r="C1754" s="155" t="s">
        <v>115</v>
      </c>
      <c r="D1754" s="155"/>
      <c r="E1754" s="155" t="s">
        <v>258</v>
      </c>
      <c r="F1754" s="157">
        <v>2000</v>
      </c>
      <c r="G1754" s="158">
        <v>34.6</v>
      </c>
      <c r="H1754" s="157">
        <v>287.95</v>
      </c>
      <c r="I1754" s="157"/>
      <c r="J1754" s="159">
        <v>68912.05</v>
      </c>
      <c r="K1754" s="6" t="s">
        <v>641</v>
      </c>
      <c r="L1754" s="20">
        <f>IF(ISNA(MATCH(Transactions[[#This Row],[TransType]],TransTypes[TransType],0)),1,MATCH(Transactions[[#This Row],[TransType]],TransTypes[TransType],0))</f>
        <v>3</v>
      </c>
      <c r="M1754" s="160">
        <f>IF( AND( INDEX(TransTypes[],Transactions[[#This Row],[TTR]],TT_COL_GLFlag)=1, INDEX(TransTypes[],Transactions[[#This Row],[TTR]],TT_COL_LONGORSHORT)="S" ),
      Transactions[[#This Row],[PL]],
      IF(INDEX(TransTypes[],Transactions[[#This Row],[TTR]],TT_COL_LONGORSHORT)="S",0,Transactions[[#This Row],[CalCashImpact]])
)</f>
        <v>68912.05</v>
      </c>
      <c r="N1754" s="161">
        <f>IF(VLOOKUP(Transactions[[#This Row],[Symbol]],Symbols[],COLUMN(Symbols[Currency])-COLUMN(Symbols[])+1,FALSE)=
       VLOOKUP(Transactions[[#This Row],[Account]],Accounts[],COLUMN(Accounts[Currency])-COLUMN(Accounts[])+1,FALSE),
     Transactions[[#This Row],[OrigCashImpact]],
     0
)</f>
        <v>0</v>
      </c>
      <c r="O175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83706.590000000215</v>
      </c>
      <c r="P175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5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54" s="41">
        <f>ROW()</f>
        <v>1754</v>
      </c>
      <c r="S17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-18478.641166666675</v>
      </c>
      <c r="T17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5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754" s="166">
        <f>IF(INDEX(TransTypes[],Transactions[[#This Row],[TTR]],TT_COL_GLFlag)=1,Transactions[[#This Row],[CalCashImpact]]+Transactions[[#This Row],[CostImpact]],0)</f>
        <v>50433.408833333327</v>
      </c>
      <c r="W1754" s="167">
        <f>Transactions[[#This Row],[Amount]]*INDEX(TransTypes[],Transactions[[#This Row],[TTR]],TT_COL_AmntSign)</f>
        <v>68912.05</v>
      </c>
      <c r="X1754" s="167">
        <f>IF(INDEX(TransTypes[],Transactions[[#This Row],[TTR]],TT_COL_LONGORSHORT)="S",
      IF( OR(INDEX(TransTypes[],Transactions[[#This Row],[TTR]],TT_COL_GLFlag)=1, INDEX(TransTypes[], Transactions[[#This Row],[TTR]], TT_COL_ShareTransferFlag)=1),
            Transactions[[#This Row],[CostImpact]]*-1,
            Transactions[[#This Row],[CalCashImpact]]
      ),
     0
)</f>
        <v>0</v>
      </c>
      <c r="Y1754" s="168" t="str">
        <f>VLOOKUP(Transactions[[#This Row],[Symbol]],Symbols[], COLUMN(Symbols[Currency])-COLUMN(Symbols[])+1,FALSE)</f>
        <v>HKD</v>
      </c>
    </row>
    <row r="1755" spans="1:25">
      <c r="A1755" s="155" t="s">
        <v>82</v>
      </c>
      <c r="B1755" s="156">
        <v>43046</v>
      </c>
      <c r="C1755" s="155" t="s">
        <v>156</v>
      </c>
      <c r="D1755" s="155"/>
      <c r="E1755" s="155" t="s">
        <v>210</v>
      </c>
      <c r="F1755" s="157">
        <v>58493.94</v>
      </c>
      <c r="G1755" s="158">
        <f>Transactions[[#This Row],[Amount]]/Transactions[[#This Row],[Qty]]</f>
        <v>1.1781058003615417</v>
      </c>
      <c r="H1755" s="157"/>
      <c r="I1755" s="157"/>
      <c r="J1755" s="159">
        <v>68912.05</v>
      </c>
      <c r="K1755" s="6" t="s">
        <v>641</v>
      </c>
      <c r="L1755" s="20">
        <f>IF(ISNA(MATCH(Transactions[[#This Row],[TransType]],TransTypes[TransType],0)),1,MATCH(Transactions[[#This Row],[TransType]],TransTypes[TransType],0))</f>
        <v>17</v>
      </c>
      <c r="M1755" s="160">
        <f>IF( AND( INDEX(TransTypes[],Transactions[[#This Row],[TTR]],TT_COL_GLFlag)=1, INDEX(TransTypes[],Transactions[[#This Row],[TTR]],TT_COL_LONGORSHORT)="S" ),
      Transactions[[#This Row],[PL]],
      IF(INDEX(TransTypes[],Transactions[[#This Row],[TTR]],TT_COL_LONGORSHORT)="S",0,Transactions[[#This Row],[CalCashImpact]])
)</f>
        <v>-68912.05</v>
      </c>
      <c r="N1755" s="161">
        <f>IF(VLOOKUP(Transactions[[#This Row],[Symbol]],Symbols[],COLUMN(Symbols[Currency])-COLUMN(Symbols[])+1,FALSE)=
       VLOOKUP(Transactions[[#This Row],[Account]],Accounts[],COLUMN(Accounts[Currency])-COLUMN(Accounts[])+1,FALSE),
     Transactions[[#This Row],[OrigCashImpact]],
     0
)</f>
        <v>0</v>
      </c>
      <c r="O175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83706.590000000215</v>
      </c>
      <c r="P175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5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55" s="41">
        <f>ROW()</f>
        <v>1755</v>
      </c>
      <c r="S17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5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55" s="166">
        <f>IF(INDEX(TransTypes[],Transactions[[#This Row],[TTR]],TT_COL_GLFlag)=1,Transactions[[#This Row],[CalCashImpact]]+Transactions[[#This Row],[CostImpact]],0)</f>
        <v>0</v>
      </c>
      <c r="W1755" s="167">
        <f>Transactions[[#This Row],[Amount]]*INDEX(TransTypes[],Transactions[[#This Row],[TTR]],TT_COL_AmntSign)</f>
        <v>-68912.05</v>
      </c>
      <c r="X1755" s="167">
        <f>IF(INDEX(TransTypes[],Transactions[[#This Row],[TTR]],TT_COL_LONGORSHORT)="S",
      IF( OR(INDEX(TransTypes[],Transactions[[#This Row],[TTR]],TT_COL_GLFlag)=1, INDEX(TransTypes[], Transactions[[#This Row],[TTR]], TT_COL_ShareTransferFlag)=1),
            Transactions[[#This Row],[CostImpact]]*-1,
            Transactions[[#This Row],[CalCashImpact]]
      ),
     0
)</f>
        <v>0</v>
      </c>
      <c r="Y1755" s="168" t="str">
        <f>VLOOKUP(Transactions[[#This Row],[Symbol]],Symbols[], COLUMN(Symbols[Currency])-COLUMN(Symbols[])+1,FALSE)</f>
        <v>HKD</v>
      </c>
    </row>
    <row r="1756" spans="1:25">
      <c r="A1756" s="155" t="s">
        <v>82</v>
      </c>
      <c r="B1756" s="156">
        <v>43046</v>
      </c>
      <c r="C1756" s="155" t="s">
        <v>239</v>
      </c>
      <c r="D1756" s="155"/>
      <c r="E1756" s="155" t="s">
        <v>211</v>
      </c>
      <c r="F1756" s="157">
        <v>58493.94</v>
      </c>
      <c r="G1756" s="158">
        <v>1</v>
      </c>
      <c r="H1756" s="157"/>
      <c r="I1756" s="157"/>
      <c r="J1756" s="159">
        <v>58493.94</v>
      </c>
      <c r="K1756" s="6" t="s">
        <v>641</v>
      </c>
      <c r="L1756" s="20">
        <f>IF(ISNA(MATCH(Transactions[[#This Row],[TransType]],TransTypes[TransType],0)),1,MATCH(Transactions[[#This Row],[TransType]],TransTypes[TransType],0))</f>
        <v>18</v>
      </c>
      <c r="M1756" s="160">
        <f>IF( AND( INDEX(TransTypes[],Transactions[[#This Row],[TTR]],TT_COL_GLFlag)=1, INDEX(TransTypes[],Transactions[[#This Row],[TTR]],TT_COL_LONGORSHORT)="S" ),
      Transactions[[#This Row],[PL]],
      IF(INDEX(TransTypes[],Transactions[[#This Row],[TTR]],TT_COL_LONGORSHORT)="S",0,Transactions[[#This Row],[CalCashImpact]])
)</f>
        <v>58493.94</v>
      </c>
      <c r="N1756" s="161">
        <f>IF(VLOOKUP(Transactions[[#This Row],[Symbol]],Symbols[],COLUMN(Symbols[Currency])-COLUMN(Symbols[])+1,FALSE)=
       VLOOKUP(Transactions[[#This Row],[Account]],Accounts[],COLUMN(Accounts[Currency])-COLUMN(Accounts[])+1,FALSE),
     Transactions[[#This Row],[OrigCashImpact]],
     0
)</f>
        <v>58493.94</v>
      </c>
      <c r="O175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142200.5300000002</v>
      </c>
      <c r="P175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5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56" s="41">
        <f>ROW()</f>
        <v>1756</v>
      </c>
      <c r="S17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5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56" s="166">
        <f>IF(INDEX(TransTypes[],Transactions[[#This Row],[TTR]],TT_COL_GLFlag)=1,Transactions[[#This Row],[CalCashImpact]]+Transactions[[#This Row],[CostImpact]],0)</f>
        <v>0</v>
      </c>
      <c r="W1756" s="167">
        <f>Transactions[[#This Row],[Amount]]*INDEX(TransTypes[],Transactions[[#This Row],[TTR]],TT_COL_AmntSign)</f>
        <v>58493.94</v>
      </c>
      <c r="X1756" s="167">
        <f>IF(INDEX(TransTypes[],Transactions[[#This Row],[TTR]],TT_COL_LONGORSHORT)="S",
      IF( OR(INDEX(TransTypes[],Transactions[[#This Row],[TTR]],TT_COL_GLFlag)=1, INDEX(TransTypes[], Transactions[[#This Row],[TTR]], TT_COL_ShareTransferFlag)=1),
            Transactions[[#This Row],[CostImpact]]*-1,
            Transactions[[#This Row],[CalCashImpact]]
      ),
     0
)</f>
        <v>0</v>
      </c>
      <c r="Y1756" s="168" t="str">
        <f>VLOOKUP(Transactions[[#This Row],[Symbol]],Symbols[], COLUMN(Symbols[Currency])-COLUMN(Symbols[])+1,FALSE)</f>
        <v>CNY</v>
      </c>
    </row>
    <row r="1757" spans="1:25">
      <c r="A1757" s="155" t="s">
        <v>82</v>
      </c>
      <c r="B1757" s="156">
        <v>43047</v>
      </c>
      <c r="C1757" s="155" t="s">
        <v>119</v>
      </c>
      <c r="D1757" s="155"/>
      <c r="E1757" s="155" t="s">
        <v>211</v>
      </c>
      <c r="F1757" s="157"/>
      <c r="G1757" s="158"/>
      <c r="H1757" s="157"/>
      <c r="I1757" s="157"/>
      <c r="J1757" s="159">
        <v>33.5</v>
      </c>
      <c r="K1757" s="6" t="s">
        <v>641</v>
      </c>
      <c r="L1757" s="20">
        <f>IF(ISNA(MATCH(Transactions[[#This Row],[TransType]],TransTypes[TransType],0)),1,MATCH(Transactions[[#This Row],[TransType]],TransTypes[TransType],0))</f>
        <v>5</v>
      </c>
      <c r="M1757" s="160">
        <f>IF( AND( INDEX(TransTypes[],Transactions[[#This Row],[TTR]],TT_COL_GLFlag)=1, INDEX(TransTypes[],Transactions[[#This Row],[TTR]],TT_COL_LONGORSHORT)="S" ),
      Transactions[[#This Row],[PL]],
      IF(INDEX(TransTypes[],Transactions[[#This Row],[TTR]],TT_COL_LONGORSHORT)="S",0,Transactions[[#This Row],[CalCashImpact]])
)</f>
        <v>-33.5</v>
      </c>
      <c r="N1757" s="161">
        <f>IF(VLOOKUP(Transactions[[#This Row],[Symbol]],Symbols[],COLUMN(Symbols[Currency])-COLUMN(Symbols[])+1,FALSE)=
       VLOOKUP(Transactions[[#This Row],[Account]],Accounts[],COLUMN(Accounts[Currency])-COLUMN(Accounts[])+1,FALSE),
     Transactions[[#This Row],[OrigCashImpact]],
     0
)</f>
        <v>-33.5</v>
      </c>
      <c r="O175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142167.0300000002</v>
      </c>
      <c r="P175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5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57" s="41">
        <f>ROW()</f>
        <v>1757</v>
      </c>
      <c r="S17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5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57" s="166">
        <f>IF(INDEX(TransTypes[],Transactions[[#This Row],[TTR]],TT_COL_GLFlag)=1,Transactions[[#This Row],[CalCashImpact]]+Transactions[[#This Row],[CostImpact]],0)</f>
        <v>0</v>
      </c>
      <c r="W1757" s="167">
        <f>Transactions[[#This Row],[Amount]]*INDEX(TransTypes[],Transactions[[#This Row],[TTR]],TT_COL_AmntSign)</f>
        <v>-33.5</v>
      </c>
      <c r="X1757" s="167">
        <f>IF(INDEX(TransTypes[],Transactions[[#This Row],[TTR]],TT_COL_LONGORSHORT)="S",
      IF( OR(INDEX(TransTypes[],Transactions[[#This Row],[TTR]],TT_COL_GLFlag)=1, INDEX(TransTypes[], Transactions[[#This Row],[TTR]], TT_COL_ShareTransferFlag)=1),
            Transactions[[#This Row],[CostImpact]]*-1,
            Transactions[[#This Row],[CalCashImpact]]
      ),
     0
)</f>
        <v>0</v>
      </c>
      <c r="Y1757" s="168" t="str">
        <f>VLOOKUP(Transactions[[#This Row],[Symbol]],Symbols[], COLUMN(Symbols[Currency])-COLUMN(Symbols[])+1,FALSE)</f>
        <v>CNY</v>
      </c>
    </row>
    <row r="1758" spans="1:25">
      <c r="A1758" s="155" t="s">
        <v>82</v>
      </c>
      <c r="B1758" s="156">
        <v>43047</v>
      </c>
      <c r="C1758" s="155" t="s">
        <v>113</v>
      </c>
      <c r="D1758" s="155"/>
      <c r="E1758" s="155" t="s">
        <v>467</v>
      </c>
      <c r="F1758" s="157">
        <v>5000</v>
      </c>
      <c r="G1758" s="158">
        <v>13.46</v>
      </c>
      <c r="H1758" s="157">
        <v>26.92</v>
      </c>
      <c r="I1758" s="157"/>
      <c r="J1758" s="159">
        <v>67326.92</v>
      </c>
      <c r="K1758" s="6" t="s">
        <v>641</v>
      </c>
      <c r="L1758" s="20">
        <f>IF(ISNA(MATCH(Transactions[[#This Row],[TransType]],TransTypes[TransType],0)),1,MATCH(Transactions[[#This Row],[TransType]],TransTypes[TransType],0))</f>
        <v>2</v>
      </c>
      <c r="M1758" s="160">
        <f>IF( AND( INDEX(TransTypes[],Transactions[[#This Row],[TTR]],TT_COL_GLFlag)=1, INDEX(TransTypes[],Transactions[[#This Row],[TTR]],TT_COL_LONGORSHORT)="S" ),
      Transactions[[#This Row],[PL]],
      IF(INDEX(TransTypes[],Transactions[[#This Row],[TTR]],TT_COL_LONGORSHORT)="S",0,Transactions[[#This Row],[CalCashImpact]])
)</f>
        <v>-67326.92</v>
      </c>
      <c r="N1758" s="161">
        <f>IF(VLOOKUP(Transactions[[#This Row],[Symbol]],Symbols[],COLUMN(Symbols[Currency])-COLUMN(Symbols[])+1,FALSE)=
       VLOOKUP(Transactions[[#This Row],[Account]],Accounts[],COLUMN(Accounts[Currency])-COLUMN(Accounts[])+1,FALSE),
     Transactions[[#This Row],[OrigCashImpact]],
     0
)</f>
        <v>-67326.92</v>
      </c>
      <c r="O175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74840.110000000204</v>
      </c>
      <c r="P175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5000</v>
      </c>
      <c r="Q175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25000</v>
      </c>
      <c r="R1758" s="41">
        <f>ROW()</f>
        <v>1758</v>
      </c>
      <c r="S17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67326.92</v>
      </c>
      <c r="T17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328431.32</v>
      </c>
      <c r="U175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v>
      </c>
      <c r="V1758" s="166">
        <f>IF(INDEX(TransTypes[],Transactions[[#This Row],[TTR]],TT_COL_GLFlag)=1,Transactions[[#This Row],[CalCashImpact]]+Transactions[[#This Row],[CostImpact]],0)</f>
        <v>0</v>
      </c>
      <c r="W1758" s="167">
        <f>Transactions[[#This Row],[Amount]]*INDEX(TransTypes[],Transactions[[#This Row],[TTR]],TT_COL_AmntSign)</f>
        <v>-67326.92</v>
      </c>
      <c r="X1758" s="167">
        <f>IF(INDEX(TransTypes[],Transactions[[#This Row],[TTR]],TT_COL_LONGORSHORT)="S",
      IF( OR(INDEX(TransTypes[],Transactions[[#This Row],[TTR]],TT_COL_GLFlag)=1, INDEX(TransTypes[], Transactions[[#This Row],[TTR]], TT_COL_ShareTransferFlag)=1),
            Transactions[[#This Row],[CostImpact]]*-1,
            Transactions[[#This Row],[CalCashImpact]]
      ),
     0
)</f>
        <v>0</v>
      </c>
      <c r="Y1758" s="168" t="str">
        <f>VLOOKUP(Transactions[[#This Row],[Symbol]],Symbols[], COLUMN(Symbols[Currency])-COLUMN(Symbols[])+1,FALSE)</f>
        <v>CNY</v>
      </c>
    </row>
    <row r="1759" spans="1:25">
      <c r="A1759" s="155" t="s">
        <v>82</v>
      </c>
      <c r="B1759" s="156">
        <v>43047</v>
      </c>
      <c r="C1759" s="155" t="s">
        <v>113</v>
      </c>
      <c r="D1759" s="155"/>
      <c r="E1759" s="155" t="s">
        <v>477</v>
      </c>
      <c r="F1759" s="157">
        <v>3000</v>
      </c>
      <c r="G1759" s="158">
        <v>21.56</v>
      </c>
      <c r="H1759" s="157">
        <v>25.87</v>
      </c>
      <c r="I1759" s="157"/>
      <c r="J1759" s="159">
        <v>64705.87</v>
      </c>
      <c r="K1759" s="6" t="s">
        <v>641</v>
      </c>
      <c r="L1759" s="20">
        <f>IF(ISNA(MATCH(Transactions[[#This Row],[TransType]],TransTypes[TransType],0)),1,MATCH(Transactions[[#This Row],[TransType]],TransTypes[TransType],0))</f>
        <v>2</v>
      </c>
      <c r="M1759" s="160">
        <f>IF( AND( INDEX(TransTypes[],Transactions[[#This Row],[TTR]],TT_COL_GLFlag)=1, INDEX(TransTypes[],Transactions[[#This Row],[TTR]],TT_COL_LONGORSHORT)="S" ),
      Transactions[[#This Row],[PL]],
      IF(INDEX(TransTypes[],Transactions[[#This Row],[TTR]],TT_COL_LONGORSHORT)="S",0,Transactions[[#This Row],[CalCashImpact]])
)</f>
        <v>-64705.87</v>
      </c>
      <c r="N1759" s="161">
        <f>IF(VLOOKUP(Transactions[[#This Row],[Symbol]],Symbols[],COLUMN(Symbols[Currency])-COLUMN(Symbols[])+1,FALSE)=
       VLOOKUP(Transactions[[#This Row],[Account]],Accounts[],COLUMN(Accounts[Currency])-COLUMN(Accounts[])+1,FALSE),
     Transactions[[#This Row],[OrigCashImpact]],
     0
)</f>
        <v>-64705.87</v>
      </c>
      <c r="O175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10134.240000000194</v>
      </c>
      <c r="P175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75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14000</v>
      </c>
      <c r="R1759" s="41">
        <f>ROW()</f>
        <v>1759</v>
      </c>
      <c r="S17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64705.87</v>
      </c>
      <c r="T17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317948.13</v>
      </c>
      <c r="U175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14000</v>
      </c>
      <c r="V1759" s="166">
        <f>IF(INDEX(TransTypes[],Transactions[[#This Row],[TTR]],TT_COL_GLFlag)=1,Transactions[[#This Row],[CalCashImpact]]+Transactions[[#This Row],[CostImpact]],0)</f>
        <v>0</v>
      </c>
      <c r="W1759" s="167">
        <f>Transactions[[#This Row],[Amount]]*INDEX(TransTypes[],Transactions[[#This Row],[TTR]],TT_COL_AmntSign)</f>
        <v>-64705.87</v>
      </c>
      <c r="X1759" s="167">
        <f>IF(INDEX(TransTypes[],Transactions[[#This Row],[TTR]],TT_COL_LONGORSHORT)="S",
      IF( OR(INDEX(TransTypes[],Transactions[[#This Row],[TTR]],TT_COL_GLFlag)=1, INDEX(TransTypes[], Transactions[[#This Row],[TTR]], TT_COL_ShareTransferFlag)=1),
            Transactions[[#This Row],[CostImpact]]*-1,
            Transactions[[#This Row],[CalCashImpact]]
      ),
     0
)</f>
        <v>0</v>
      </c>
      <c r="Y1759" s="168" t="str">
        <f>VLOOKUP(Transactions[[#This Row],[Symbol]],Symbols[], COLUMN(Symbols[Currency])-COLUMN(Symbols[])+1,FALSE)</f>
        <v>CNY</v>
      </c>
    </row>
    <row r="1760" spans="1:25">
      <c r="A1760" s="155" t="s">
        <v>82</v>
      </c>
      <c r="B1760" s="156">
        <v>43047</v>
      </c>
      <c r="C1760" s="155" t="s">
        <v>115</v>
      </c>
      <c r="D1760" s="155"/>
      <c r="E1760" s="155" t="s">
        <v>480</v>
      </c>
      <c r="F1760" s="157">
        <v>2000</v>
      </c>
      <c r="G1760" s="158">
        <v>71.09</v>
      </c>
      <c r="H1760" s="157">
        <v>201.89</v>
      </c>
      <c r="I1760" s="157"/>
      <c r="J1760" s="159">
        <v>141978.10999999999</v>
      </c>
      <c r="K1760" s="6" t="s">
        <v>641</v>
      </c>
      <c r="L1760" s="20">
        <f>IF(ISNA(MATCH(Transactions[[#This Row],[TransType]],TransTypes[TransType],0)),1,MATCH(Transactions[[#This Row],[TransType]],TransTypes[TransType],0))</f>
        <v>3</v>
      </c>
      <c r="M1760" s="160">
        <f>IF( AND( INDEX(TransTypes[],Transactions[[#This Row],[TTR]],TT_COL_GLFlag)=1, INDEX(TransTypes[],Transactions[[#This Row],[TTR]],TT_COL_LONGORSHORT)="S" ),
      Transactions[[#This Row],[PL]],
      IF(INDEX(TransTypes[],Transactions[[#This Row],[TTR]],TT_COL_LONGORSHORT)="S",0,Transactions[[#This Row],[CalCashImpact]])
)</f>
        <v>141978.10999999999</v>
      </c>
      <c r="N1760" s="161">
        <f>IF(VLOOKUP(Transactions[[#This Row],[Symbol]],Symbols[],COLUMN(Symbols[Currency])-COLUMN(Symbols[])+1,FALSE)=
       VLOOKUP(Transactions[[#This Row],[Account]],Accounts[],COLUMN(Accounts[Currency])-COLUMN(Accounts[])+1,FALSE),
     Transactions[[#This Row],[OrigCashImpact]],
     0
)</f>
        <v>141978.10999999999</v>
      </c>
      <c r="O176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152112.35000000018</v>
      </c>
      <c r="P176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6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3000</v>
      </c>
      <c r="R1760" s="41">
        <f>ROW()</f>
        <v>1760</v>
      </c>
      <c r="S17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-91879.279708561022</v>
      </c>
      <c r="T17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137818.91956284153</v>
      </c>
      <c r="U176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5000</v>
      </c>
      <c r="V1760" s="166">
        <f>IF(INDEX(TransTypes[],Transactions[[#This Row],[TTR]],TT_COL_GLFlag)=1,Transactions[[#This Row],[CalCashImpact]]+Transactions[[#This Row],[CostImpact]],0)</f>
        <v>50098.830291438964</v>
      </c>
      <c r="W1760" s="167">
        <f>Transactions[[#This Row],[Amount]]*INDEX(TransTypes[],Transactions[[#This Row],[TTR]],TT_COL_AmntSign)</f>
        <v>141978.10999999999</v>
      </c>
      <c r="X1760" s="167">
        <f>IF(INDEX(TransTypes[],Transactions[[#This Row],[TTR]],TT_COL_LONGORSHORT)="S",
      IF( OR(INDEX(TransTypes[],Transactions[[#This Row],[TTR]],TT_COL_GLFlag)=1, INDEX(TransTypes[], Transactions[[#This Row],[TTR]], TT_COL_ShareTransferFlag)=1),
            Transactions[[#This Row],[CostImpact]]*-1,
            Transactions[[#This Row],[CalCashImpact]]
      ),
     0
)</f>
        <v>0</v>
      </c>
      <c r="Y1760" s="168" t="str">
        <f>VLOOKUP(Transactions[[#This Row],[Symbol]],Symbols[], COLUMN(Symbols[Currency])-COLUMN(Symbols[])+1,FALSE)</f>
        <v>CNY</v>
      </c>
    </row>
    <row r="1761" spans="1:25">
      <c r="A1761" s="155" t="s">
        <v>82</v>
      </c>
      <c r="B1761" s="156">
        <v>43047</v>
      </c>
      <c r="C1761" s="155" t="s">
        <v>115</v>
      </c>
      <c r="D1761" s="155"/>
      <c r="E1761" s="155" t="s">
        <v>756</v>
      </c>
      <c r="F1761" s="157">
        <v>2000</v>
      </c>
      <c r="G1761" s="158">
        <v>43.179000000000002</v>
      </c>
      <c r="H1761" s="157">
        <v>122.63</v>
      </c>
      <c r="I1761" s="157"/>
      <c r="J1761" s="159">
        <v>86235.37</v>
      </c>
      <c r="K1761" s="6" t="s">
        <v>641</v>
      </c>
      <c r="L1761" s="20">
        <f>IF(ISNA(MATCH(Transactions[[#This Row],[TransType]],TransTypes[TransType],0)),1,MATCH(Transactions[[#This Row],[TransType]],TransTypes[TransType],0))</f>
        <v>3</v>
      </c>
      <c r="M1761" s="160">
        <f>IF( AND( INDEX(TransTypes[],Transactions[[#This Row],[TTR]],TT_COL_GLFlag)=1, INDEX(TransTypes[],Transactions[[#This Row],[TTR]],TT_COL_LONGORSHORT)="S" ),
      Transactions[[#This Row],[PL]],
      IF(INDEX(TransTypes[],Transactions[[#This Row],[TTR]],TT_COL_LONGORSHORT)="S",0,Transactions[[#This Row],[CalCashImpact]])
)</f>
        <v>86235.37</v>
      </c>
      <c r="N1761" s="161">
        <f>IF(VLOOKUP(Transactions[[#This Row],[Symbol]],Symbols[],COLUMN(Symbols[Currency])-COLUMN(Symbols[])+1,FALSE)=
       VLOOKUP(Transactions[[#This Row],[Account]],Accounts[],COLUMN(Accounts[Currency])-COLUMN(Accounts[])+1,FALSE),
     Transactions[[#This Row],[OrigCashImpact]],
     0
)</f>
        <v>86235.37</v>
      </c>
      <c r="O176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238347.72000000018</v>
      </c>
      <c r="P176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6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761" s="41">
        <f>ROW()</f>
        <v>1761</v>
      </c>
      <c r="S17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-75451.67750000002</v>
      </c>
      <c r="T17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150903.35500000001</v>
      </c>
      <c r="U176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761" s="166">
        <f>IF(INDEX(TransTypes[],Transactions[[#This Row],[TTR]],TT_COL_GLFlag)=1,Transactions[[#This Row],[CalCashImpact]]+Transactions[[#This Row],[CostImpact]],0)</f>
        <v>10783.692499999976</v>
      </c>
      <c r="W1761" s="167">
        <f>Transactions[[#This Row],[Amount]]*INDEX(TransTypes[],Transactions[[#This Row],[TTR]],TT_COL_AmntSign)</f>
        <v>86235.37</v>
      </c>
      <c r="X1761" s="167">
        <f>IF(INDEX(TransTypes[],Transactions[[#This Row],[TTR]],TT_COL_LONGORSHORT)="S",
      IF( OR(INDEX(TransTypes[],Transactions[[#This Row],[TTR]],TT_COL_GLFlag)=1, INDEX(TransTypes[], Transactions[[#This Row],[TTR]], TT_COL_ShareTransferFlag)=1),
            Transactions[[#This Row],[CostImpact]]*-1,
            Transactions[[#This Row],[CalCashImpact]]
      ),
     0
)</f>
        <v>0</v>
      </c>
      <c r="Y1761" s="168" t="str">
        <f>VLOOKUP(Transactions[[#This Row],[Symbol]],Symbols[], COLUMN(Symbols[Currency])-COLUMN(Symbols[])+1,FALSE)</f>
        <v>CNY</v>
      </c>
    </row>
    <row r="1762" spans="1:25">
      <c r="A1762" s="155" t="s">
        <v>82</v>
      </c>
      <c r="B1762" s="156">
        <v>43048</v>
      </c>
      <c r="C1762" s="155" t="s">
        <v>119</v>
      </c>
      <c r="D1762" s="155"/>
      <c r="E1762" s="155" t="s">
        <v>211</v>
      </c>
      <c r="F1762" s="157"/>
      <c r="G1762" s="158"/>
      <c r="H1762" s="157"/>
      <c r="I1762" s="157"/>
      <c r="J1762" s="159">
        <v>33.5</v>
      </c>
      <c r="K1762" s="6" t="s">
        <v>641</v>
      </c>
      <c r="L1762" s="20">
        <f>IF(ISNA(MATCH(Transactions[[#This Row],[TransType]],TransTypes[TransType],0)),1,MATCH(Transactions[[#This Row],[TransType]],TransTypes[TransType],0))</f>
        <v>5</v>
      </c>
      <c r="M1762" s="160">
        <f>IF( AND( INDEX(TransTypes[],Transactions[[#This Row],[TTR]],TT_COL_GLFlag)=1, INDEX(TransTypes[],Transactions[[#This Row],[TTR]],TT_COL_LONGORSHORT)="S" ),
      Transactions[[#This Row],[PL]],
      IF(INDEX(TransTypes[],Transactions[[#This Row],[TTR]],TT_COL_LONGORSHORT)="S",0,Transactions[[#This Row],[CalCashImpact]])
)</f>
        <v>-33.5</v>
      </c>
      <c r="N1762" s="161">
        <f>IF(VLOOKUP(Transactions[[#This Row],[Symbol]],Symbols[],COLUMN(Symbols[Currency])-COLUMN(Symbols[])+1,FALSE)=
       VLOOKUP(Transactions[[#This Row],[Account]],Accounts[],COLUMN(Accounts[Currency])-COLUMN(Accounts[])+1,FALSE),
     Transactions[[#This Row],[OrigCashImpact]],
     0
)</f>
        <v>-33.5</v>
      </c>
      <c r="O176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238314.22000000018</v>
      </c>
      <c r="P176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6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62" s="41">
        <f>ROW()</f>
        <v>1762</v>
      </c>
      <c r="S17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6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62" s="166">
        <f>IF(INDEX(TransTypes[],Transactions[[#This Row],[TTR]],TT_COL_GLFlag)=1,Transactions[[#This Row],[CalCashImpact]]+Transactions[[#This Row],[CostImpact]],0)</f>
        <v>0</v>
      </c>
      <c r="W1762" s="167">
        <f>Transactions[[#This Row],[Amount]]*INDEX(TransTypes[],Transactions[[#This Row],[TTR]],TT_COL_AmntSign)</f>
        <v>-33.5</v>
      </c>
      <c r="X1762" s="167">
        <f>IF(INDEX(TransTypes[],Transactions[[#This Row],[TTR]],TT_COL_LONGORSHORT)="S",
      IF( OR(INDEX(TransTypes[],Transactions[[#This Row],[TTR]],TT_COL_GLFlag)=1, INDEX(TransTypes[], Transactions[[#This Row],[TTR]], TT_COL_ShareTransferFlag)=1),
            Transactions[[#This Row],[CostImpact]]*-1,
            Transactions[[#This Row],[CalCashImpact]]
      ),
     0
)</f>
        <v>0</v>
      </c>
      <c r="Y1762" s="168" t="str">
        <f>VLOOKUP(Transactions[[#This Row],[Symbol]],Symbols[], COLUMN(Symbols[Currency])-COLUMN(Symbols[])+1,FALSE)</f>
        <v>CNY</v>
      </c>
    </row>
    <row r="1763" spans="1:25">
      <c r="A1763" s="155" t="s">
        <v>82</v>
      </c>
      <c r="B1763" s="156">
        <v>43049</v>
      </c>
      <c r="C1763" s="155" t="s">
        <v>113</v>
      </c>
      <c r="D1763" s="155"/>
      <c r="E1763" s="155" t="s">
        <v>477</v>
      </c>
      <c r="F1763" s="157">
        <v>4000</v>
      </c>
      <c r="G1763" s="158">
        <v>22.83</v>
      </c>
      <c r="H1763" s="157">
        <v>36.53</v>
      </c>
      <c r="I1763" s="157"/>
      <c r="J1763" s="159">
        <v>91356.53</v>
      </c>
      <c r="K1763" s="6" t="s">
        <v>641</v>
      </c>
      <c r="L1763" s="20">
        <f>IF(ISNA(MATCH(Transactions[[#This Row],[TransType]],TransTypes[TransType],0)),1,MATCH(Transactions[[#This Row],[TransType]],TransTypes[TransType],0))</f>
        <v>2</v>
      </c>
      <c r="M1763" s="160">
        <f>IF( AND( INDEX(TransTypes[],Transactions[[#This Row],[TTR]],TT_COL_GLFlag)=1, INDEX(TransTypes[],Transactions[[#This Row],[TTR]],TT_COL_LONGORSHORT)="S" ),
      Transactions[[#This Row],[PL]],
      IF(INDEX(TransTypes[],Transactions[[#This Row],[TTR]],TT_COL_LONGORSHORT)="S",0,Transactions[[#This Row],[CalCashImpact]])
)</f>
        <v>-91356.53</v>
      </c>
      <c r="N1763" s="161">
        <f>IF(VLOOKUP(Transactions[[#This Row],[Symbol]],Symbols[],COLUMN(Symbols[Currency])-COLUMN(Symbols[])+1,FALSE)=
       VLOOKUP(Transactions[[#This Row],[Account]],Accounts[],COLUMN(Accounts[Currency])-COLUMN(Accounts[])+1,FALSE),
     Transactions[[#This Row],[OrigCashImpact]],
     0
)</f>
        <v>-91356.53</v>
      </c>
      <c r="O176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146957.69000000018</v>
      </c>
      <c r="P176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6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18000</v>
      </c>
      <c r="R1763" s="41">
        <f>ROW()</f>
        <v>1763</v>
      </c>
      <c r="S17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91356.53</v>
      </c>
      <c r="T17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409304.66000000003</v>
      </c>
      <c r="U176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1763" s="166">
        <f>IF(INDEX(TransTypes[],Transactions[[#This Row],[TTR]],TT_COL_GLFlag)=1,Transactions[[#This Row],[CalCashImpact]]+Transactions[[#This Row],[CostImpact]],0)</f>
        <v>0</v>
      </c>
      <c r="W1763" s="167">
        <f>Transactions[[#This Row],[Amount]]*INDEX(TransTypes[],Transactions[[#This Row],[TTR]],TT_COL_AmntSign)</f>
        <v>-91356.53</v>
      </c>
      <c r="X1763" s="167">
        <f>IF(INDEX(TransTypes[],Transactions[[#This Row],[TTR]],TT_COL_LONGORSHORT)="S",
      IF( OR(INDEX(TransTypes[],Transactions[[#This Row],[TTR]],TT_COL_GLFlag)=1, INDEX(TransTypes[], Transactions[[#This Row],[TTR]], TT_COL_ShareTransferFlag)=1),
            Transactions[[#This Row],[CostImpact]]*-1,
            Transactions[[#This Row],[CalCashImpact]]
      ),
     0
)</f>
        <v>0</v>
      </c>
      <c r="Y1763" s="168" t="str">
        <f>VLOOKUP(Transactions[[#This Row],[Symbol]],Symbols[], COLUMN(Symbols[Currency])-COLUMN(Symbols[])+1,FALSE)</f>
        <v>CNY</v>
      </c>
    </row>
    <row r="1764" spans="1:25">
      <c r="A1764" s="155" t="s">
        <v>82</v>
      </c>
      <c r="B1764" s="156">
        <v>43053</v>
      </c>
      <c r="C1764" s="155" t="s">
        <v>115</v>
      </c>
      <c r="D1764" s="155"/>
      <c r="E1764" s="155" t="s">
        <v>467</v>
      </c>
      <c r="F1764" s="157">
        <v>8000</v>
      </c>
      <c r="G1764" s="158">
        <v>13.38</v>
      </c>
      <c r="H1764" s="157">
        <v>149.86000000000001</v>
      </c>
      <c r="I1764" s="157"/>
      <c r="J1764" s="159">
        <v>106890.14</v>
      </c>
      <c r="K1764" s="6" t="s">
        <v>641</v>
      </c>
      <c r="L1764" s="20">
        <f>IF(ISNA(MATCH(Transactions[[#This Row],[TransType]],TransTypes[TransType],0)),1,MATCH(Transactions[[#This Row],[TransType]],TransTypes[TransType],0))</f>
        <v>3</v>
      </c>
      <c r="M1764" s="160">
        <f>IF( AND( INDEX(TransTypes[],Transactions[[#This Row],[TTR]],TT_COL_GLFlag)=1, INDEX(TransTypes[],Transactions[[#This Row],[TTR]],TT_COL_LONGORSHORT)="S" ),
      Transactions[[#This Row],[PL]],
      IF(INDEX(TransTypes[],Transactions[[#This Row],[TTR]],TT_COL_LONGORSHORT)="S",0,Transactions[[#This Row],[CalCashImpact]])
)</f>
        <v>106890.14</v>
      </c>
      <c r="N1764" s="161">
        <f>IF(VLOOKUP(Transactions[[#This Row],[Symbol]],Symbols[],COLUMN(Symbols[Currency])-COLUMN(Symbols[])+1,FALSE)=
       VLOOKUP(Transactions[[#This Row],[Account]],Accounts[],COLUMN(Accounts[Currency])-COLUMN(Accounts[])+1,FALSE),
     Transactions[[#This Row],[OrigCashImpact]],
     0
)</f>
        <v>106890.14</v>
      </c>
      <c r="O176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253847.83000000019</v>
      </c>
      <c r="P176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76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17000</v>
      </c>
      <c r="R1764" s="41">
        <f>ROW()</f>
        <v>1764</v>
      </c>
      <c r="S17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-105098.0224</v>
      </c>
      <c r="T17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223333.29759999999</v>
      </c>
      <c r="U176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25000</v>
      </c>
      <c r="V1764" s="166">
        <f>IF(INDEX(TransTypes[],Transactions[[#This Row],[TTR]],TT_COL_GLFlag)=1,Transactions[[#This Row],[CalCashImpact]]+Transactions[[#This Row],[CostImpact]],0)</f>
        <v>1792.1175999999978</v>
      </c>
      <c r="W1764" s="167">
        <f>Transactions[[#This Row],[Amount]]*INDEX(TransTypes[],Transactions[[#This Row],[TTR]],TT_COL_AmntSign)</f>
        <v>106890.14</v>
      </c>
      <c r="X1764" s="167">
        <f>IF(INDEX(TransTypes[],Transactions[[#This Row],[TTR]],TT_COL_LONGORSHORT)="S",
      IF( OR(INDEX(TransTypes[],Transactions[[#This Row],[TTR]],TT_COL_GLFlag)=1, INDEX(TransTypes[], Transactions[[#This Row],[TTR]], TT_COL_ShareTransferFlag)=1),
            Transactions[[#This Row],[CostImpact]]*-1,
            Transactions[[#This Row],[CalCashImpact]]
      ),
     0
)</f>
        <v>0</v>
      </c>
      <c r="Y1764" s="168" t="str">
        <f>VLOOKUP(Transactions[[#This Row],[Symbol]],Symbols[], COLUMN(Symbols[Currency])-COLUMN(Symbols[])+1,FALSE)</f>
        <v>CNY</v>
      </c>
    </row>
    <row r="1765" spans="1:25">
      <c r="A1765" s="155" t="s">
        <v>82</v>
      </c>
      <c r="B1765" s="156">
        <v>43056</v>
      </c>
      <c r="C1765" s="155" t="s">
        <v>113</v>
      </c>
      <c r="D1765" s="155"/>
      <c r="E1765" s="155" t="s">
        <v>468</v>
      </c>
      <c r="F1765" s="157">
        <v>3000</v>
      </c>
      <c r="G1765" s="158">
        <v>74.47</v>
      </c>
      <c r="H1765" s="157">
        <v>93.83</v>
      </c>
      <c r="I1765" s="157"/>
      <c r="J1765" s="159">
        <v>223503.83</v>
      </c>
      <c r="K1765" s="6" t="s">
        <v>641</v>
      </c>
      <c r="L1765" s="20">
        <f>IF(ISNA(MATCH(Transactions[[#This Row],[TransType]],TransTypes[TransType],0)),1,MATCH(Transactions[[#This Row],[TransType]],TransTypes[TransType],0))</f>
        <v>2</v>
      </c>
      <c r="M1765" s="160">
        <f>IF( AND( INDEX(TransTypes[],Transactions[[#This Row],[TTR]],TT_COL_GLFlag)=1, INDEX(TransTypes[],Transactions[[#This Row],[TTR]],TT_COL_LONGORSHORT)="S" ),
      Transactions[[#This Row],[PL]],
      IF(INDEX(TransTypes[],Transactions[[#This Row],[TTR]],TT_COL_LONGORSHORT)="S",0,Transactions[[#This Row],[CalCashImpact]])
)</f>
        <v>-223503.83</v>
      </c>
      <c r="N1765" s="161">
        <f>IF(VLOOKUP(Transactions[[#This Row],[Symbol]],Symbols[],COLUMN(Symbols[Currency])-COLUMN(Symbols[])+1,FALSE)=
       VLOOKUP(Transactions[[#This Row],[Account]],Accounts[],COLUMN(Accounts[Currency])-COLUMN(Accounts[])+1,FALSE),
     Transactions[[#This Row],[OrigCashImpact]],
     0
)</f>
        <v>-223503.83</v>
      </c>
      <c r="O176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30344.000000000204</v>
      </c>
      <c r="P176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76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765" s="41">
        <f>ROW()</f>
        <v>1765</v>
      </c>
      <c r="S17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223503.83</v>
      </c>
      <c r="T17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512376.12389795925</v>
      </c>
      <c r="U176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765" s="166">
        <f>IF(INDEX(TransTypes[],Transactions[[#This Row],[TTR]],TT_COL_GLFlag)=1,Transactions[[#This Row],[CalCashImpact]]+Transactions[[#This Row],[CostImpact]],0)</f>
        <v>0</v>
      </c>
      <c r="W1765" s="167">
        <f>Transactions[[#This Row],[Amount]]*INDEX(TransTypes[],Transactions[[#This Row],[TTR]],TT_COL_AmntSign)</f>
        <v>-223503.83</v>
      </c>
      <c r="X1765" s="167">
        <f>IF(INDEX(TransTypes[],Transactions[[#This Row],[TTR]],TT_COL_LONGORSHORT)="S",
      IF( OR(INDEX(TransTypes[],Transactions[[#This Row],[TTR]],TT_COL_GLFlag)=1, INDEX(TransTypes[], Transactions[[#This Row],[TTR]], TT_COL_ShareTransferFlag)=1),
            Transactions[[#This Row],[CostImpact]]*-1,
            Transactions[[#This Row],[CalCashImpact]]
      ),
     0
)</f>
        <v>0</v>
      </c>
      <c r="Y1765" s="168" t="str">
        <f>VLOOKUP(Transactions[[#This Row],[Symbol]],Symbols[], COLUMN(Symbols[Currency])-COLUMN(Symbols[])+1,FALSE)</f>
        <v>CNY</v>
      </c>
    </row>
    <row r="1766" spans="1:25">
      <c r="A1766" s="155" t="s">
        <v>82</v>
      </c>
      <c r="B1766" s="156">
        <v>43061</v>
      </c>
      <c r="C1766" s="155" t="s">
        <v>115</v>
      </c>
      <c r="D1766" s="155"/>
      <c r="E1766" s="155" t="s">
        <v>477</v>
      </c>
      <c r="F1766" s="157">
        <v>2000</v>
      </c>
      <c r="G1766" s="158">
        <v>24.8</v>
      </c>
      <c r="H1766" s="157">
        <v>69.44</v>
      </c>
      <c r="I1766" s="157"/>
      <c r="J1766" s="159">
        <v>49530.559999999998</v>
      </c>
      <c r="K1766" s="6" t="s">
        <v>641</v>
      </c>
      <c r="L1766" s="20">
        <f>IF(ISNA(MATCH(Transactions[[#This Row],[TransType]],TransTypes[TransType],0)),1,MATCH(Transactions[[#This Row],[TransType]],TransTypes[TransType],0))</f>
        <v>3</v>
      </c>
      <c r="M1766" s="160">
        <f>IF( AND( INDEX(TransTypes[],Transactions[[#This Row],[TTR]],TT_COL_GLFlag)=1, INDEX(TransTypes[],Transactions[[#This Row],[TTR]],TT_COL_LONGORSHORT)="S" ),
      Transactions[[#This Row],[PL]],
      IF(INDEX(TransTypes[],Transactions[[#This Row],[TTR]],TT_COL_LONGORSHORT)="S",0,Transactions[[#This Row],[CalCashImpact]])
)</f>
        <v>49530.559999999998</v>
      </c>
      <c r="N1766" s="161">
        <f>IF(VLOOKUP(Transactions[[#This Row],[Symbol]],Symbols[],COLUMN(Symbols[Currency])-COLUMN(Symbols[])+1,FALSE)=
       VLOOKUP(Transactions[[#This Row],[Account]],Accounts[],COLUMN(Accounts[Currency])-COLUMN(Accounts[])+1,FALSE),
     Transactions[[#This Row],[OrigCashImpact]],
     0
)</f>
        <v>49530.559999999998</v>
      </c>
      <c r="O176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79874.560000000201</v>
      </c>
      <c r="P176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6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16000</v>
      </c>
      <c r="R1766" s="41">
        <f>ROW()</f>
        <v>1766</v>
      </c>
      <c r="S17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-45478.29555555556</v>
      </c>
      <c r="T17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363826.36444444448</v>
      </c>
      <c r="U176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1766" s="166">
        <f>IF(INDEX(TransTypes[],Transactions[[#This Row],[TTR]],TT_COL_GLFlag)=1,Transactions[[#This Row],[CalCashImpact]]+Transactions[[#This Row],[CostImpact]],0)</f>
        <v>4052.2644444444377</v>
      </c>
      <c r="W1766" s="167">
        <f>Transactions[[#This Row],[Amount]]*INDEX(TransTypes[],Transactions[[#This Row],[TTR]],TT_COL_AmntSign)</f>
        <v>49530.559999999998</v>
      </c>
      <c r="X1766" s="167">
        <f>IF(INDEX(TransTypes[],Transactions[[#This Row],[TTR]],TT_COL_LONGORSHORT)="S",
      IF( OR(INDEX(TransTypes[],Transactions[[#This Row],[TTR]],TT_COL_GLFlag)=1, INDEX(TransTypes[], Transactions[[#This Row],[TTR]], TT_COL_ShareTransferFlag)=1),
            Transactions[[#This Row],[CostImpact]]*-1,
            Transactions[[#This Row],[CalCashImpact]]
      ),
     0
)</f>
        <v>0</v>
      </c>
      <c r="Y1766" s="168" t="str">
        <f>VLOOKUP(Transactions[[#This Row],[Symbol]],Symbols[], COLUMN(Symbols[Currency])-COLUMN(Symbols[])+1,FALSE)</f>
        <v>CNY</v>
      </c>
    </row>
    <row r="1767" spans="1:25">
      <c r="A1767" s="155" t="s">
        <v>82</v>
      </c>
      <c r="B1767" s="156">
        <v>43061</v>
      </c>
      <c r="C1767" s="155" t="s">
        <v>115</v>
      </c>
      <c r="D1767" s="155"/>
      <c r="E1767" s="155" t="s">
        <v>482</v>
      </c>
      <c r="F1767" s="157">
        <v>500</v>
      </c>
      <c r="G1767" s="158">
        <v>47.24</v>
      </c>
      <c r="H1767" s="157">
        <v>33.07</v>
      </c>
      <c r="I1767" s="157"/>
      <c r="J1767" s="159">
        <v>23586.93</v>
      </c>
      <c r="K1767" s="6" t="s">
        <v>641</v>
      </c>
      <c r="L1767" s="20">
        <f>IF(ISNA(MATCH(Transactions[[#This Row],[TransType]],TransTypes[TransType],0)),1,MATCH(Transactions[[#This Row],[TransType]],TransTypes[TransType],0))</f>
        <v>3</v>
      </c>
      <c r="M1767" s="160">
        <f>IF( AND( INDEX(TransTypes[],Transactions[[#This Row],[TTR]],TT_COL_GLFlag)=1, INDEX(TransTypes[],Transactions[[#This Row],[TTR]],TT_COL_LONGORSHORT)="S" ),
      Transactions[[#This Row],[PL]],
      IF(INDEX(TransTypes[],Transactions[[#This Row],[TTR]],TT_COL_LONGORSHORT)="S",0,Transactions[[#This Row],[CalCashImpact]])
)</f>
        <v>23586.93</v>
      </c>
      <c r="N1767" s="161">
        <f>IF(VLOOKUP(Transactions[[#This Row],[Symbol]],Symbols[],COLUMN(Symbols[Currency])-COLUMN(Symbols[])+1,FALSE)=
       VLOOKUP(Transactions[[#This Row],[Account]],Accounts[],COLUMN(Accounts[Currency])-COLUMN(Accounts[])+1,FALSE),
     Transactions[[#This Row],[OrigCashImpact]],
     0
)</f>
        <v>23586.93</v>
      </c>
      <c r="O176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103461.49000000019</v>
      </c>
      <c r="P176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76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6500</v>
      </c>
      <c r="R1767" s="41">
        <f>ROW()</f>
        <v>1767</v>
      </c>
      <c r="S17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-15947.563958333334</v>
      </c>
      <c r="T17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207318.33145833333</v>
      </c>
      <c r="U176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67" s="166">
        <f>IF(INDEX(TransTypes[],Transactions[[#This Row],[TTR]],TT_COL_GLFlag)=1,Transactions[[#This Row],[CalCashImpact]]+Transactions[[#This Row],[CostImpact]],0)</f>
        <v>7639.3660416666662</v>
      </c>
      <c r="W1767" s="167">
        <f>Transactions[[#This Row],[Amount]]*INDEX(TransTypes[],Transactions[[#This Row],[TTR]],TT_COL_AmntSign)</f>
        <v>23586.93</v>
      </c>
      <c r="X1767" s="167">
        <f>IF(INDEX(TransTypes[],Transactions[[#This Row],[TTR]],TT_COL_LONGORSHORT)="S",
      IF( OR(INDEX(TransTypes[],Transactions[[#This Row],[TTR]],TT_COL_GLFlag)=1, INDEX(TransTypes[], Transactions[[#This Row],[TTR]], TT_COL_ShareTransferFlag)=1),
            Transactions[[#This Row],[CostImpact]]*-1,
            Transactions[[#This Row],[CalCashImpact]]
      ),
     0
)</f>
        <v>0</v>
      </c>
      <c r="Y1767" s="168" t="str">
        <f>VLOOKUP(Transactions[[#This Row],[Symbol]],Symbols[], COLUMN(Symbols[Currency])-COLUMN(Symbols[])+1,FALSE)</f>
        <v>CNY</v>
      </c>
    </row>
    <row r="1768" spans="1:25">
      <c r="A1768" s="155" t="s">
        <v>82</v>
      </c>
      <c r="B1768" s="156">
        <v>43061</v>
      </c>
      <c r="C1768" s="155" t="s">
        <v>115</v>
      </c>
      <c r="D1768" s="155"/>
      <c r="E1768" s="155" t="s">
        <v>464</v>
      </c>
      <c r="F1768" s="157">
        <v>100</v>
      </c>
      <c r="G1768" s="158">
        <v>653.36</v>
      </c>
      <c r="H1768" s="157">
        <v>92.78</v>
      </c>
      <c r="I1768" s="157"/>
      <c r="J1768" s="159">
        <v>65243.22</v>
      </c>
      <c r="K1768" s="6" t="s">
        <v>641</v>
      </c>
      <c r="L1768" s="20">
        <f>IF(ISNA(MATCH(Transactions[[#This Row],[TransType]],TransTypes[TransType],0)),1,MATCH(Transactions[[#This Row],[TransType]],TransTypes[TransType],0))</f>
        <v>3</v>
      </c>
      <c r="M1768" s="160">
        <f>IF( AND( INDEX(TransTypes[],Transactions[[#This Row],[TTR]],TT_COL_GLFlag)=1, INDEX(TransTypes[],Transactions[[#This Row],[TTR]],TT_COL_LONGORSHORT)="S" ),
      Transactions[[#This Row],[PL]],
      IF(INDEX(TransTypes[],Transactions[[#This Row],[TTR]],TT_COL_LONGORSHORT)="S",0,Transactions[[#This Row],[CalCashImpact]])
)</f>
        <v>65243.22</v>
      </c>
      <c r="N1768" s="161">
        <f>IF(VLOOKUP(Transactions[[#This Row],[Symbol]],Symbols[],COLUMN(Symbols[Currency])-COLUMN(Symbols[])+1,FALSE)=
       VLOOKUP(Transactions[[#This Row],[Account]],Accounts[],COLUMN(Accounts[Currency])-COLUMN(Accounts[])+1,FALSE),
     Transactions[[#This Row],[OrigCashImpact]],
     0
)</f>
        <v>65243.22</v>
      </c>
      <c r="O176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168704.7100000002</v>
      </c>
      <c r="P176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76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v>
      </c>
      <c r="R1768" s="41">
        <f>ROW()</f>
        <v>1768</v>
      </c>
      <c r="S17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-41512.517366604174</v>
      </c>
      <c r="T17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249075.10419962503</v>
      </c>
      <c r="U176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1768" s="166">
        <f>IF(INDEX(TransTypes[],Transactions[[#This Row],[TTR]],TT_COL_GLFlag)=1,Transactions[[#This Row],[CalCashImpact]]+Transactions[[#This Row],[CostImpact]],0)</f>
        <v>23730.702633395827</v>
      </c>
      <c r="W1768" s="167">
        <f>Transactions[[#This Row],[Amount]]*INDEX(TransTypes[],Transactions[[#This Row],[TTR]],TT_COL_AmntSign)</f>
        <v>65243.22</v>
      </c>
      <c r="X1768" s="167">
        <f>IF(INDEX(TransTypes[],Transactions[[#This Row],[TTR]],TT_COL_LONGORSHORT)="S",
      IF( OR(INDEX(TransTypes[],Transactions[[#This Row],[TTR]],TT_COL_GLFlag)=1, INDEX(TransTypes[], Transactions[[#This Row],[TTR]], TT_COL_ShareTransferFlag)=1),
            Transactions[[#This Row],[CostImpact]]*-1,
            Transactions[[#This Row],[CalCashImpact]]
      ),
     0
)</f>
        <v>0</v>
      </c>
      <c r="Y1768" s="168" t="str">
        <f>VLOOKUP(Transactions[[#This Row],[Symbol]],Symbols[], COLUMN(Symbols[Currency])-COLUMN(Symbols[])+1,FALSE)</f>
        <v>CNY</v>
      </c>
    </row>
    <row r="1769" spans="1:25">
      <c r="A1769" s="155" t="s">
        <v>82</v>
      </c>
      <c r="B1769" s="156">
        <v>43062</v>
      </c>
      <c r="C1769" s="155" t="s">
        <v>119</v>
      </c>
      <c r="D1769" s="155"/>
      <c r="E1769" s="155" t="s">
        <v>211</v>
      </c>
      <c r="F1769" s="157"/>
      <c r="G1769" s="158"/>
      <c r="H1769" s="157"/>
      <c r="I1769" s="157"/>
      <c r="J1769" s="159">
        <v>90</v>
      </c>
      <c r="K1769" s="6" t="s">
        <v>757</v>
      </c>
      <c r="L1769" s="20">
        <f>IF(ISNA(MATCH(Transactions[[#This Row],[TransType]],TransTypes[TransType],0)),1,MATCH(Transactions[[#This Row],[TransType]],TransTypes[TransType],0))</f>
        <v>5</v>
      </c>
      <c r="M1769" s="160">
        <f>IF( AND( INDEX(TransTypes[],Transactions[[#This Row],[TTR]],TT_COL_GLFlag)=1, INDEX(TransTypes[],Transactions[[#This Row],[TTR]],TT_COL_LONGORSHORT)="S" ),
      Transactions[[#This Row],[PL]],
      IF(INDEX(TransTypes[],Transactions[[#This Row],[TTR]],TT_COL_LONGORSHORT)="S",0,Transactions[[#This Row],[CalCashImpact]])
)</f>
        <v>-90</v>
      </c>
      <c r="N1769" s="161">
        <f>IF(VLOOKUP(Transactions[[#This Row],[Symbol]],Symbols[],COLUMN(Symbols[Currency])-COLUMN(Symbols[])+1,FALSE)=
       VLOOKUP(Transactions[[#This Row],[Account]],Accounts[],COLUMN(Accounts[Currency])-COLUMN(Accounts[])+1,FALSE),
     Transactions[[#This Row],[OrigCashImpact]],
     0
)</f>
        <v>-90</v>
      </c>
      <c r="O176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168614.7100000002</v>
      </c>
      <c r="P176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6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69" s="41">
        <f>ROW()</f>
        <v>1769</v>
      </c>
      <c r="S17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6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69" s="166">
        <f>IF(INDEX(TransTypes[],Transactions[[#This Row],[TTR]],TT_COL_GLFlag)=1,Transactions[[#This Row],[CalCashImpact]]+Transactions[[#This Row],[CostImpact]],0)</f>
        <v>0</v>
      </c>
      <c r="W1769" s="167">
        <f>Transactions[[#This Row],[Amount]]*INDEX(TransTypes[],Transactions[[#This Row],[TTR]],TT_COL_AmntSign)</f>
        <v>-90</v>
      </c>
      <c r="X1769" s="167">
        <f>IF(INDEX(TransTypes[],Transactions[[#This Row],[TTR]],TT_COL_LONGORSHORT)="S",
      IF( OR(INDEX(TransTypes[],Transactions[[#This Row],[TTR]],TT_COL_GLFlag)=1, INDEX(TransTypes[], Transactions[[#This Row],[TTR]], TT_COL_ShareTransferFlag)=1),
            Transactions[[#This Row],[CostImpact]]*-1,
            Transactions[[#This Row],[CalCashImpact]]
      ),
     0
)</f>
        <v>0</v>
      </c>
      <c r="Y1769" s="168" t="str">
        <f>VLOOKUP(Transactions[[#This Row],[Symbol]],Symbols[], COLUMN(Symbols[Currency])-COLUMN(Symbols[])+1,FALSE)</f>
        <v>CNY</v>
      </c>
    </row>
    <row r="1770" spans="1:25">
      <c r="A1770" s="155" t="s">
        <v>82</v>
      </c>
      <c r="B1770" s="156">
        <v>43062</v>
      </c>
      <c r="C1770" s="155" t="s">
        <v>119</v>
      </c>
      <c r="D1770" s="155"/>
      <c r="E1770" s="155" t="s">
        <v>211</v>
      </c>
      <c r="F1770" s="157"/>
      <c r="G1770" s="158"/>
      <c r="H1770" s="157"/>
      <c r="I1770" s="157"/>
      <c r="J1770" s="159">
        <v>67.87</v>
      </c>
      <c r="K1770" s="6" t="s">
        <v>757</v>
      </c>
      <c r="L1770" s="20">
        <f>IF(ISNA(MATCH(Transactions[[#This Row],[TransType]],TransTypes[TransType],0)),1,MATCH(Transactions[[#This Row],[TransType]],TransTypes[TransType],0))</f>
        <v>5</v>
      </c>
      <c r="M1770" s="160">
        <f>IF( AND( INDEX(TransTypes[],Transactions[[#This Row],[TTR]],TT_COL_GLFlag)=1, INDEX(TransTypes[],Transactions[[#This Row],[TTR]],TT_COL_LONGORSHORT)="S" ),
      Transactions[[#This Row],[PL]],
      IF(INDEX(TransTypes[],Transactions[[#This Row],[TTR]],TT_COL_LONGORSHORT)="S",0,Transactions[[#This Row],[CalCashImpact]])
)</f>
        <v>-67.87</v>
      </c>
      <c r="N1770" s="161">
        <f>IF(VLOOKUP(Transactions[[#This Row],[Symbol]],Symbols[],COLUMN(Symbols[Currency])-COLUMN(Symbols[])+1,FALSE)=
       VLOOKUP(Transactions[[#This Row],[Account]],Accounts[],COLUMN(Accounts[Currency])-COLUMN(Accounts[])+1,FALSE),
     Transactions[[#This Row],[OrigCashImpact]],
     0
)</f>
        <v>-67.87</v>
      </c>
      <c r="O177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168546.8400000002</v>
      </c>
      <c r="P177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7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70" s="41">
        <f>ROW()</f>
        <v>1770</v>
      </c>
      <c r="S17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7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70" s="166">
        <f>IF(INDEX(TransTypes[],Transactions[[#This Row],[TTR]],TT_COL_GLFlag)=1,Transactions[[#This Row],[CalCashImpact]]+Transactions[[#This Row],[CostImpact]],0)</f>
        <v>0</v>
      </c>
      <c r="W1770" s="167">
        <f>Transactions[[#This Row],[Amount]]*INDEX(TransTypes[],Transactions[[#This Row],[TTR]],TT_COL_AmntSign)</f>
        <v>-67.87</v>
      </c>
      <c r="X1770" s="167">
        <f>IF(INDEX(TransTypes[],Transactions[[#This Row],[TTR]],TT_COL_LONGORSHORT)="S",
      IF( OR(INDEX(TransTypes[],Transactions[[#This Row],[TTR]],TT_COL_GLFlag)=1, INDEX(TransTypes[], Transactions[[#This Row],[TTR]], TT_COL_ShareTransferFlag)=1),
            Transactions[[#This Row],[CostImpact]]*-1,
            Transactions[[#This Row],[CalCashImpact]]
      ),
     0
)</f>
        <v>0</v>
      </c>
      <c r="Y1770" s="168" t="str">
        <f>VLOOKUP(Transactions[[#This Row],[Symbol]],Symbols[], COLUMN(Symbols[Currency])-COLUMN(Symbols[])+1,FALSE)</f>
        <v>CNY</v>
      </c>
    </row>
    <row r="1771" spans="1:25">
      <c r="A1771" s="155" t="s">
        <v>82</v>
      </c>
      <c r="B1771" s="156">
        <v>43067</v>
      </c>
      <c r="C1771" s="155" t="s">
        <v>113</v>
      </c>
      <c r="D1771" s="155"/>
      <c r="E1771" s="155" t="s">
        <v>480</v>
      </c>
      <c r="F1771" s="157">
        <v>4000</v>
      </c>
      <c r="G1771" s="158">
        <v>66.05</v>
      </c>
      <c r="H1771" s="157">
        <v>110.97</v>
      </c>
      <c r="I1771" s="157"/>
      <c r="J1771" s="159">
        <v>264310.96999999997</v>
      </c>
      <c r="K1771" s="6" t="s">
        <v>641</v>
      </c>
      <c r="L1771" s="20">
        <f>IF(ISNA(MATCH(Transactions[[#This Row],[TransType]],TransTypes[TransType],0)),1,MATCH(Transactions[[#This Row],[TransType]],TransTypes[TransType],0))</f>
        <v>2</v>
      </c>
      <c r="M1771" s="160">
        <f>IF( AND( INDEX(TransTypes[],Transactions[[#This Row],[TTR]],TT_COL_GLFlag)=1, INDEX(TransTypes[],Transactions[[#This Row],[TTR]],TT_COL_LONGORSHORT)="S" ),
      Transactions[[#This Row],[PL]],
      IF(INDEX(TransTypes[],Transactions[[#This Row],[TTR]],TT_COL_LONGORSHORT)="S",0,Transactions[[#This Row],[CalCashImpact]])
)</f>
        <v>-264310.96999999997</v>
      </c>
      <c r="N1771" s="161">
        <f>IF(VLOOKUP(Transactions[[#This Row],[Symbol]],Symbols[],COLUMN(Symbols[Currency])-COLUMN(Symbols[])+1,FALSE)=
       VLOOKUP(Transactions[[#This Row],[Account]],Accounts[],COLUMN(Accounts[Currency])-COLUMN(Accounts[])+1,FALSE),
     Transactions[[#This Row],[OrigCashImpact]],
     0
)</f>
        <v>-264310.96999999997</v>
      </c>
      <c r="O177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-95764.129999999772</v>
      </c>
      <c r="P177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7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771" s="41">
        <f>ROW()</f>
        <v>1771</v>
      </c>
      <c r="S17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264310.96999999997</v>
      </c>
      <c r="T17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402129.8895628415</v>
      </c>
      <c r="U177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71" s="166">
        <f>IF(INDEX(TransTypes[],Transactions[[#This Row],[TTR]],TT_COL_GLFlag)=1,Transactions[[#This Row],[CalCashImpact]]+Transactions[[#This Row],[CostImpact]],0)</f>
        <v>0</v>
      </c>
      <c r="W1771" s="167">
        <f>Transactions[[#This Row],[Amount]]*INDEX(TransTypes[],Transactions[[#This Row],[TTR]],TT_COL_AmntSign)</f>
        <v>-264310.96999999997</v>
      </c>
      <c r="X1771" s="167">
        <f>IF(INDEX(TransTypes[],Transactions[[#This Row],[TTR]],TT_COL_LONGORSHORT)="S",
      IF( OR(INDEX(TransTypes[],Transactions[[#This Row],[TTR]],TT_COL_GLFlag)=1, INDEX(TransTypes[], Transactions[[#This Row],[TTR]], TT_COL_ShareTransferFlag)=1),
            Transactions[[#This Row],[CostImpact]]*-1,
            Transactions[[#This Row],[CalCashImpact]]
      ),
     0
)</f>
        <v>0</v>
      </c>
      <c r="Y1771" s="168" t="str">
        <f>VLOOKUP(Transactions[[#This Row],[Symbol]],Symbols[], COLUMN(Symbols[Currency])-COLUMN(Symbols[])+1,FALSE)</f>
        <v>CNY</v>
      </c>
    </row>
    <row r="1772" spans="1:25">
      <c r="A1772" s="155" t="s">
        <v>82</v>
      </c>
      <c r="B1772" s="156">
        <v>43067</v>
      </c>
      <c r="C1772" s="155" t="s">
        <v>115</v>
      </c>
      <c r="D1772" s="155"/>
      <c r="E1772" s="155" t="s">
        <v>480</v>
      </c>
      <c r="F1772" s="157">
        <v>2000</v>
      </c>
      <c r="G1772" s="158">
        <v>65.959999999999994</v>
      </c>
      <c r="H1772" s="157">
        <v>187.32</v>
      </c>
      <c r="I1772" s="157"/>
      <c r="J1772" s="159">
        <v>131732.68</v>
      </c>
      <c r="K1772" s="6" t="s">
        <v>641</v>
      </c>
      <c r="L1772" s="20">
        <f>IF(ISNA(MATCH(Transactions[[#This Row],[TransType]],TransTypes[TransType],0)),1,MATCH(Transactions[[#This Row],[TransType]],TransTypes[TransType],0))</f>
        <v>3</v>
      </c>
      <c r="M1772" s="160">
        <f>IF( AND( INDEX(TransTypes[],Transactions[[#This Row],[TTR]],TT_COL_GLFlag)=1, INDEX(TransTypes[],Transactions[[#This Row],[TTR]],TT_COL_LONGORSHORT)="S" ),
      Transactions[[#This Row],[PL]],
      IF(INDEX(TransTypes[],Transactions[[#This Row],[TTR]],TT_COL_LONGORSHORT)="S",0,Transactions[[#This Row],[CalCashImpact]])
)</f>
        <v>131732.68</v>
      </c>
      <c r="N1772" s="161">
        <f>IF(VLOOKUP(Transactions[[#This Row],[Symbol]],Symbols[],COLUMN(Symbols[Currency])-COLUMN(Symbols[])+1,FALSE)=
       VLOOKUP(Transactions[[#This Row],[Account]],Accounts[],COLUMN(Accounts[Currency])-COLUMN(Accounts[])+1,FALSE),
     Transactions[[#This Row],[OrigCashImpact]],
     0
)</f>
        <v>131732.68</v>
      </c>
      <c r="O177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35968.550000000221</v>
      </c>
      <c r="P177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7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5000</v>
      </c>
      <c r="R1772" s="41">
        <f>ROW()</f>
        <v>1772</v>
      </c>
      <c r="S17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-114894.25416081185</v>
      </c>
      <c r="T17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287235.63540202967</v>
      </c>
      <c r="U177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72" s="166">
        <f>IF(INDEX(TransTypes[],Transactions[[#This Row],[TTR]],TT_COL_GLFlag)=1,Transactions[[#This Row],[CalCashImpact]]+Transactions[[#This Row],[CostImpact]],0)</f>
        <v>16838.425839188145</v>
      </c>
      <c r="W1772" s="167">
        <f>Transactions[[#This Row],[Amount]]*INDEX(TransTypes[],Transactions[[#This Row],[TTR]],TT_COL_AmntSign)</f>
        <v>131732.68</v>
      </c>
      <c r="X1772" s="167">
        <f>IF(INDEX(TransTypes[],Transactions[[#This Row],[TTR]],TT_COL_LONGORSHORT)="S",
      IF( OR(INDEX(TransTypes[],Transactions[[#This Row],[TTR]],TT_COL_GLFlag)=1, INDEX(TransTypes[], Transactions[[#This Row],[TTR]], TT_COL_ShareTransferFlag)=1),
            Transactions[[#This Row],[CostImpact]]*-1,
            Transactions[[#This Row],[CalCashImpact]]
      ),
     0
)</f>
        <v>0</v>
      </c>
      <c r="Y1772" s="168" t="str">
        <f>VLOOKUP(Transactions[[#This Row],[Symbol]],Symbols[], COLUMN(Symbols[Currency])-COLUMN(Symbols[])+1,FALSE)</f>
        <v>CNY</v>
      </c>
    </row>
    <row r="1773" spans="1:25">
      <c r="A1773" s="155" t="s">
        <v>82</v>
      </c>
      <c r="B1773" s="156">
        <v>43075</v>
      </c>
      <c r="C1773" s="155" t="s">
        <v>115</v>
      </c>
      <c r="D1773" s="155"/>
      <c r="E1773" s="155" t="s">
        <v>467</v>
      </c>
      <c r="F1773" s="157">
        <v>5600</v>
      </c>
      <c r="G1773" s="158">
        <v>13.83</v>
      </c>
      <c r="H1773" s="157">
        <v>108.43</v>
      </c>
      <c r="I1773" s="157"/>
      <c r="J1773" s="159">
        <v>77339.570000000007</v>
      </c>
      <c r="K1773" s="6" t="s">
        <v>641</v>
      </c>
      <c r="L1773" s="20">
        <f>IF(ISNA(MATCH(Transactions[[#This Row],[TransType]],TransTypes[TransType],0)),1,MATCH(Transactions[[#This Row],[TransType]],TransTypes[TransType],0))</f>
        <v>3</v>
      </c>
      <c r="M1773" s="160">
        <f>IF( AND( INDEX(TransTypes[],Transactions[[#This Row],[TTR]],TT_COL_GLFlag)=1, INDEX(TransTypes[],Transactions[[#This Row],[TTR]],TT_COL_LONGORSHORT)="S" ),
      Transactions[[#This Row],[PL]],
      IF(INDEX(TransTypes[],Transactions[[#This Row],[TTR]],TT_COL_LONGORSHORT)="S",0,Transactions[[#This Row],[CalCashImpact]])
)</f>
        <v>77339.570000000007</v>
      </c>
      <c r="N1773" s="161">
        <f>IF(VLOOKUP(Transactions[[#This Row],[Symbol]],Symbols[],COLUMN(Symbols[Currency])-COLUMN(Symbols[])+1,FALSE)=
       VLOOKUP(Transactions[[#This Row],[Account]],Accounts[],COLUMN(Accounts[Currency])-COLUMN(Accounts[])+1,FALSE),
     Transactions[[#This Row],[OrigCashImpact]],
     0
)</f>
        <v>77339.570000000007</v>
      </c>
      <c r="O177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113308.12000000023</v>
      </c>
      <c r="P177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-5600</v>
      </c>
      <c r="Q177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11400</v>
      </c>
      <c r="R1773" s="41">
        <f>ROW()</f>
        <v>1773</v>
      </c>
      <c r="S17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-73568.615679999988</v>
      </c>
      <c r="T17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149764.68192</v>
      </c>
      <c r="U177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17000</v>
      </c>
      <c r="V1773" s="166">
        <f>IF(INDEX(TransTypes[],Transactions[[#This Row],[TTR]],TT_COL_GLFlag)=1,Transactions[[#This Row],[CalCashImpact]]+Transactions[[#This Row],[CostImpact]],0)</f>
        <v>3770.9543200000189</v>
      </c>
      <c r="W1773" s="167">
        <f>Transactions[[#This Row],[Amount]]*INDEX(TransTypes[],Transactions[[#This Row],[TTR]],TT_COL_AmntSign)</f>
        <v>77339.570000000007</v>
      </c>
      <c r="X1773" s="167">
        <f>IF(INDEX(TransTypes[],Transactions[[#This Row],[TTR]],TT_COL_LONGORSHORT)="S",
      IF( OR(INDEX(TransTypes[],Transactions[[#This Row],[TTR]],TT_COL_GLFlag)=1, INDEX(TransTypes[], Transactions[[#This Row],[TTR]], TT_COL_ShareTransferFlag)=1),
            Transactions[[#This Row],[CostImpact]]*-1,
            Transactions[[#This Row],[CalCashImpact]]
      ),
     0
)</f>
        <v>0</v>
      </c>
      <c r="Y1773" s="168" t="str">
        <f>VLOOKUP(Transactions[[#This Row],[Symbol]],Symbols[], COLUMN(Symbols[Currency])-COLUMN(Symbols[])+1,FALSE)</f>
        <v>CNY</v>
      </c>
    </row>
    <row r="1774" spans="1:25">
      <c r="A1774" s="155" t="s">
        <v>82</v>
      </c>
      <c r="B1774" s="156">
        <v>43075</v>
      </c>
      <c r="C1774" s="155" t="s">
        <v>115</v>
      </c>
      <c r="D1774" s="155"/>
      <c r="E1774" s="155" t="s">
        <v>730</v>
      </c>
      <c r="F1774" s="157">
        <v>4000</v>
      </c>
      <c r="G1774" s="158">
        <v>49.2</v>
      </c>
      <c r="H1774" s="157">
        <v>275.52999999999997</v>
      </c>
      <c r="I1774" s="157"/>
      <c r="J1774" s="159">
        <v>196524.47</v>
      </c>
      <c r="K1774" s="6" t="s">
        <v>641</v>
      </c>
      <c r="L1774" s="20">
        <f>IF(ISNA(MATCH(Transactions[[#This Row],[TransType]],TransTypes[TransType],0)),1,MATCH(Transactions[[#This Row],[TransType]],TransTypes[TransType],0))</f>
        <v>3</v>
      </c>
      <c r="M1774" s="160">
        <f>IF( AND( INDEX(TransTypes[],Transactions[[#This Row],[TTR]],TT_COL_GLFlag)=1, INDEX(TransTypes[],Transactions[[#This Row],[TTR]],TT_COL_LONGORSHORT)="S" ),
      Transactions[[#This Row],[PL]],
      IF(INDEX(TransTypes[],Transactions[[#This Row],[TTR]],TT_COL_LONGORSHORT)="S",0,Transactions[[#This Row],[CalCashImpact]])
)</f>
        <v>196524.47</v>
      </c>
      <c r="N1774" s="161">
        <f>IF(VLOOKUP(Transactions[[#This Row],[Symbol]],Symbols[],COLUMN(Symbols[Currency])-COLUMN(Symbols[])+1,FALSE)=
       VLOOKUP(Transactions[[#This Row],[Account]],Accounts[],COLUMN(Accounts[Currency])-COLUMN(Accounts[])+1,FALSE),
     Transactions[[#This Row],[OrigCashImpact]],
     0
)</f>
        <v>196524.47</v>
      </c>
      <c r="O177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309832.59000000026</v>
      </c>
      <c r="P177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7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74" s="41">
        <f>ROW()</f>
        <v>1774</v>
      </c>
      <c r="S17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-220505.00166666665</v>
      </c>
      <c r="T17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7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774" s="166">
        <f>IF(INDEX(TransTypes[],Transactions[[#This Row],[TTR]],TT_COL_GLFlag)=1,Transactions[[#This Row],[CalCashImpact]]+Transactions[[#This Row],[CostImpact]],0)</f>
        <v>-23980.531666666648</v>
      </c>
      <c r="W1774" s="167">
        <f>Transactions[[#This Row],[Amount]]*INDEX(TransTypes[],Transactions[[#This Row],[TTR]],TT_COL_AmntSign)</f>
        <v>196524.47</v>
      </c>
      <c r="X1774" s="167">
        <f>IF(INDEX(TransTypes[],Transactions[[#This Row],[TTR]],TT_COL_LONGORSHORT)="S",
      IF( OR(INDEX(TransTypes[],Transactions[[#This Row],[TTR]],TT_COL_GLFlag)=1, INDEX(TransTypes[], Transactions[[#This Row],[TTR]], TT_COL_ShareTransferFlag)=1),
            Transactions[[#This Row],[CostImpact]]*-1,
            Transactions[[#This Row],[CalCashImpact]]
      ),
     0
)</f>
        <v>0</v>
      </c>
      <c r="Y1774" s="168" t="str">
        <f>VLOOKUP(Transactions[[#This Row],[Symbol]],Symbols[], COLUMN(Symbols[Currency])-COLUMN(Symbols[])+1,FALSE)</f>
        <v>CNY</v>
      </c>
    </row>
    <row r="1775" spans="1:25">
      <c r="A1775" s="155" t="s">
        <v>82</v>
      </c>
      <c r="B1775" s="156">
        <v>43075</v>
      </c>
      <c r="C1775" s="155" t="s">
        <v>115</v>
      </c>
      <c r="D1775" s="155"/>
      <c r="E1775" s="155" t="s">
        <v>474</v>
      </c>
      <c r="F1775" s="157">
        <v>4000</v>
      </c>
      <c r="G1775" s="158">
        <v>20.14</v>
      </c>
      <c r="H1775" s="157">
        <v>112.78</v>
      </c>
      <c r="I1775" s="157"/>
      <c r="J1775" s="159">
        <v>80447.22</v>
      </c>
      <c r="K1775" s="6" t="s">
        <v>641</v>
      </c>
      <c r="L1775" s="20">
        <f>IF(ISNA(MATCH(Transactions[[#This Row],[TransType]],TransTypes[TransType],0)),1,MATCH(Transactions[[#This Row],[TransType]],TransTypes[TransType],0))</f>
        <v>3</v>
      </c>
      <c r="M1775" s="160">
        <f>IF( AND( INDEX(TransTypes[],Transactions[[#This Row],[TTR]],TT_COL_GLFlag)=1, INDEX(TransTypes[],Transactions[[#This Row],[TTR]],TT_COL_LONGORSHORT)="S" ),
      Transactions[[#This Row],[PL]],
      IF(INDEX(TransTypes[],Transactions[[#This Row],[TTR]],TT_COL_LONGORSHORT)="S",0,Transactions[[#This Row],[CalCashImpact]])
)</f>
        <v>80447.22</v>
      </c>
      <c r="N1775" s="161">
        <f>IF(VLOOKUP(Transactions[[#This Row],[Symbol]],Symbols[],COLUMN(Symbols[Currency])-COLUMN(Symbols[])+1,FALSE)=
       VLOOKUP(Transactions[[#This Row],[Account]],Accounts[],COLUMN(Accounts[Currency])-COLUMN(Accounts[])+1,FALSE),
     Transactions[[#This Row],[OrigCashImpact]],
     0
)</f>
        <v>80447.22</v>
      </c>
      <c r="O177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390279.81000000023</v>
      </c>
      <c r="P177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7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775" s="41">
        <f>ROW()</f>
        <v>1775</v>
      </c>
      <c r="S17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-73596.50434210524</v>
      </c>
      <c r="T17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36798.25217105262</v>
      </c>
      <c r="U177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775" s="166">
        <f>IF(INDEX(TransTypes[],Transactions[[#This Row],[TTR]],TT_COL_GLFlag)=1,Transactions[[#This Row],[CalCashImpact]]+Transactions[[#This Row],[CostImpact]],0)</f>
        <v>6850.7156578947615</v>
      </c>
      <c r="W1775" s="167">
        <f>Transactions[[#This Row],[Amount]]*INDEX(TransTypes[],Transactions[[#This Row],[TTR]],TT_COL_AmntSign)</f>
        <v>80447.22</v>
      </c>
      <c r="X1775" s="167">
        <f>IF(INDEX(TransTypes[],Transactions[[#This Row],[TTR]],TT_COL_LONGORSHORT)="S",
      IF( OR(INDEX(TransTypes[],Transactions[[#This Row],[TTR]],TT_COL_GLFlag)=1, INDEX(TransTypes[], Transactions[[#This Row],[TTR]], TT_COL_ShareTransferFlag)=1),
            Transactions[[#This Row],[CostImpact]]*-1,
            Transactions[[#This Row],[CalCashImpact]]
      ),
     0
)</f>
        <v>0</v>
      </c>
      <c r="Y1775" s="168" t="str">
        <f>VLOOKUP(Transactions[[#This Row],[Symbol]],Symbols[], COLUMN(Symbols[Currency])-COLUMN(Symbols[])+1,FALSE)</f>
        <v>CNY</v>
      </c>
    </row>
    <row r="1776" spans="1:25">
      <c r="A1776" s="155" t="s">
        <v>82</v>
      </c>
      <c r="B1776" s="156">
        <v>43075</v>
      </c>
      <c r="C1776" s="155" t="s">
        <v>115</v>
      </c>
      <c r="D1776" s="155"/>
      <c r="E1776" s="155" t="s">
        <v>477</v>
      </c>
      <c r="F1776" s="157">
        <v>8000</v>
      </c>
      <c r="G1776" s="158">
        <v>21.227</v>
      </c>
      <c r="H1776" s="157">
        <v>237.74</v>
      </c>
      <c r="I1776" s="157"/>
      <c r="J1776" s="159">
        <v>169578.26</v>
      </c>
      <c r="K1776" s="6" t="s">
        <v>641</v>
      </c>
      <c r="L1776" s="20">
        <f>IF(ISNA(MATCH(Transactions[[#This Row],[TransType]],TransTypes[TransType],0)),1,MATCH(Transactions[[#This Row],[TransType]],TransTypes[TransType],0))</f>
        <v>3</v>
      </c>
      <c r="M1776" s="160">
        <f>IF( AND( INDEX(TransTypes[],Transactions[[#This Row],[TTR]],TT_COL_GLFlag)=1, INDEX(TransTypes[],Transactions[[#This Row],[TTR]],TT_COL_LONGORSHORT)="S" ),
      Transactions[[#This Row],[PL]],
      IF(INDEX(TransTypes[],Transactions[[#This Row],[TTR]],TT_COL_LONGORSHORT)="S",0,Transactions[[#This Row],[CalCashImpact]])
)</f>
        <v>169578.26</v>
      </c>
      <c r="N1776" s="161">
        <f>IF(VLOOKUP(Transactions[[#This Row],[Symbol]],Symbols[],COLUMN(Symbols[Currency])-COLUMN(Symbols[])+1,FALSE)=
       VLOOKUP(Transactions[[#This Row],[Account]],Accounts[],COLUMN(Accounts[Currency])-COLUMN(Accounts[])+1,FALSE),
     Transactions[[#This Row],[OrigCashImpact]],
     0
)</f>
        <v>169578.26</v>
      </c>
      <c r="O177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559858.0700000003</v>
      </c>
      <c r="P177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-8000</v>
      </c>
      <c r="Q177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776" s="41">
        <f>ROW()</f>
        <v>1776</v>
      </c>
      <c r="S17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-181913.18222222224</v>
      </c>
      <c r="T17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181913.18222222224</v>
      </c>
      <c r="U177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16000</v>
      </c>
      <c r="V1776" s="166">
        <f>IF(INDEX(TransTypes[],Transactions[[#This Row],[TTR]],TT_COL_GLFlag)=1,Transactions[[#This Row],[CalCashImpact]]+Transactions[[#This Row],[CostImpact]],0)</f>
        <v>-12334.922222222231</v>
      </c>
      <c r="W1776" s="167">
        <f>Transactions[[#This Row],[Amount]]*INDEX(TransTypes[],Transactions[[#This Row],[TTR]],TT_COL_AmntSign)</f>
        <v>169578.26</v>
      </c>
      <c r="X1776" s="167">
        <f>IF(INDEX(TransTypes[],Transactions[[#This Row],[TTR]],TT_COL_LONGORSHORT)="S",
      IF( OR(INDEX(TransTypes[],Transactions[[#This Row],[TTR]],TT_COL_GLFlag)=1, INDEX(TransTypes[], Transactions[[#This Row],[TTR]], TT_COL_ShareTransferFlag)=1),
            Transactions[[#This Row],[CostImpact]]*-1,
            Transactions[[#This Row],[CalCashImpact]]
      ),
     0
)</f>
        <v>0</v>
      </c>
      <c r="Y1776" s="168" t="str">
        <f>VLOOKUP(Transactions[[#This Row],[Symbol]],Symbols[], COLUMN(Symbols[Currency])-COLUMN(Symbols[])+1,FALSE)</f>
        <v>CNY</v>
      </c>
    </row>
    <row r="1777" spans="1:25">
      <c r="A1777" s="155" t="s">
        <v>82</v>
      </c>
      <c r="B1777" s="156">
        <v>43075</v>
      </c>
      <c r="C1777" s="155" t="s">
        <v>113</v>
      </c>
      <c r="D1777" s="155"/>
      <c r="E1777" s="155" t="s">
        <v>758</v>
      </c>
      <c r="F1777" s="157">
        <v>20000</v>
      </c>
      <c r="G1777" s="158">
        <v>6.4550000000000001</v>
      </c>
      <c r="H1777" s="157">
        <v>51.64</v>
      </c>
      <c r="I1777" s="157"/>
      <c r="J1777" s="159">
        <v>129151.64</v>
      </c>
      <c r="K1777" s="6" t="s">
        <v>641</v>
      </c>
      <c r="L1777" s="20">
        <f>IF(ISNA(MATCH(Transactions[[#This Row],[TransType]],TransTypes[TransType],0)),1,MATCH(Transactions[[#This Row],[TransType]],TransTypes[TransType],0))</f>
        <v>2</v>
      </c>
      <c r="M1777" s="160">
        <f>IF( AND( INDEX(TransTypes[],Transactions[[#This Row],[TTR]],TT_COL_GLFlag)=1, INDEX(TransTypes[],Transactions[[#This Row],[TTR]],TT_COL_LONGORSHORT)="S" ),
      Transactions[[#This Row],[PL]],
      IF(INDEX(TransTypes[],Transactions[[#This Row],[TTR]],TT_COL_LONGORSHORT)="S",0,Transactions[[#This Row],[CalCashImpact]])
)</f>
        <v>-129151.64</v>
      </c>
      <c r="N1777" s="161">
        <f>IF(VLOOKUP(Transactions[[#This Row],[Symbol]],Symbols[],COLUMN(Symbols[Currency])-COLUMN(Symbols[])+1,FALSE)=
       VLOOKUP(Transactions[[#This Row],[Account]],Accounts[],COLUMN(Accounts[Currency])-COLUMN(Accounts[])+1,FALSE),
     Transactions[[#This Row],[OrigCashImpact]],
     0
)</f>
        <v>-129151.64</v>
      </c>
      <c r="O177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430706.43000000023</v>
      </c>
      <c r="P177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77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20000</v>
      </c>
      <c r="R1777" s="41">
        <f>ROW()</f>
        <v>1777</v>
      </c>
      <c r="S17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129151.64</v>
      </c>
      <c r="T17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129151.64</v>
      </c>
      <c r="U177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777" s="166">
        <f>IF(INDEX(TransTypes[],Transactions[[#This Row],[TTR]],TT_COL_GLFlag)=1,Transactions[[#This Row],[CalCashImpact]]+Transactions[[#This Row],[CostImpact]],0)</f>
        <v>0</v>
      </c>
      <c r="W1777" s="167">
        <f>Transactions[[#This Row],[Amount]]*INDEX(TransTypes[],Transactions[[#This Row],[TTR]],TT_COL_AmntSign)</f>
        <v>-129151.64</v>
      </c>
      <c r="X1777" s="167">
        <f>IF(INDEX(TransTypes[],Transactions[[#This Row],[TTR]],TT_COL_LONGORSHORT)="S",
      IF( OR(INDEX(TransTypes[],Transactions[[#This Row],[TTR]],TT_COL_GLFlag)=1, INDEX(TransTypes[], Transactions[[#This Row],[TTR]], TT_COL_ShareTransferFlag)=1),
            Transactions[[#This Row],[CostImpact]]*-1,
            Transactions[[#This Row],[CalCashImpact]]
      ),
     0
)</f>
        <v>0</v>
      </c>
      <c r="Y1777" s="168" t="str">
        <f>VLOOKUP(Transactions[[#This Row],[Symbol]],Symbols[], COLUMN(Symbols[Currency])-COLUMN(Symbols[])+1,FALSE)</f>
        <v>CNY</v>
      </c>
    </row>
    <row r="1778" spans="1:25">
      <c r="A1778" s="155" t="s">
        <v>82</v>
      </c>
      <c r="B1778" s="156">
        <v>43077</v>
      </c>
      <c r="C1778" s="155" t="s">
        <v>113</v>
      </c>
      <c r="D1778" s="155"/>
      <c r="E1778" s="155" t="s">
        <v>464</v>
      </c>
      <c r="F1778" s="157">
        <v>200</v>
      </c>
      <c r="G1778" s="158">
        <v>628.53</v>
      </c>
      <c r="H1778" s="157">
        <v>52.79</v>
      </c>
      <c r="I1778" s="157"/>
      <c r="J1778" s="159">
        <v>125758.79</v>
      </c>
      <c r="K1778" s="6" t="s">
        <v>641</v>
      </c>
      <c r="L1778" s="20">
        <f>IF(ISNA(MATCH(Transactions[[#This Row],[TransType]],TransTypes[TransType],0)),1,MATCH(Transactions[[#This Row],[TransType]],TransTypes[TransType],0))</f>
        <v>2</v>
      </c>
      <c r="M1778" s="160">
        <f>IF( AND( INDEX(TransTypes[],Transactions[[#This Row],[TTR]],TT_COL_GLFlag)=1, INDEX(TransTypes[],Transactions[[#This Row],[TTR]],TT_COL_LONGORSHORT)="S" ),
      Transactions[[#This Row],[PL]],
      IF(INDEX(TransTypes[],Transactions[[#This Row],[TTR]],TT_COL_LONGORSHORT)="S",0,Transactions[[#This Row],[CalCashImpact]])
)</f>
        <v>-125758.79</v>
      </c>
      <c r="N1778" s="161">
        <f>IF(VLOOKUP(Transactions[[#This Row],[Symbol]],Symbols[],COLUMN(Symbols[Currency])-COLUMN(Symbols[])+1,FALSE)=
       VLOOKUP(Transactions[[#This Row],[Account]],Accounts[],COLUMN(Accounts[Currency])-COLUMN(Accounts[])+1,FALSE),
     Transactions[[#This Row],[OrigCashImpact]],
     0
)</f>
        <v>-125758.79</v>
      </c>
      <c r="O177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304947.64000000019</v>
      </c>
      <c r="P177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77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v>
      </c>
      <c r="R1778" s="41">
        <f>ROW()</f>
        <v>1778</v>
      </c>
      <c r="S17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125758.79</v>
      </c>
      <c r="T17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374833.89419962501</v>
      </c>
      <c r="U177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778" s="166">
        <f>IF(INDEX(TransTypes[],Transactions[[#This Row],[TTR]],TT_COL_GLFlag)=1,Transactions[[#This Row],[CalCashImpact]]+Transactions[[#This Row],[CostImpact]],0)</f>
        <v>0</v>
      </c>
      <c r="W1778" s="167">
        <f>Transactions[[#This Row],[Amount]]*INDEX(TransTypes[],Transactions[[#This Row],[TTR]],TT_COL_AmntSign)</f>
        <v>-125758.79</v>
      </c>
      <c r="X1778" s="167">
        <f>IF(INDEX(TransTypes[],Transactions[[#This Row],[TTR]],TT_COL_LONGORSHORT)="S",
      IF( OR(INDEX(TransTypes[],Transactions[[#This Row],[TTR]],TT_COL_GLFlag)=1, INDEX(TransTypes[], Transactions[[#This Row],[TTR]], TT_COL_ShareTransferFlag)=1),
            Transactions[[#This Row],[CostImpact]]*-1,
            Transactions[[#This Row],[CalCashImpact]]
      ),
     0
)</f>
        <v>0</v>
      </c>
      <c r="Y1778" s="168" t="str">
        <f>VLOOKUP(Transactions[[#This Row],[Symbol]],Symbols[], COLUMN(Symbols[Currency])-COLUMN(Symbols[])+1,FALSE)</f>
        <v>CNY</v>
      </c>
    </row>
    <row r="1779" spans="1:25">
      <c r="A1779" s="155" t="s">
        <v>82</v>
      </c>
      <c r="B1779" s="156">
        <v>43077</v>
      </c>
      <c r="C1779" s="155" t="s">
        <v>113</v>
      </c>
      <c r="D1779" s="155"/>
      <c r="E1779" s="155" t="s">
        <v>468</v>
      </c>
      <c r="F1779" s="157">
        <v>2000</v>
      </c>
      <c r="G1779" s="158">
        <v>71.64</v>
      </c>
      <c r="H1779" s="157">
        <v>60.18</v>
      </c>
      <c r="I1779" s="157"/>
      <c r="J1779" s="159">
        <v>143340.18</v>
      </c>
      <c r="K1779" s="6" t="s">
        <v>641</v>
      </c>
      <c r="L1779" s="20">
        <f>IF(ISNA(MATCH(Transactions[[#This Row],[TransType]],TransTypes[TransType],0)),1,MATCH(Transactions[[#This Row],[TransType]],TransTypes[TransType],0))</f>
        <v>2</v>
      </c>
      <c r="M1779" s="160">
        <f>IF( AND( INDEX(TransTypes[],Transactions[[#This Row],[TTR]],TT_COL_GLFlag)=1, INDEX(TransTypes[],Transactions[[#This Row],[TTR]],TT_COL_LONGORSHORT)="S" ),
      Transactions[[#This Row],[PL]],
      IF(INDEX(TransTypes[],Transactions[[#This Row],[TTR]],TT_COL_LONGORSHORT)="S",0,Transactions[[#This Row],[CalCashImpact]])
)</f>
        <v>-143340.18</v>
      </c>
      <c r="N1779" s="161">
        <f>IF(VLOOKUP(Transactions[[#This Row],[Symbol]],Symbols[],COLUMN(Symbols[Currency])-COLUMN(Symbols[])+1,FALSE)=
       VLOOKUP(Transactions[[#This Row],[Account]],Accounts[],COLUMN(Accounts[Currency])-COLUMN(Accounts[])+1,FALSE),
     Transactions[[#This Row],[OrigCashImpact]],
     0
)</f>
        <v>-143340.18</v>
      </c>
      <c r="O177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161607.4600000002</v>
      </c>
      <c r="P177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7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11000</v>
      </c>
      <c r="R1779" s="41">
        <f>ROW()</f>
        <v>1779</v>
      </c>
      <c r="S17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143340.18</v>
      </c>
      <c r="T17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655716.30389795918</v>
      </c>
      <c r="U177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11000</v>
      </c>
      <c r="V1779" s="166">
        <f>IF(INDEX(TransTypes[],Transactions[[#This Row],[TTR]],TT_COL_GLFlag)=1,Transactions[[#This Row],[CalCashImpact]]+Transactions[[#This Row],[CostImpact]],0)</f>
        <v>0</v>
      </c>
      <c r="W1779" s="167">
        <f>Transactions[[#This Row],[Amount]]*INDEX(TransTypes[],Transactions[[#This Row],[TTR]],TT_COL_AmntSign)</f>
        <v>-143340.18</v>
      </c>
      <c r="X1779" s="167">
        <f>IF(INDEX(TransTypes[],Transactions[[#This Row],[TTR]],TT_COL_LONGORSHORT)="S",
      IF( OR(INDEX(TransTypes[],Transactions[[#This Row],[TTR]],TT_COL_GLFlag)=1, INDEX(TransTypes[], Transactions[[#This Row],[TTR]], TT_COL_ShareTransferFlag)=1),
            Transactions[[#This Row],[CostImpact]]*-1,
            Transactions[[#This Row],[CalCashImpact]]
      ),
     0
)</f>
        <v>0</v>
      </c>
      <c r="Y1779" s="168" t="str">
        <f>VLOOKUP(Transactions[[#This Row],[Symbol]],Symbols[], COLUMN(Symbols[Currency])-COLUMN(Symbols[])+1,FALSE)</f>
        <v>CNY</v>
      </c>
    </row>
    <row r="1780" spans="1:25">
      <c r="A1780" s="155" t="s">
        <v>82</v>
      </c>
      <c r="B1780" s="156">
        <v>43081</v>
      </c>
      <c r="C1780" s="155" t="s">
        <v>115</v>
      </c>
      <c r="D1780" s="155"/>
      <c r="E1780" s="155" t="s">
        <v>485</v>
      </c>
      <c r="F1780" s="157">
        <v>4000</v>
      </c>
      <c r="G1780" s="158">
        <v>14.26</v>
      </c>
      <c r="H1780" s="157">
        <v>80.989999999999995</v>
      </c>
      <c r="I1780" s="157"/>
      <c r="J1780" s="159">
        <v>56959.01</v>
      </c>
      <c r="K1780" s="6" t="s">
        <v>641</v>
      </c>
      <c r="L1780" s="20">
        <f>IF(ISNA(MATCH(Transactions[[#This Row],[TransType]],TransTypes[TransType],0)),1,MATCH(Transactions[[#This Row],[TransType]],TransTypes[TransType],0))</f>
        <v>3</v>
      </c>
      <c r="M1780" s="160">
        <f>IF( AND( INDEX(TransTypes[],Transactions[[#This Row],[TTR]],TT_COL_GLFlag)=1, INDEX(TransTypes[],Transactions[[#This Row],[TTR]],TT_COL_LONGORSHORT)="S" ),
      Transactions[[#This Row],[PL]],
      IF(INDEX(TransTypes[],Transactions[[#This Row],[TTR]],TT_COL_LONGORSHORT)="S",0,Transactions[[#This Row],[CalCashImpact]])
)</f>
        <v>56959.01</v>
      </c>
      <c r="N1780" s="161">
        <f>IF(VLOOKUP(Transactions[[#This Row],[Symbol]],Symbols[],COLUMN(Symbols[Currency])-COLUMN(Symbols[])+1,FALSE)=
       VLOOKUP(Transactions[[#This Row],[Account]],Accounts[],COLUMN(Accounts[Currency])-COLUMN(Accounts[])+1,FALSE),
     Transactions[[#This Row],[OrigCashImpact]],
     0
)</f>
        <v>56959.01</v>
      </c>
      <c r="O178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218566.4700000002</v>
      </c>
      <c r="P178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8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18000</v>
      </c>
      <c r="R1780" s="41">
        <f>ROW()</f>
        <v>1780</v>
      </c>
      <c r="S17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-54180.927272727269</v>
      </c>
      <c r="T17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243814.1727272727</v>
      </c>
      <c r="U178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22000</v>
      </c>
      <c r="V1780" s="166">
        <f>IF(INDEX(TransTypes[],Transactions[[#This Row],[TTR]],TT_COL_GLFlag)=1,Transactions[[#This Row],[CalCashImpact]]+Transactions[[#This Row],[CostImpact]],0)</f>
        <v>2778.0827272727329</v>
      </c>
      <c r="W1780" s="167">
        <f>Transactions[[#This Row],[Amount]]*INDEX(TransTypes[],Transactions[[#This Row],[TTR]],TT_COL_AmntSign)</f>
        <v>56959.01</v>
      </c>
      <c r="X1780" s="167">
        <f>IF(INDEX(TransTypes[],Transactions[[#This Row],[TTR]],TT_COL_LONGORSHORT)="S",
      IF( OR(INDEX(TransTypes[],Transactions[[#This Row],[TTR]],TT_COL_GLFlag)=1, INDEX(TransTypes[], Transactions[[#This Row],[TTR]], TT_COL_ShareTransferFlag)=1),
            Transactions[[#This Row],[CostImpact]]*-1,
            Transactions[[#This Row],[CalCashImpact]]
      ),
     0
)</f>
        <v>0</v>
      </c>
      <c r="Y1780" s="168" t="str">
        <f>VLOOKUP(Transactions[[#This Row],[Symbol]],Symbols[], COLUMN(Symbols[Currency])-COLUMN(Symbols[])+1,FALSE)</f>
        <v>CNY</v>
      </c>
    </row>
    <row r="1781" spans="1:25">
      <c r="A1781" s="155" t="s">
        <v>82</v>
      </c>
      <c r="B1781" s="156">
        <v>43081</v>
      </c>
      <c r="C1781" s="155" t="s">
        <v>115</v>
      </c>
      <c r="D1781" s="155"/>
      <c r="E1781" s="155" t="s">
        <v>756</v>
      </c>
      <c r="F1781" s="157">
        <v>4000</v>
      </c>
      <c r="G1781" s="158">
        <v>42.22</v>
      </c>
      <c r="H1781" s="157">
        <v>239.79</v>
      </c>
      <c r="I1781" s="157"/>
      <c r="J1781" s="159">
        <v>168640.21</v>
      </c>
      <c r="K1781" s="6" t="s">
        <v>641</v>
      </c>
      <c r="L1781" s="20">
        <f>IF(ISNA(MATCH(Transactions[[#This Row],[TransType]],TransTypes[TransType],0)),1,MATCH(Transactions[[#This Row],[TransType]],TransTypes[TransType],0))</f>
        <v>3</v>
      </c>
      <c r="M1781" s="160">
        <f>IF( AND( INDEX(TransTypes[],Transactions[[#This Row],[TTR]],TT_COL_GLFlag)=1, INDEX(TransTypes[],Transactions[[#This Row],[TTR]],TT_COL_LONGORSHORT)="S" ),
      Transactions[[#This Row],[PL]],
      IF(INDEX(TransTypes[],Transactions[[#This Row],[TTR]],TT_COL_LONGORSHORT)="S",0,Transactions[[#This Row],[CalCashImpact]])
)</f>
        <v>168640.21</v>
      </c>
      <c r="N1781" s="161">
        <f>IF(VLOOKUP(Transactions[[#This Row],[Symbol]],Symbols[],COLUMN(Symbols[Currency])-COLUMN(Symbols[])+1,FALSE)=
       VLOOKUP(Transactions[[#This Row],[Account]],Accounts[],COLUMN(Accounts[Currency])-COLUMN(Accounts[])+1,FALSE),
     Transactions[[#This Row],[OrigCashImpact]],
     0
)</f>
        <v>168640.21</v>
      </c>
      <c r="O178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387206.68000000017</v>
      </c>
      <c r="P178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78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81" s="41">
        <f>ROW()</f>
        <v>1781</v>
      </c>
      <c r="S17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-150903.35500000001</v>
      </c>
      <c r="T17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8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781" s="166">
        <f>IF(INDEX(TransTypes[],Transactions[[#This Row],[TTR]],TT_COL_GLFlag)=1,Transactions[[#This Row],[CalCashImpact]]+Transactions[[#This Row],[CostImpact]],0)</f>
        <v>17736.854999999981</v>
      </c>
      <c r="W1781" s="167">
        <f>Transactions[[#This Row],[Amount]]*INDEX(TransTypes[],Transactions[[#This Row],[TTR]],TT_COL_AmntSign)</f>
        <v>168640.21</v>
      </c>
      <c r="X1781" s="167">
        <f>IF(INDEX(TransTypes[],Transactions[[#This Row],[TTR]],TT_COL_LONGORSHORT)="S",
      IF( OR(INDEX(TransTypes[],Transactions[[#This Row],[TTR]],TT_COL_GLFlag)=1, INDEX(TransTypes[], Transactions[[#This Row],[TTR]], TT_COL_ShareTransferFlag)=1),
            Transactions[[#This Row],[CostImpact]]*-1,
            Transactions[[#This Row],[CalCashImpact]]
      ),
     0
)</f>
        <v>0</v>
      </c>
      <c r="Y1781" s="168" t="str">
        <f>VLOOKUP(Transactions[[#This Row],[Symbol]],Symbols[], COLUMN(Symbols[Currency])-COLUMN(Symbols[])+1,FALSE)</f>
        <v>CNY</v>
      </c>
    </row>
    <row r="1782" spans="1:25">
      <c r="A1782" s="155" t="s">
        <v>82</v>
      </c>
      <c r="B1782" s="156">
        <v>43082</v>
      </c>
      <c r="C1782" s="155" t="s">
        <v>119</v>
      </c>
      <c r="D1782" s="155"/>
      <c r="E1782" s="155" t="s">
        <v>211</v>
      </c>
      <c r="F1782" s="157"/>
      <c r="G1782" s="158"/>
      <c r="H1782" s="157"/>
      <c r="I1782" s="157"/>
      <c r="J1782" s="159">
        <v>300000</v>
      </c>
      <c r="K1782" s="6" t="s">
        <v>641</v>
      </c>
      <c r="L1782" s="20">
        <f>IF(ISNA(MATCH(Transactions[[#This Row],[TransType]],TransTypes[TransType],0)),1,MATCH(Transactions[[#This Row],[TransType]],TransTypes[TransType],0))</f>
        <v>5</v>
      </c>
      <c r="M1782" s="160">
        <f>IF( AND( INDEX(TransTypes[],Transactions[[#This Row],[TTR]],TT_COL_GLFlag)=1, INDEX(TransTypes[],Transactions[[#This Row],[TTR]],TT_COL_LONGORSHORT)="S" ),
      Transactions[[#This Row],[PL]],
      IF(INDEX(TransTypes[],Transactions[[#This Row],[TTR]],TT_COL_LONGORSHORT)="S",0,Transactions[[#This Row],[CalCashImpact]])
)</f>
        <v>-300000</v>
      </c>
      <c r="N1782" s="161">
        <f>IF(VLOOKUP(Transactions[[#This Row],[Symbol]],Symbols[],COLUMN(Symbols[Currency])-COLUMN(Symbols[])+1,FALSE)=
       VLOOKUP(Transactions[[#This Row],[Account]],Accounts[],COLUMN(Accounts[Currency])-COLUMN(Accounts[])+1,FALSE),
     Transactions[[#This Row],[OrigCashImpact]],
     0
)</f>
        <v>-300000</v>
      </c>
      <c r="O178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87206.680000000168</v>
      </c>
      <c r="P178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8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82" s="41">
        <f>ROW()</f>
        <v>1782</v>
      </c>
      <c r="S17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8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82" s="166">
        <f>IF(INDEX(TransTypes[],Transactions[[#This Row],[TTR]],TT_COL_GLFlag)=1,Transactions[[#This Row],[CalCashImpact]]+Transactions[[#This Row],[CostImpact]],0)</f>
        <v>0</v>
      </c>
      <c r="W1782" s="167">
        <f>Transactions[[#This Row],[Amount]]*INDEX(TransTypes[],Transactions[[#This Row],[TTR]],TT_COL_AmntSign)</f>
        <v>-300000</v>
      </c>
      <c r="X1782" s="167">
        <f>IF(INDEX(TransTypes[],Transactions[[#This Row],[TTR]],TT_COL_LONGORSHORT)="S",
      IF( OR(INDEX(TransTypes[],Transactions[[#This Row],[TTR]],TT_COL_GLFlag)=1, INDEX(TransTypes[], Transactions[[#This Row],[TTR]], TT_COL_ShareTransferFlag)=1),
            Transactions[[#This Row],[CostImpact]]*-1,
            Transactions[[#This Row],[CalCashImpact]]
      ),
     0
)</f>
        <v>0</v>
      </c>
      <c r="Y1782" s="168" t="str">
        <f>VLOOKUP(Transactions[[#This Row],[Symbol]],Symbols[], COLUMN(Symbols[Currency])-COLUMN(Symbols[])+1,FALSE)</f>
        <v>CNY</v>
      </c>
    </row>
    <row r="1783" spans="1:25">
      <c r="A1783" s="155" t="s">
        <v>82</v>
      </c>
      <c r="B1783" s="156">
        <v>43103</v>
      </c>
      <c r="C1783" s="155" t="s">
        <v>113</v>
      </c>
      <c r="D1783" s="155"/>
      <c r="E1783" s="155" t="s">
        <v>471</v>
      </c>
      <c r="F1783" s="157">
        <v>7000</v>
      </c>
      <c r="G1783" s="158">
        <v>21.09</v>
      </c>
      <c r="H1783" s="157">
        <v>59.05</v>
      </c>
      <c r="I1783" s="157"/>
      <c r="J1783" s="159">
        <v>147689.04999999999</v>
      </c>
      <c r="K1783" s="6" t="s">
        <v>641</v>
      </c>
      <c r="L1783" s="20">
        <f>IF(ISNA(MATCH(Transactions[[#This Row],[TransType]],TransTypes[TransType],0)),1,MATCH(Transactions[[#This Row],[TransType]],TransTypes[TransType],0))</f>
        <v>2</v>
      </c>
      <c r="M1783" s="160">
        <f>IF( AND( INDEX(TransTypes[],Transactions[[#This Row],[TTR]],TT_COL_GLFlag)=1, INDEX(TransTypes[],Transactions[[#This Row],[TTR]],TT_COL_LONGORSHORT)="S" ),
      Transactions[[#This Row],[PL]],
      IF(INDEX(TransTypes[],Transactions[[#This Row],[TTR]],TT_COL_LONGORSHORT)="S",0,Transactions[[#This Row],[CalCashImpact]])
)</f>
        <v>-147689.04999999999</v>
      </c>
      <c r="N1783" s="161">
        <f>IF(VLOOKUP(Transactions[[#This Row],[Symbol]],Symbols[],COLUMN(Symbols[Currency])-COLUMN(Symbols[])+1,FALSE)=
       VLOOKUP(Transactions[[#This Row],[Account]],Accounts[],COLUMN(Accounts[Currency])-COLUMN(Accounts[])+1,FALSE),
     Transactions[[#This Row],[OrigCashImpact]],
     0
)</f>
        <v>-147689.04999999999</v>
      </c>
      <c r="O178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-60482.369999999821</v>
      </c>
      <c r="P178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7000</v>
      </c>
      <c r="Q178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783" s="41">
        <f>ROW()</f>
        <v>1783</v>
      </c>
      <c r="S17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147689.04999999999</v>
      </c>
      <c r="T17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147689.04999999999</v>
      </c>
      <c r="U178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7000</v>
      </c>
      <c r="V1783" s="166">
        <f>IF(INDEX(TransTypes[],Transactions[[#This Row],[TTR]],TT_COL_GLFlag)=1,Transactions[[#This Row],[CalCashImpact]]+Transactions[[#This Row],[CostImpact]],0)</f>
        <v>0</v>
      </c>
      <c r="W1783" s="167">
        <f>Transactions[[#This Row],[Amount]]*INDEX(TransTypes[],Transactions[[#This Row],[TTR]],TT_COL_AmntSign)</f>
        <v>-147689.04999999999</v>
      </c>
      <c r="X1783" s="167">
        <f>IF(INDEX(TransTypes[],Transactions[[#This Row],[TTR]],TT_COL_LONGORSHORT)="S",
      IF( OR(INDEX(TransTypes[],Transactions[[#This Row],[TTR]],TT_COL_GLFlag)=1, INDEX(TransTypes[], Transactions[[#This Row],[TTR]], TT_COL_ShareTransferFlag)=1),
            Transactions[[#This Row],[CostImpact]]*-1,
            Transactions[[#This Row],[CalCashImpact]]
      ),
     0
)</f>
        <v>0</v>
      </c>
      <c r="Y1783" s="168" t="str">
        <f>VLOOKUP(Transactions[[#This Row],[Symbol]],Symbols[], COLUMN(Symbols[Currency])-COLUMN(Symbols[])+1,FALSE)</f>
        <v>CNY</v>
      </c>
    </row>
    <row r="1784" spans="1:25">
      <c r="A1784" s="155" t="s">
        <v>82</v>
      </c>
      <c r="B1784" s="156">
        <v>43103</v>
      </c>
      <c r="C1784" s="155" t="s">
        <v>115</v>
      </c>
      <c r="D1784" s="155"/>
      <c r="E1784" s="155" t="s">
        <v>485</v>
      </c>
      <c r="F1784" s="157">
        <v>2000</v>
      </c>
      <c r="G1784" s="158">
        <v>14.76</v>
      </c>
      <c r="H1784" s="157">
        <v>41.92</v>
      </c>
      <c r="I1784" s="157"/>
      <c r="J1784" s="159">
        <v>29478.080000000002</v>
      </c>
      <c r="K1784" s="6" t="s">
        <v>641</v>
      </c>
      <c r="L1784" s="20">
        <f>IF(ISNA(MATCH(Transactions[[#This Row],[TransType]],TransTypes[TransType],0)),1,MATCH(Transactions[[#This Row],[TransType]],TransTypes[TransType],0))</f>
        <v>3</v>
      </c>
      <c r="M1784" s="160">
        <f>IF( AND( INDEX(TransTypes[],Transactions[[#This Row],[TTR]],TT_COL_GLFlag)=1, INDEX(TransTypes[],Transactions[[#This Row],[TTR]],TT_COL_LONGORSHORT)="S" ),
      Transactions[[#This Row],[PL]],
      IF(INDEX(TransTypes[],Transactions[[#This Row],[TTR]],TT_COL_LONGORSHORT)="S",0,Transactions[[#This Row],[CalCashImpact]])
)</f>
        <v>29478.080000000002</v>
      </c>
      <c r="N1784" s="161">
        <f>IF(VLOOKUP(Transactions[[#This Row],[Symbol]],Symbols[],COLUMN(Symbols[Currency])-COLUMN(Symbols[])+1,FALSE)=
       VLOOKUP(Transactions[[#This Row],[Account]],Accounts[],COLUMN(Accounts[Currency])-COLUMN(Accounts[])+1,FALSE),
     Transactions[[#This Row],[OrigCashImpact]],
     0
)</f>
        <v>29478.080000000002</v>
      </c>
      <c r="O178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-31004.289999999819</v>
      </c>
      <c r="P178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8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16000</v>
      </c>
      <c r="R1784" s="41">
        <f>ROW()</f>
        <v>1784</v>
      </c>
      <c r="S17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-27090.463636363635</v>
      </c>
      <c r="T17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216723.70909090908</v>
      </c>
      <c r="U178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18000</v>
      </c>
      <c r="V1784" s="166">
        <f>IF(INDEX(TransTypes[],Transactions[[#This Row],[TTR]],TT_COL_GLFlag)=1,Transactions[[#This Row],[CalCashImpact]]+Transactions[[#This Row],[CostImpact]],0)</f>
        <v>2387.6163636363672</v>
      </c>
      <c r="W1784" s="167">
        <f>Transactions[[#This Row],[Amount]]*INDEX(TransTypes[],Transactions[[#This Row],[TTR]],TT_COL_AmntSign)</f>
        <v>29478.080000000002</v>
      </c>
      <c r="X1784" s="167">
        <f>IF(INDEX(TransTypes[],Transactions[[#This Row],[TTR]],TT_COL_LONGORSHORT)="S",
      IF( OR(INDEX(TransTypes[],Transactions[[#This Row],[TTR]],TT_COL_GLFlag)=1, INDEX(TransTypes[], Transactions[[#This Row],[TTR]], TT_COL_ShareTransferFlag)=1),
            Transactions[[#This Row],[CostImpact]]*-1,
            Transactions[[#This Row],[CalCashImpact]]
      ),
     0
)</f>
        <v>0</v>
      </c>
      <c r="Y1784" s="168" t="str">
        <f>VLOOKUP(Transactions[[#This Row],[Symbol]],Symbols[], COLUMN(Symbols[Currency])-COLUMN(Symbols[])+1,FALSE)</f>
        <v>CNY</v>
      </c>
    </row>
    <row r="1785" spans="1:25">
      <c r="A1785" s="155" t="s">
        <v>82</v>
      </c>
      <c r="B1785" s="156">
        <v>43103</v>
      </c>
      <c r="C1785" s="155" t="s">
        <v>115</v>
      </c>
      <c r="D1785" s="155"/>
      <c r="E1785" s="155" t="s">
        <v>758</v>
      </c>
      <c r="F1785" s="157">
        <v>20000</v>
      </c>
      <c r="G1785" s="158">
        <v>6.7320000000000002</v>
      </c>
      <c r="H1785" s="157">
        <v>53.86</v>
      </c>
      <c r="I1785" s="157"/>
      <c r="J1785" s="159">
        <v>134586.14000000001</v>
      </c>
      <c r="K1785" s="6" t="s">
        <v>641</v>
      </c>
      <c r="L1785" s="20">
        <f>IF(ISNA(MATCH(Transactions[[#This Row],[TransType]],TransTypes[TransType],0)),1,MATCH(Transactions[[#This Row],[TransType]],TransTypes[TransType],0))</f>
        <v>3</v>
      </c>
      <c r="M1785" s="160">
        <f>IF( AND( INDEX(TransTypes[],Transactions[[#This Row],[TTR]],TT_COL_GLFlag)=1, INDEX(TransTypes[],Transactions[[#This Row],[TTR]],TT_COL_LONGORSHORT)="S" ),
      Transactions[[#This Row],[PL]],
      IF(INDEX(TransTypes[],Transactions[[#This Row],[TTR]],TT_COL_LONGORSHORT)="S",0,Transactions[[#This Row],[CalCashImpact]])
)</f>
        <v>134586.14000000001</v>
      </c>
      <c r="N1785" s="161">
        <f>IF(VLOOKUP(Transactions[[#This Row],[Symbol]],Symbols[],COLUMN(Symbols[Currency])-COLUMN(Symbols[])+1,FALSE)=
       VLOOKUP(Transactions[[#This Row],[Account]],Accounts[],COLUMN(Accounts[Currency])-COLUMN(Accounts[])+1,FALSE),
     Transactions[[#This Row],[OrigCashImpact]],
     0
)</f>
        <v>134586.14000000001</v>
      </c>
      <c r="O178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103581.85000000019</v>
      </c>
      <c r="P178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-20000</v>
      </c>
      <c r="Q178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85" s="41">
        <f>ROW()</f>
        <v>1785</v>
      </c>
      <c r="S17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-129151.64000000001</v>
      </c>
      <c r="T17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8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20000</v>
      </c>
      <c r="V1785" s="166">
        <f>IF(INDEX(TransTypes[],Transactions[[#This Row],[TTR]],TT_COL_GLFlag)=1,Transactions[[#This Row],[CalCashImpact]]+Transactions[[#This Row],[CostImpact]],0)</f>
        <v>5434.5</v>
      </c>
      <c r="W1785" s="167">
        <f>Transactions[[#This Row],[Amount]]*INDEX(TransTypes[],Transactions[[#This Row],[TTR]],TT_COL_AmntSign)</f>
        <v>134586.14000000001</v>
      </c>
      <c r="X1785" s="167">
        <f>IF(INDEX(TransTypes[],Transactions[[#This Row],[TTR]],TT_COL_LONGORSHORT)="S",
      IF( OR(INDEX(TransTypes[],Transactions[[#This Row],[TTR]],TT_COL_GLFlag)=1, INDEX(TransTypes[], Transactions[[#This Row],[TTR]], TT_COL_ShareTransferFlag)=1),
            Transactions[[#This Row],[CostImpact]]*-1,
            Transactions[[#This Row],[CalCashImpact]]
      ),
     0
)</f>
        <v>0</v>
      </c>
      <c r="Y1785" s="168" t="str">
        <f>VLOOKUP(Transactions[[#This Row],[Symbol]],Symbols[], COLUMN(Symbols[Currency])-COLUMN(Symbols[])+1,FALSE)</f>
        <v>CNY</v>
      </c>
    </row>
    <row r="1786" spans="1:25">
      <c r="A1786" s="155" t="s">
        <v>82</v>
      </c>
      <c r="B1786" s="156">
        <v>43105</v>
      </c>
      <c r="C1786" s="155" t="s">
        <v>113</v>
      </c>
      <c r="D1786" s="155"/>
      <c r="E1786" s="155" t="s">
        <v>471</v>
      </c>
      <c r="F1786" s="157">
        <v>2000</v>
      </c>
      <c r="G1786" s="158">
        <v>20.8</v>
      </c>
      <c r="H1786" s="157">
        <v>16.64</v>
      </c>
      <c r="I1786" s="157"/>
      <c r="J1786" s="159">
        <v>41616.639999999999</v>
      </c>
      <c r="K1786" s="6" t="s">
        <v>641</v>
      </c>
      <c r="L1786" s="20">
        <f>IF(ISNA(MATCH(Transactions[[#This Row],[TransType]],TransTypes[TransType],0)),1,MATCH(Transactions[[#This Row],[TransType]],TransTypes[TransType],0))</f>
        <v>2</v>
      </c>
      <c r="M1786" s="160">
        <f>IF( AND( INDEX(TransTypes[],Transactions[[#This Row],[TTR]],TT_COL_GLFlag)=1, INDEX(TransTypes[],Transactions[[#This Row],[TTR]],TT_COL_LONGORSHORT)="S" ),
      Transactions[[#This Row],[PL]],
      IF(INDEX(TransTypes[],Transactions[[#This Row],[TTR]],TT_COL_LONGORSHORT)="S",0,Transactions[[#This Row],[CalCashImpact]])
)</f>
        <v>-41616.639999999999</v>
      </c>
      <c r="N1786" s="161">
        <f>IF(VLOOKUP(Transactions[[#This Row],[Symbol]],Symbols[],COLUMN(Symbols[Currency])-COLUMN(Symbols[])+1,FALSE)=
       VLOOKUP(Transactions[[#This Row],[Account]],Accounts[],COLUMN(Accounts[Currency])-COLUMN(Accounts[])+1,FALSE),
     Transactions[[#This Row],[OrigCashImpact]],
     0
)</f>
        <v>-41616.639999999999</v>
      </c>
      <c r="O178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61965.210000000196</v>
      </c>
      <c r="P178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8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786" s="41">
        <f>ROW()</f>
        <v>1786</v>
      </c>
      <c r="S17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41616.639999999999</v>
      </c>
      <c r="T17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189305.69</v>
      </c>
      <c r="U178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786" s="166">
        <f>IF(INDEX(TransTypes[],Transactions[[#This Row],[TTR]],TT_COL_GLFlag)=1,Transactions[[#This Row],[CalCashImpact]]+Transactions[[#This Row],[CostImpact]],0)</f>
        <v>0</v>
      </c>
      <c r="W1786" s="167">
        <f>Transactions[[#This Row],[Amount]]*INDEX(TransTypes[],Transactions[[#This Row],[TTR]],TT_COL_AmntSign)</f>
        <v>-41616.639999999999</v>
      </c>
      <c r="X1786" s="167">
        <f>IF(INDEX(TransTypes[],Transactions[[#This Row],[TTR]],TT_COL_LONGORSHORT)="S",
      IF( OR(INDEX(TransTypes[],Transactions[[#This Row],[TTR]],TT_COL_GLFlag)=1, INDEX(TransTypes[], Transactions[[#This Row],[TTR]], TT_COL_ShareTransferFlag)=1),
            Transactions[[#This Row],[CostImpact]]*-1,
            Transactions[[#This Row],[CalCashImpact]]
      ),
     0
)</f>
        <v>0</v>
      </c>
      <c r="Y1786" s="168" t="str">
        <f>VLOOKUP(Transactions[[#This Row],[Symbol]],Symbols[], COLUMN(Symbols[Currency])-COLUMN(Symbols[])+1,FALSE)</f>
        <v>CNY</v>
      </c>
    </row>
    <row r="1787" spans="1:25">
      <c r="A1787" s="155" t="s">
        <v>82</v>
      </c>
      <c r="B1787" s="156">
        <v>43105</v>
      </c>
      <c r="C1787" s="155" t="s">
        <v>115</v>
      </c>
      <c r="D1787" s="155"/>
      <c r="E1787" s="155" t="s">
        <v>464</v>
      </c>
      <c r="F1787" s="157">
        <v>100</v>
      </c>
      <c r="G1787" s="158">
        <v>737.4</v>
      </c>
      <c r="H1787" s="157">
        <v>104.71</v>
      </c>
      <c r="I1787" s="157"/>
      <c r="J1787" s="159">
        <v>73635.289999999994</v>
      </c>
      <c r="K1787" s="6" t="s">
        <v>641</v>
      </c>
      <c r="L1787" s="20">
        <f>IF(ISNA(MATCH(Transactions[[#This Row],[TransType]],TransTypes[TransType],0)),1,MATCH(Transactions[[#This Row],[TransType]],TransTypes[TransType],0))</f>
        <v>3</v>
      </c>
      <c r="M1787" s="160">
        <f>IF( AND( INDEX(TransTypes[],Transactions[[#This Row],[TTR]],TT_COL_GLFlag)=1, INDEX(TransTypes[],Transactions[[#This Row],[TTR]],TT_COL_LONGORSHORT)="S" ),
      Transactions[[#This Row],[PL]],
      IF(INDEX(TransTypes[],Transactions[[#This Row],[TTR]],TT_COL_LONGORSHORT)="S",0,Transactions[[#This Row],[CalCashImpact]])
)</f>
        <v>73635.289999999994</v>
      </c>
      <c r="N1787" s="161">
        <f>IF(VLOOKUP(Transactions[[#This Row],[Symbol]],Symbols[],COLUMN(Symbols[Currency])-COLUMN(Symbols[])+1,FALSE)=
       VLOOKUP(Transactions[[#This Row],[Account]],Accounts[],COLUMN(Accounts[Currency])-COLUMN(Accounts[])+1,FALSE),
     Transactions[[#This Row],[OrigCashImpact]],
     0
)</f>
        <v>73635.289999999994</v>
      </c>
      <c r="O178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135600.50000000017</v>
      </c>
      <c r="P178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78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1787" s="41">
        <f>ROW()</f>
        <v>1787</v>
      </c>
      <c r="S17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-46854.236774953126</v>
      </c>
      <c r="T17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327979.65742467187</v>
      </c>
      <c r="U178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v>
      </c>
      <c r="V1787" s="166">
        <f>IF(INDEX(TransTypes[],Transactions[[#This Row],[TTR]],TT_COL_GLFlag)=1,Transactions[[#This Row],[CalCashImpact]]+Transactions[[#This Row],[CostImpact]],0)</f>
        <v>26781.053225046868</v>
      </c>
      <c r="W1787" s="167">
        <f>Transactions[[#This Row],[Amount]]*INDEX(TransTypes[],Transactions[[#This Row],[TTR]],TT_COL_AmntSign)</f>
        <v>73635.289999999994</v>
      </c>
      <c r="X1787" s="167">
        <f>IF(INDEX(TransTypes[],Transactions[[#This Row],[TTR]],TT_COL_LONGORSHORT)="S",
      IF( OR(INDEX(TransTypes[],Transactions[[#This Row],[TTR]],TT_COL_GLFlag)=1, INDEX(TransTypes[], Transactions[[#This Row],[TTR]], TT_COL_ShareTransferFlag)=1),
            Transactions[[#This Row],[CostImpact]]*-1,
            Transactions[[#This Row],[CalCashImpact]]
      ),
     0
)</f>
        <v>0</v>
      </c>
      <c r="Y1787" s="168" t="str">
        <f>VLOOKUP(Transactions[[#This Row],[Symbol]],Symbols[], COLUMN(Symbols[Currency])-COLUMN(Symbols[])+1,FALSE)</f>
        <v>CNY</v>
      </c>
    </row>
    <row r="1788" spans="1:25">
      <c r="A1788" s="155" t="s">
        <v>82</v>
      </c>
      <c r="B1788" s="156">
        <v>43108</v>
      </c>
      <c r="C1788" s="155" t="s">
        <v>119</v>
      </c>
      <c r="D1788" s="155"/>
      <c r="E1788" s="155" t="s">
        <v>211</v>
      </c>
      <c r="F1788" s="157"/>
      <c r="G1788" s="158"/>
      <c r="H1788" s="157"/>
      <c r="I1788" s="157"/>
      <c r="J1788" s="159">
        <v>67.87</v>
      </c>
      <c r="K1788" s="6" t="s">
        <v>759</v>
      </c>
      <c r="L1788" s="20">
        <f>IF(ISNA(MATCH(Transactions[[#This Row],[TransType]],TransTypes[TransType],0)),1,MATCH(Transactions[[#This Row],[TransType]],TransTypes[TransType],0))</f>
        <v>5</v>
      </c>
      <c r="M1788" s="160">
        <f>IF( AND( INDEX(TransTypes[],Transactions[[#This Row],[TTR]],TT_COL_GLFlag)=1, INDEX(TransTypes[],Transactions[[#This Row],[TTR]],TT_COL_LONGORSHORT)="S" ),
      Transactions[[#This Row],[PL]],
      IF(INDEX(TransTypes[],Transactions[[#This Row],[TTR]],TT_COL_LONGORSHORT)="S",0,Transactions[[#This Row],[CalCashImpact]])
)</f>
        <v>-67.87</v>
      </c>
      <c r="N1788" s="161">
        <f>IF(VLOOKUP(Transactions[[#This Row],[Symbol]],Symbols[],COLUMN(Symbols[Currency])-COLUMN(Symbols[])+1,FALSE)=
       VLOOKUP(Transactions[[#This Row],[Account]],Accounts[],COLUMN(Accounts[Currency])-COLUMN(Accounts[])+1,FALSE),
     Transactions[[#This Row],[OrigCashImpact]],
     0
)</f>
        <v>-67.87</v>
      </c>
      <c r="O178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135532.63000000018</v>
      </c>
      <c r="P178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8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88" s="41">
        <f>ROW()</f>
        <v>1788</v>
      </c>
      <c r="S17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8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88" s="166">
        <f>IF(INDEX(TransTypes[],Transactions[[#This Row],[TTR]],TT_COL_GLFlag)=1,Transactions[[#This Row],[CalCashImpact]]+Transactions[[#This Row],[CostImpact]],0)</f>
        <v>0</v>
      </c>
      <c r="W1788" s="167">
        <f>Transactions[[#This Row],[Amount]]*INDEX(TransTypes[],Transactions[[#This Row],[TTR]],TT_COL_AmntSign)</f>
        <v>-67.87</v>
      </c>
      <c r="X1788" s="167">
        <f>IF(INDEX(TransTypes[],Transactions[[#This Row],[TTR]],TT_COL_LONGORSHORT)="S",
      IF( OR(INDEX(TransTypes[],Transactions[[#This Row],[TTR]],TT_COL_GLFlag)=1, INDEX(TransTypes[], Transactions[[#This Row],[TTR]], TT_COL_ShareTransferFlag)=1),
            Transactions[[#This Row],[CostImpact]]*-1,
            Transactions[[#This Row],[CalCashImpact]]
      ),
     0
)</f>
        <v>0</v>
      </c>
      <c r="Y1788" s="168" t="str">
        <f>VLOOKUP(Transactions[[#This Row],[Symbol]],Symbols[], COLUMN(Symbols[Currency])-COLUMN(Symbols[])+1,FALSE)</f>
        <v>CNY</v>
      </c>
    </row>
    <row r="1789" spans="1:25">
      <c r="A1789" s="155" t="s">
        <v>82</v>
      </c>
      <c r="B1789" s="156">
        <v>43108</v>
      </c>
      <c r="C1789" s="155" t="s">
        <v>113</v>
      </c>
      <c r="D1789" s="155"/>
      <c r="E1789" s="155" t="s">
        <v>468</v>
      </c>
      <c r="F1789" s="157">
        <v>1000</v>
      </c>
      <c r="G1789" s="158">
        <v>69.650000000000006</v>
      </c>
      <c r="H1789" s="157">
        <v>29.25</v>
      </c>
      <c r="I1789" s="157"/>
      <c r="J1789" s="159">
        <v>69679.25</v>
      </c>
      <c r="K1789" s="6" t="s">
        <v>641</v>
      </c>
      <c r="L1789" s="20">
        <f>IF(ISNA(MATCH(Transactions[[#This Row],[TransType]],TransTypes[TransType],0)),1,MATCH(Transactions[[#This Row],[TransType]],TransTypes[TransType],0))</f>
        <v>2</v>
      </c>
      <c r="M1789" s="160">
        <f>IF( AND( INDEX(TransTypes[],Transactions[[#This Row],[TTR]],TT_COL_GLFlag)=1, INDEX(TransTypes[],Transactions[[#This Row],[TTR]],TT_COL_LONGORSHORT)="S" ),
      Transactions[[#This Row],[PL]],
      IF(INDEX(TransTypes[],Transactions[[#This Row],[TTR]],TT_COL_LONGORSHORT)="S",0,Transactions[[#This Row],[CalCashImpact]])
)</f>
        <v>-69679.25</v>
      </c>
      <c r="N1789" s="161">
        <f>IF(VLOOKUP(Transactions[[#This Row],[Symbol]],Symbols[],COLUMN(Symbols[Currency])-COLUMN(Symbols[])+1,FALSE)=
       VLOOKUP(Transactions[[#This Row],[Account]],Accounts[],COLUMN(Accounts[Currency])-COLUMN(Accounts[])+1,FALSE),
     Transactions[[#This Row],[OrigCashImpact]],
     0
)</f>
        <v>-69679.25</v>
      </c>
      <c r="O178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65853.380000000179</v>
      </c>
      <c r="P178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78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789" s="41">
        <f>ROW()</f>
        <v>1789</v>
      </c>
      <c r="S17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69679.25</v>
      </c>
      <c r="T17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725395.55389795918</v>
      </c>
      <c r="U178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789" s="166">
        <f>IF(INDEX(TransTypes[],Transactions[[#This Row],[TTR]],TT_COL_GLFlag)=1,Transactions[[#This Row],[CalCashImpact]]+Transactions[[#This Row],[CostImpact]],0)</f>
        <v>0</v>
      </c>
      <c r="W1789" s="167">
        <f>Transactions[[#This Row],[Amount]]*INDEX(TransTypes[],Transactions[[#This Row],[TTR]],TT_COL_AmntSign)</f>
        <v>-69679.25</v>
      </c>
      <c r="X1789" s="167">
        <f>IF(INDEX(TransTypes[],Transactions[[#This Row],[TTR]],TT_COL_LONGORSHORT)="S",
      IF( OR(INDEX(TransTypes[],Transactions[[#This Row],[TTR]],TT_COL_GLFlag)=1, INDEX(TransTypes[], Transactions[[#This Row],[TTR]], TT_COL_ShareTransferFlag)=1),
            Transactions[[#This Row],[CostImpact]]*-1,
            Transactions[[#This Row],[CalCashImpact]]
      ),
     0
)</f>
        <v>0</v>
      </c>
      <c r="Y1789" s="168" t="str">
        <f>VLOOKUP(Transactions[[#This Row],[Symbol]],Symbols[], COLUMN(Symbols[Currency])-COLUMN(Symbols[])+1,FALSE)</f>
        <v>CNY</v>
      </c>
    </row>
    <row r="1790" spans="1:25">
      <c r="A1790" s="155" t="s">
        <v>82</v>
      </c>
      <c r="B1790" s="156">
        <v>43111</v>
      </c>
      <c r="C1790" s="155" t="s">
        <v>113</v>
      </c>
      <c r="D1790" s="155"/>
      <c r="E1790" s="155" t="s">
        <v>477</v>
      </c>
      <c r="F1790" s="157">
        <v>1000</v>
      </c>
      <c r="G1790" s="158">
        <v>23.76</v>
      </c>
      <c r="H1790" s="157">
        <v>9.5</v>
      </c>
      <c r="I1790" s="157"/>
      <c r="J1790" s="159">
        <v>23769.5</v>
      </c>
      <c r="K1790" s="6" t="s">
        <v>641</v>
      </c>
      <c r="L1790" s="20">
        <f>IF(ISNA(MATCH(Transactions[[#This Row],[TransType]],TransTypes[TransType],0)),1,MATCH(Transactions[[#This Row],[TransType]],TransTypes[TransType],0))</f>
        <v>2</v>
      </c>
      <c r="M1790" s="160">
        <f>IF( AND( INDEX(TransTypes[],Transactions[[#This Row],[TTR]],TT_COL_GLFlag)=1, INDEX(TransTypes[],Transactions[[#This Row],[TTR]],TT_COL_LONGORSHORT)="S" ),
      Transactions[[#This Row],[PL]],
      IF(INDEX(TransTypes[],Transactions[[#This Row],[TTR]],TT_COL_LONGORSHORT)="S",0,Transactions[[#This Row],[CalCashImpact]])
)</f>
        <v>-23769.5</v>
      </c>
      <c r="N1790" s="161">
        <f>IF(VLOOKUP(Transactions[[#This Row],[Symbol]],Symbols[],COLUMN(Symbols[Currency])-COLUMN(Symbols[])+1,FALSE)=
       VLOOKUP(Transactions[[#This Row],[Account]],Accounts[],COLUMN(Accounts[Currency])-COLUMN(Accounts[])+1,FALSE),
     Transactions[[#This Row],[OrigCashImpact]],
     0
)</f>
        <v>-23769.5</v>
      </c>
      <c r="O179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42083.880000000179</v>
      </c>
      <c r="P179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79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790" s="41">
        <f>ROW()</f>
        <v>1790</v>
      </c>
      <c r="S17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23769.5</v>
      </c>
      <c r="T17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205682.68222222224</v>
      </c>
      <c r="U179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790" s="166">
        <f>IF(INDEX(TransTypes[],Transactions[[#This Row],[TTR]],TT_COL_GLFlag)=1,Transactions[[#This Row],[CalCashImpact]]+Transactions[[#This Row],[CostImpact]],0)</f>
        <v>0</v>
      </c>
      <c r="W1790" s="167">
        <f>Transactions[[#This Row],[Amount]]*INDEX(TransTypes[],Transactions[[#This Row],[TTR]],TT_COL_AmntSign)</f>
        <v>-23769.5</v>
      </c>
      <c r="X1790" s="167">
        <f>IF(INDEX(TransTypes[],Transactions[[#This Row],[TTR]],TT_COL_LONGORSHORT)="S",
      IF( OR(INDEX(TransTypes[],Transactions[[#This Row],[TTR]],TT_COL_GLFlag)=1, INDEX(TransTypes[], Transactions[[#This Row],[TTR]], TT_COL_ShareTransferFlag)=1),
            Transactions[[#This Row],[CostImpact]]*-1,
            Transactions[[#This Row],[CalCashImpact]]
      ),
     0
)</f>
        <v>0</v>
      </c>
      <c r="Y1790" s="168" t="str">
        <f>VLOOKUP(Transactions[[#This Row],[Symbol]],Symbols[], COLUMN(Symbols[Currency])-COLUMN(Symbols[])+1,FALSE)</f>
        <v>CNY</v>
      </c>
    </row>
    <row r="1791" spans="1:25">
      <c r="A1791" s="155" t="s">
        <v>82</v>
      </c>
      <c r="B1791" s="156">
        <v>43111</v>
      </c>
      <c r="C1791" s="155" t="s">
        <v>115</v>
      </c>
      <c r="D1791" s="155"/>
      <c r="E1791" s="155" t="s">
        <v>464</v>
      </c>
      <c r="F1791" s="157">
        <v>100</v>
      </c>
      <c r="G1791" s="158">
        <v>778.8</v>
      </c>
      <c r="H1791" s="157">
        <v>110.59</v>
      </c>
      <c r="I1791" s="157"/>
      <c r="J1791" s="159">
        <v>77769.41</v>
      </c>
      <c r="K1791" s="6" t="s">
        <v>641</v>
      </c>
      <c r="L1791" s="20">
        <f>IF(ISNA(MATCH(Transactions[[#This Row],[TransType]],TransTypes[TransType],0)),1,MATCH(Transactions[[#This Row],[TransType]],TransTypes[TransType],0))</f>
        <v>3</v>
      </c>
      <c r="M1791" s="160">
        <f>IF( AND( INDEX(TransTypes[],Transactions[[#This Row],[TTR]],TT_COL_GLFlag)=1, INDEX(TransTypes[],Transactions[[#This Row],[TTR]],TT_COL_LONGORSHORT)="S" ),
      Transactions[[#This Row],[PL]],
      IF(INDEX(TransTypes[],Transactions[[#This Row],[TTR]],TT_COL_LONGORSHORT)="S",0,Transactions[[#This Row],[CalCashImpact]])
)</f>
        <v>77769.41</v>
      </c>
      <c r="N1791" s="161">
        <f>IF(VLOOKUP(Transactions[[#This Row],[Symbol]],Symbols[],COLUMN(Symbols[Currency])-COLUMN(Symbols[])+1,FALSE)=
       VLOOKUP(Transactions[[#This Row],[Account]],Accounts[],COLUMN(Accounts[Currency])-COLUMN(Accounts[])+1,FALSE),
     Transactions[[#This Row],[OrigCashImpact]],
     0
)</f>
        <v>77769.41</v>
      </c>
      <c r="O179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119853.29000000018</v>
      </c>
      <c r="P179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79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v>
      </c>
      <c r="R1791" s="41">
        <f>ROW()</f>
        <v>1791</v>
      </c>
      <c r="S17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-46854.236774953126</v>
      </c>
      <c r="T17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281125.42064971873</v>
      </c>
      <c r="U179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1791" s="166">
        <f>IF(INDEX(TransTypes[],Transactions[[#This Row],[TTR]],TT_COL_GLFlag)=1,Transactions[[#This Row],[CalCashImpact]]+Transactions[[#This Row],[CostImpact]],0)</f>
        <v>30915.173225046878</v>
      </c>
      <c r="W1791" s="167">
        <f>Transactions[[#This Row],[Amount]]*INDEX(TransTypes[],Transactions[[#This Row],[TTR]],TT_COL_AmntSign)</f>
        <v>77769.41</v>
      </c>
      <c r="X1791" s="167">
        <f>IF(INDEX(TransTypes[],Transactions[[#This Row],[TTR]],TT_COL_LONGORSHORT)="S",
      IF( OR(INDEX(TransTypes[],Transactions[[#This Row],[TTR]],TT_COL_GLFlag)=1, INDEX(TransTypes[], Transactions[[#This Row],[TTR]], TT_COL_ShareTransferFlag)=1),
            Transactions[[#This Row],[CostImpact]]*-1,
            Transactions[[#This Row],[CalCashImpact]]
      ),
     0
)</f>
        <v>0</v>
      </c>
      <c r="Y1791" s="168" t="str">
        <f>VLOOKUP(Transactions[[#This Row],[Symbol]],Symbols[], COLUMN(Symbols[Currency])-COLUMN(Symbols[])+1,FALSE)</f>
        <v>CNY</v>
      </c>
    </row>
    <row r="1792" spans="1:25">
      <c r="A1792" s="155" t="s">
        <v>82</v>
      </c>
      <c r="B1792" s="156">
        <v>43112</v>
      </c>
      <c r="C1792" s="155" t="s">
        <v>119</v>
      </c>
      <c r="D1792" s="155"/>
      <c r="E1792" s="155" t="s">
        <v>211</v>
      </c>
      <c r="F1792" s="157"/>
      <c r="G1792" s="158"/>
      <c r="H1792" s="157"/>
      <c r="I1792" s="157"/>
      <c r="J1792" s="159">
        <v>67.87</v>
      </c>
      <c r="K1792" s="6" t="s">
        <v>759</v>
      </c>
      <c r="L1792" s="20">
        <f>IF(ISNA(MATCH(Transactions[[#This Row],[TransType]],TransTypes[TransType],0)),1,MATCH(Transactions[[#This Row],[TransType]],TransTypes[TransType],0))</f>
        <v>5</v>
      </c>
      <c r="M1792" s="160">
        <f>IF( AND( INDEX(TransTypes[],Transactions[[#This Row],[TTR]],TT_COL_GLFlag)=1, INDEX(TransTypes[],Transactions[[#This Row],[TTR]],TT_COL_LONGORSHORT)="S" ),
      Transactions[[#This Row],[PL]],
      IF(INDEX(TransTypes[],Transactions[[#This Row],[TTR]],TT_COL_LONGORSHORT)="S",0,Transactions[[#This Row],[CalCashImpact]])
)</f>
        <v>-67.87</v>
      </c>
      <c r="N1792" s="161">
        <f>IF(VLOOKUP(Transactions[[#This Row],[Symbol]],Symbols[],COLUMN(Symbols[Currency])-COLUMN(Symbols[])+1,FALSE)=
       VLOOKUP(Transactions[[#This Row],[Account]],Accounts[],COLUMN(Accounts[Currency])-COLUMN(Accounts[])+1,FALSE),
     Transactions[[#This Row],[OrigCashImpact]],
     0
)</f>
        <v>-67.87</v>
      </c>
      <c r="O179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119785.42000000019</v>
      </c>
      <c r="P179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79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792" s="41">
        <f>ROW()</f>
        <v>1792</v>
      </c>
      <c r="S17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7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79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792" s="166">
        <f>IF(INDEX(TransTypes[],Transactions[[#This Row],[TTR]],TT_COL_GLFlag)=1,Transactions[[#This Row],[CalCashImpact]]+Transactions[[#This Row],[CostImpact]],0)</f>
        <v>0</v>
      </c>
      <c r="W1792" s="167">
        <f>Transactions[[#This Row],[Amount]]*INDEX(TransTypes[],Transactions[[#This Row],[TTR]],TT_COL_AmntSign)</f>
        <v>-67.87</v>
      </c>
      <c r="X1792" s="167">
        <f>IF(INDEX(TransTypes[],Transactions[[#This Row],[TTR]],TT_COL_LONGORSHORT)="S",
      IF( OR(INDEX(TransTypes[],Transactions[[#This Row],[TTR]],TT_COL_GLFlag)=1, INDEX(TransTypes[], Transactions[[#This Row],[TTR]], TT_COL_ShareTransferFlag)=1),
            Transactions[[#This Row],[CostImpact]]*-1,
            Transactions[[#This Row],[CalCashImpact]]
      ),
     0
)</f>
        <v>0</v>
      </c>
      <c r="Y1792" s="168" t="str">
        <f>VLOOKUP(Transactions[[#This Row],[Symbol]],Symbols[], COLUMN(Symbols[Currency])-COLUMN(Symbols[])+1,FALSE)</f>
        <v>CNY</v>
      </c>
    </row>
    <row r="1793" spans="1:25">
      <c r="A1793" s="155" t="s">
        <v>82</v>
      </c>
      <c r="B1793" s="156">
        <v>43116</v>
      </c>
      <c r="C1793" s="155" t="s">
        <v>113</v>
      </c>
      <c r="D1793" s="155"/>
      <c r="E1793" s="155" t="s">
        <v>495</v>
      </c>
      <c r="F1793" s="157">
        <v>200</v>
      </c>
      <c r="G1793" s="158">
        <v>21.89</v>
      </c>
      <c r="H1793" s="157">
        <v>5</v>
      </c>
      <c r="I1793" s="157"/>
      <c r="J1793" s="159">
        <v>4383</v>
      </c>
      <c r="K1793" s="6" t="s">
        <v>641</v>
      </c>
      <c r="L1793" s="20">
        <f>IF(ISNA(MATCH(Transactions[[#This Row],[TransType]],TransTypes[TransType],0)),1,MATCH(Transactions[[#This Row],[TransType]],TransTypes[TransType],0))</f>
        <v>2</v>
      </c>
      <c r="M1793" s="160">
        <f>IF( AND( INDEX(TransTypes[],Transactions[[#This Row],[TTR]],TT_COL_GLFlag)=1, INDEX(TransTypes[],Transactions[[#This Row],[TTR]],TT_COL_LONGORSHORT)="S" ),
      Transactions[[#This Row],[PL]],
      IF(INDEX(TransTypes[],Transactions[[#This Row],[TTR]],TT_COL_LONGORSHORT)="S",0,Transactions[[#This Row],[CalCashImpact]])
)</f>
        <v>-4383</v>
      </c>
      <c r="N1793" s="161">
        <f>IF(VLOOKUP(Transactions[[#This Row],[Symbol]],Symbols[],COLUMN(Symbols[Currency])-COLUMN(Symbols[])+1,FALSE)=
       VLOOKUP(Transactions[[#This Row],[Account]],Accounts[],COLUMN(Accounts[Currency])-COLUMN(Accounts[])+1,FALSE),
     Transactions[[#This Row],[OrigCashImpact]],
     0
)</f>
        <v>-4383</v>
      </c>
      <c r="O179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115402.42000000019</v>
      </c>
      <c r="P179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79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793" s="41">
        <f>ROW()</f>
        <v>1793</v>
      </c>
      <c r="S17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4383</v>
      </c>
      <c r="T17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4383</v>
      </c>
      <c r="U179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1793" s="166">
        <f>IF(INDEX(TransTypes[],Transactions[[#This Row],[TTR]],TT_COL_GLFlag)=1,Transactions[[#This Row],[CalCashImpact]]+Transactions[[#This Row],[CostImpact]],0)</f>
        <v>0</v>
      </c>
      <c r="W1793" s="167">
        <f>Transactions[[#This Row],[Amount]]*INDEX(TransTypes[],Transactions[[#This Row],[TTR]],TT_COL_AmntSign)</f>
        <v>-4383</v>
      </c>
      <c r="X1793" s="167">
        <f>IF(INDEX(TransTypes[],Transactions[[#This Row],[TTR]],TT_COL_LONGORSHORT)="S",
      IF( OR(INDEX(TransTypes[],Transactions[[#This Row],[TTR]],TT_COL_GLFlag)=1, INDEX(TransTypes[], Transactions[[#This Row],[TTR]], TT_COL_ShareTransferFlag)=1),
            Transactions[[#This Row],[CostImpact]]*-1,
            Transactions[[#This Row],[CalCashImpact]]
      ),
     0
)</f>
        <v>0</v>
      </c>
      <c r="Y1793" s="168" t="str">
        <f>VLOOKUP(Transactions[[#This Row],[Symbol]],Symbols[], COLUMN(Symbols[Currency])-COLUMN(Symbols[])+1,FALSE)</f>
        <v>CNY</v>
      </c>
    </row>
    <row r="1794" spans="1:25">
      <c r="A1794" s="155" t="s">
        <v>82</v>
      </c>
      <c r="B1794" s="156">
        <v>43116</v>
      </c>
      <c r="C1794" s="155" t="s">
        <v>115</v>
      </c>
      <c r="D1794" s="155"/>
      <c r="E1794" s="155" t="s">
        <v>467</v>
      </c>
      <c r="F1794" s="157">
        <v>2400</v>
      </c>
      <c r="G1794" s="158">
        <v>12.43</v>
      </c>
      <c r="H1794" s="157">
        <v>41.76</v>
      </c>
      <c r="I1794" s="157"/>
      <c r="J1794" s="159">
        <v>29790.240000000002</v>
      </c>
      <c r="K1794" s="6" t="s">
        <v>641</v>
      </c>
      <c r="L1794" s="20">
        <f>IF(ISNA(MATCH(Transactions[[#This Row],[TransType]],TransTypes[TransType],0)),1,MATCH(Transactions[[#This Row],[TransType]],TransTypes[TransType],0))</f>
        <v>3</v>
      </c>
      <c r="M1794" s="160">
        <f>IF( AND( INDEX(TransTypes[],Transactions[[#This Row],[TTR]],TT_COL_GLFlag)=1, INDEX(TransTypes[],Transactions[[#This Row],[TTR]],TT_COL_LONGORSHORT)="S" ),
      Transactions[[#This Row],[PL]],
      IF(INDEX(TransTypes[],Transactions[[#This Row],[TTR]],TT_COL_LONGORSHORT)="S",0,Transactions[[#This Row],[CalCashImpact]])
)</f>
        <v>29790.240000000002</v>
      </c>
      <c r="N1794" s="161">
        <f>IF(VLOOKUP(Transactions[[#This Row],[Symbol]],Symbols[],COLUMN(Symbols[Currency])-COLUMN(Symbols[])+1,FALSE)=
       VLOOKUP(Transactions[[#This Row],[Account]],Accounts[],COLUMN(Accounts[Currency])-COLUMN(Accounts[])+1,FALSE),
     Transactions[[#This Row],[OrigCashImpact]],
     0
)</f>
        <v>29790.240000000002</v>
      </c>
      <c r="O179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145192.66000000018</v>
      </c>
      <c r="P179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-2400</v>
      </c>
      <c r="Q179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9000</v>
      </c>
      <c r="R1794" s="41">
        <f>ROW()</f>
        <v>1794</v>
      </c>
      <c r="S17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-31529.406720000003</v>
      </c>
      <c r="T17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118235.2752</v>
      </c>
      <c r="U179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11400</v>
      </c>
      <c r="V1794" s="166">
        <f>IF(INDEX(TransTypes[],Transactions[[#This Row],[TTR]],TT_COL_GLFlag)=1,Transactions[[#This Row],[CalCashImpact]]+Transactions[[#This Row],[CostImpact]],0)</f>
        <v>-1739.1667200000011</v>
      </c>
      <c r="W1794" s="167">
        <f>Transactions[[#This Row],[Amount]]*INDEX(TransTypes[],Transactions[[#This Row],[TTR]],TT_COL_AmntSign)</f>
        <v>29790.240000000002</v>
      </c>
      <c r="X1794" s="167">
        <f>IF(INDEX(TransTypes[],Transactions[[#This Row],[TTR]],TT_COL_LONGORSHORT)="S",
      IF( OR(INDEX(TransTypes[],Transactions[[#This Row],[TTR]],TT_COL_GLFlag)=1, INDEX(TransTypes[], Transactions[[#This Row],[TTR]], TT_COL_ShareTransferFlag)=1),
            Transactions[[#This Row],[CostImpact]]*-1,
            Transactions[[#This Row],[CalCashImpact]]
      ),
     0
)</f>
        <v>0</v>
      </c>
      <c r="Y1794" s="168" t="str">
        <f>VLOOKUP(Transactions[[#This Row],[Symbol]],Symbols[], COLUMN(Symbols[Currency])-COLUMN(Symbols[])+1,FALSE)</f>
        <v>CNY</v>
      </c>
    </row>
    <row r="1795" spans="1:25">
      <c r="A1795" s="155" t="s">
        <v>82</v>
      </c>
      <c r="B1795" s="156">
        <v>43124</v>
      </c>
      <c r="C1795" s="155" t="s">
        <v>113</v>
      </c>
      <c r="D1795" s="155"/>
      <c r="E1795" s="155" t="s">
        <v>495</v>
      </c>
      <c r="F1795" s="157">
        <v>2000</v>
      </c>
      <c r="G1795" s="158">
        <v>23.9</v>
      </c>
      <c r="H1795" s="157">
        <v>19.12</v>
      </c>
      <c r="I1795" s="157"/>
      <c r="J1795" s="159">
        <v>47819.12</v>
      </c>
      <c r="K1795" s="6" t="s">
        <v>641</v>
      </c>
      <c r="L1795" s="20">
        <f>IF(ISNA(MATCH(Transactions[[#This Row],[TransType]],TransTypes[TransType],0)),1,MATCH(Transactions[[#This Row],[TransType]],TransTypes[TransType],0))</f>
        <v>2</v>
      </c>
      <c r="M1795" s="160">
        <f>IF( AND( INDEX(TransTypes[],Transactions[[#This Row],[TTR]],TT_COL_GLFlag)=1, INDEX(TransTypes[],Transactions[[#This Row],[TTR]],TT_COL_LONGORSHORT)="S" ),
      Transactions[[#This Row],[PL]],
      IF(INDEX(TransTypes[],Transactions[[#This Row],[TTR]],TT_COL_LONGORSHORT)="S",0,Transactions[[#This Row],[CalCashImpact]])
)</f>
        <v>-47819.12</v>
      </c>
      <c r="N1795" s="161">
        <f>IF(VLOOKUP(Transactions[[#This Row],[Symbol]],Symbols[],COLUMN(Symbols[Currency])-COLUMN(Symbols[])+1,FALSE)=
       VLOOKUP(Transactions[[#This Row],[Account]],Accounts[],COLUMN(Accounts[Currency])-COLUMN(Accounts[])+1,FALSE),
     Transactions[[#This Row],[OrigCashImpact]],
     0
)</f>
        <v>-47819.12</v>
      </c>
      <c r="O179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97373.540000000183</v>
      </c>
      <c r="P179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9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2200</v>
      </c>
      <c r="R1795" s="41">
        <f>ROW()</f>
        <v>1795</v>
      </c>
      <c r="S179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47819.12</v>
      </c>
      <c r="T179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52202.12</v>
      </c>
      <c r="U179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2200</v>
      </c>
      <c r="V1795" s="166">
        <f>IF(INDEX(TransTypes[],Transactions[[#This Row],[TTR]],TT_COL_GLFlag)=1,Transactions[[#This Row],[CalCashImpact]]+Transactions[[#This Row],[CostImpact]],0)</f>
        <v>0</v>
      </c>
      <c r="W1795" s="167">
        <f>Transactions[[#This Row],[Amount]]*INDEX(TransTypes[],Transactions[[#This Row],[TTR]],TT_COL_AmntSign)</f>
        <v>-47819.12</v>
      </c>
      <c r="X1795" s="167">
        <f>IF(INDEX(TransTypes[],Transactions[[#This Row],[TTR]],TT_COL_LONGORSHORT)="S",
      IF( OR(INDEX(TransTypes[],Transactions[[#This Row],[TTR]],TT_COL_GLFlag)=1, INDEX(TransTypes[], Transactions[[#This Row],[TTR]], TT_COL_ShareTransferFlag)=1),
            Transactions[[#This Row],[CostImpact]]*-1,
            Transactions[[#This Row],[CalCashImpact]]
      ),
     0
)</f>
        <v>0</v>
      </c>
      <c r="Y1795" s="168" t="str">
        <f>VLOOKUP(Transactions[[#This Row],[Symbol]],Symbols[], COLUMN(Symbols[Currency])-COLUMN(Symbols[])+1,FALSE)</f>
        <v>CNY</v>
      </c>
    </row>
    <row r="1796" spans="1:25">
      <c r="A1796" s="155" t="s">
        <v>82</v>
      </c>
      <c r="B1796" s="156">
        <v>43124</v>
      </c>
      <c r="C1796" s="155" t="s">
        <v>115</v>
      </c>
      <c r="D1796" s="155"/>
      <c r="E1796" s="155" t="s">
        <v>482</v>
      </c>
      <c r="F1796" s="157">
        <v>500</v>
      </c>
      <c r="G1796" s="158">
        <v>55.53</v>
      </c>
      <c r="H1796" s="157">
        <v>38.880000000000003</v>
      </c>
      <c r="I1796" s="157"/>
      <c r="J1796" s="159">
        <v>27726.12</v>
      </c>
      <c r="K1796" s="6" t="s">
        <v>641</v>
      </c>
      <c r="L1796" s="20">
        <f>IF(ISNA(MATCH(Transactions[[#This Row],[TransType]],TransTypes[TransType],0)),1,MATCH(Transactions[[#This Row],[TransType]],TransTypes[TransType],0))</f>
        <v>3</v>
      </c>
      <c r="M1796" s="160">
        <f>IF( AND( INDEX(TransTypes[],Transactions[[#This Row],[TTR]],TT_COL_GLFlag)=1, INDEX(TransTypes[],Transactions[[#This Row],[TTR]],TT_COL_LONGORSHORT)="S" ),
      Transactions[[#This Row],[PL]],
      IF(INDEX(TransTypes[],Transactions[[#This Row],[TTR]],TT_COL_LONGORSHORT)="S",0,Transactions[[#This Row],[CalCashImpact]])
)</f>
        <v>27726.12</v>
      </c>
      <c r="N1796" s="161">
        <f>IF(VLOOKUP(Transactions[[#This Row],[Symbol]],Symbols[],COLUMN(Symbols[Currency])-COLUMN(Symbols[])+1,FALSE)=
       VLOOKUP(Transactions[[#This Row],[Account]],Accounts[],COLUMN(Accounts[Currency])-COLUMN(Accounts[])+1,FALSE),
     Transactions[[#This Row],[OrigCashImpact]],
     0
)</f>
        <v>27726.12</v>
      </c>
      <c r="O179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125099.66000000018</v>
      </c>
      <c r="P179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79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796" s="41">
        <f>ROW()</f>
        <v>1796</v>
      </c>
      <c r="S179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-15947.563958333334</v>
      </c>
      <c r="T179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191370.76749999999</v>
      </c>
      <c r="U179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6500</v>
      </c>
      <c r="V1796" s="166">
        <f>IF(INDEX(TransTypes[],Transactions[[#This Row],[TTR]],TT_COL_GLFlag)=1,Transactions[[#This Row],[CalCashImpact]]+Transactions[[#This Row],[CostImpact]],0)</f>
        <v>11778.556041666665</v>
      </c>
      <c r="W1796" s="167">
        <f>Transactions[[#This Row],[Amount]]*INDEX(TransTypes[],Transactions[[#This Row],[TTR]],TT_COL_AmntSign)</f>
        <v>27726.12</v>
      </c>
      <c r="X1796" s="167">
        <f>IF(INDEX(TransTypes[],Transactions[[#This Row],[TTR]],TT_COL_LONGORSHORT)="S",
      IF( OR(INDEX(TransTypes[],Transactions[[#This Row],[TTR]],TT_COL_GLFlag)=1, INDEX(TransTypes[], Transactions[[#This Row],[TTR]], TT_COL_ShareTransferFlag)=1),
            Transactions[[#This Row],[CostImpact]]*-1,
            Transactions[[#This Row],[CalCashImpact]]
      ),
     0
)</f>
        <v>0</v>
      </c>
      <c r="Y1796" s="168" t="str">
        <f>VLOOKUP(Transactions[[#This Row],[Symbol]],Symbols[], COLUMN(Symbols[Currency])-COLUMN(Symbols[])+1,FALSE)</f>
        <v>CNY</v>
      </c>
    </row>
    <row r="1797" spans="1:25">
      <c r="A1797" s="155" t="s">
        <v>82</v>
      </c>
      <c r="B1797" s="156">
        <v>43124</v>
      </c>
      <c r="C1797" s="155" t="s">
        <v>113</v>
      </c>
      <c r="D1797" s="155"/>
      <c r="E1797" s="155" t="s">
        <v>467</v>
      </c>
      <c r="F1797" s="157">
        <v>3000</v>
      </c>
      <c r="G1797" s="158">
        <v>15.54</v>
      </c>
      <c r="H1797" s="157">
        <v>18.649999999999999</v>
      </c>
      <c r="I1797" s="157"/>
      <c r="J1797" s="159">
        <v>46638.65</v>
      </c>
      <c r="K1797" s="6" t="s">
        <v>641</v>
      </c>
      <c r="L1797" s="20">
        <f>IF(ISNA(MATCH(Transactions[[#This Row],[TransType]],TransTypes[TransType],0)),1,MATCH(Transactions[[#This Row],[TransType]],TransTypes[TransType],0))</f>
        <v>2</v>
      </c>
      <c r="M1797" s="160">
        <f>IF( AND( INDEX(TransTypes[],Transactions[[#This Row],[TTR]],TT_COL_GLFlag)=1, INDEX(TransTypes[],Transactions[[#This Row],[TTR]],TT_COL_LONGORSHORT)="S" ),
      Transactions[[#This Row],[PL]],
      IF(INDEX(TransTypes[],Transactions[[#This Row],[TTR]],TT_COL_LONGORSHORT)="S",0,Transactions[[#This Row],[CalCashImpact]])
)</f>
        <v>-46638.65</v>
      </c>
      <c r="N1797" s="161">
        <f>IF(VLOOKUP(Transactions[[#This Row],[Symbol]],Symbols[],COLUMN(Symbols[Currency])-COLUMN(Symbols[])+1,FALSE)=
       VLOOKUP(Transactions[[#This Row],[Account]],Accounts[],COLUMN(Accounts[Currency])-COLUMN(Accounts[])+1,FALSE),
     Transactions[[#This Row],[OrigCashImpact]],
     0
)</f>
        <v>-46638.65</v>
      </c>
      <c r="O179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78461.010000000169</v>
      </c>
      <c r="P179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79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797" s="41">
        <f>ROW()</f>
        <v>1797</v>
      </c>
      <c r="S179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46638.65</v>
      </c>
      <c r="T179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164873.9252</v>
      </c>
      <c r="U179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797" s="166">
        <f>IF(INDEX(TransTypes[],Transactions[[#This Row],[TTR]],TT_COL_GLFlag)=1,Transactions[[#This Row],[CalCashImpact]]+Transactions[[#This Row],[CostImpact]],0)</f>
        <v>0</v>
      </c>
      <c r="W1797" s="167">
        <f>Transactions[[#This Row],[Amount]]*INDEX(TransTypes[],Transactions[[#This Row],[TTR]],TT_COL_AmntSign)</f>
        <v>-46638.65</v>
      </c>
      <c r="X1797" s="167">
        <f>IF(INDEX(TransTypes[],Transactions[[#This Row],[TTR]],TT_COL_LONGORSHORT)="S",
      IF( OR(INDEX(TransTypes[],Transactions[[#This Row],[TTR]],TT_COL_GLFlag)=1, INDEX(TransTypes[], Transactions[[#This Row],[TTR]], TT_COL_ShareTransferFlag)=1),
            Transactions[[#This Row],[CostImpact]]*-1,
            Transactions[[#This Row],[CalCashImpact]]
      ),
     0
)</f>
        <v>0</v>
      </c>
      <c r="Y1797" s="168" t="str">
        <f>VLOOKUP(Transactions[[#This Row],[Symbol]],Symbols[], COLUMN(Symbols[Currency])-COLUMN(Symbols[])+1,FALSE)</f>
        <v>CNY</v>
      </c>
    </row>
    <row r="1798" spans="1:25">
      <c r="A1798" s="155" t="s">
        <v>82</v>
      </c>
      <c r="B1798" s="156">
        <v>43124</v>
      </c>
      <c r="C1798" s="155" t="s">
        <v>113</v>
      </c>
      <c r="D1798" s="155"/>
      <c r="E1798" s="155" t="s">
        <v>477</v>
      </c>
      <c r="F1798" s="157">
        <v>3000</v>
      </c>
      <c r="G1798" s="158">
        <v>24.96</v>
      </c>
      <c r="H1798" s="157">
        <v>29.95</v>
      </c>
      <c r="I1798" s="157"/>
      <c r="J1798" s="159">
        <v>74909.95</v>
      </c>
      <c r="K1798" s="6" t="s">
        <v>641</v>
      </c>
      <c r="L1798" s="20">
        <f>IF(ISNA(MATCH(Transactions[[#This Row],[TransType]],TransTypes[TransType],0)),1,MATCH(Transactions[[#This Row],[TransType]],TransTypes[TransType],0))</f>
        <v>2</v>
      </c>
      <c r="M1798" s="160">
        <f>IF( AND( INDEX(TransTypes[],Transactions[[#This Row],[TTR]],TT_COL_GLFlag)=1, INDEX(TransTypes[],Transactions[[#This Row],[TTR]],TT_COL_LONGORSHORT)="S" ),
      Transactions[[#This Row],[PL]],
      IF(INDEX(TransTypes[],Transactions[[#This Row],[TTR]],TT_COL_LONGORSHORT)="S",0,Transactions[[#This Row],[CalCashImpact]])
)</f>
        <v>-74909.95</v>
      </c>
      <c r="N1798" s="161">
        <f>IF(VLOOKUP(Transactions[[#This Row],[Symbol]],Symbols[],COLUMN(Symbols[Currency])-COLUMN(Symbols[])+1,FALSE)=
       VLOOKUP(Transactions[[#This Row],[Account]],Accounts[],COLUMN(Accounts[Currency])-COLUMN(Accounts[])+1,FALSE),
     Transactions[[#This Row],[OrigCashImpact]],
     0
)</f>
        <v>-74909.95</v>
      </c>
      <c r="O179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3551.0600000001723</v>
      </c>
      <c r="P179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79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798" s="41">
        <f>ROW()</f>
        <v>1798</v>
      </c>
      <c r="S179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74909.95</v>
      </c>
      <c r="T179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280592.63222222222</v>
      </c>
      <c r="U179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798" s="166">
        <f>IF(INDEX(TransTypes[],Transactions[[#This Row],[TTR]],TT_COL_GLFlag)=1,Transactions[[#This Row],[CalCashImpact]]+Transactions[[#This Row],[CostImpact]],0)</f>
        <v>0</v>
      </c>
      <c r="W1798" s="167">
        <f>Transactions[[#This Row],[Amount]]*INDEX(TransTypes[],Transactions[[#This Row],[TTR]],TT_COL_AmntSign)</f>
        <v>-74909.95</v>
      </c>
      <c r="X1798" s="167">
        <f>IF(INDEX(TransTypes[],Transactions[[#This Row],[TTR]],TT_COL_LONGORSHORT)="S",
      IF( OR(INDEX(TransTypes[],Transactions[[#This Row],[TTR]],TT_COL_GLFlag)=1, INDEX(TransTypes[], Transactions[[#This Row],[TTR]], TT_COL_ShareTransferFlag)=1),
            Transactions[[#This Row],[CostImpact]]*-1,
            Transactions[[#This Row],[CalCashImpact]]
      ),
     0
)</f>
        <v>0</v>
      </c>
      <c r="Y1798" s="168" t="str">
        <f>VLOOKUP(Transactions[[#This Row],[Symbol]],Symbols[], COLUMN(Symbols[Currency])-COLUMN(Symbols[])+1,FALSE)</f>
        <v>CNY</v>
      </c>
    </row>
    <row r="1799" spans="1:25">
      <c r="A1799" s="155" t="s">
        <v>82</v>
      </c>
      <c r="B1799" s="156">
        <v>43124</v>
      </c>
      <c r="C1799" s="155" t="s">
        <v>115</v>
      </c>
      <c r="D1799" s="155"/>
      <c r="E1799" s="155" t="s">
        <v>468</v>
      </c>
      <c r="F1799" s="157">
        <v>2000</v>
      </c>
      <c r="G1799" s="158">
        <v>77.41</v>
      </c>
      <c r="H1799" s="157">
        <v>219.85</v>
      </c>
      <c r="I1799" s="157"/>
      <c r="J1799" s="159">
        <v>154600.15</v>
      </c>
      <c r="K1799" s="6" t="s">
        <v>641</v>
      </c>
      <c r="L1799" s="20">
        <f>IF(ISNA(MATCH(Transactions[[#This Row],[TransType]],TransTypes[TransType],0)),1,MATCH(Transactions[[#This Row],[TransType]],TransTypes[TransType],0))</f>
        <v>3</v>
      </c>
      <c r="M1799" s="160">
        <f>IF( AND( INDEX(TransTypes[],Transactions[[#This Row],[TTR]],TT_COL_GLFlag)=1, INDEX(TransTypes[],Transactions[[#This Row],[TTR]],TT_COL_LONGORSHORT)="S" ),
      Transactions[[#This Row],[PL]],
      IF(INDEX(TransTypes[],Transactions[[#This Row],[TTR]],TT_COL_LONGORSHORT)="S",0,Transactions[[#This Row],[CalCashImpact]])
)</f>
        <v>154600.15</v>
      </c>
      <c r="N1799" s="161">
        <f>IF(VLOOKUP(Transactions[[#This Row],[Symbol]],Symbols[],COLUMN(Symbols[Currency])-COLUMN(Symbols[])+1,FALSE)=
       VLOOKUP(Transactions[[#This Row],[Account]],Accounts[],COLUMN(Accounts[Currency])-COLUMN(Accounts[])+1,FALSE),
     Transactions[[#This Row],[OrigCashImpact]],
     0
)</f>
        <v>154600.15</v>
      </c>
      <c r="O179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158151.21000000017</v>
      </c>
      <c r="P179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79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v>
      </c>
      <c r="R1799" s="41">
        <f>ROW()</f>
        <v>1799</v>
      </c>
      <c r="S179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-120899.2589829932</v>
      </c>
      <c r="T179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604496.29491496598</v>
      </c>
      <c r="U179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799" s="166">
        <f>IF(INDEX(TransTypes[],Transactions[[#This Row],[TTR]],TT_COL_GLFlag)=1,Transactions[[#This Row],[CalCashImpact]]+Transactions[[#This Row],[CostImpact]],0)</f>
        <v>33700.891017006797</v>
      </c>
      <c r="W1799" s="167">
        <f>Transactions[[#This Row],[Amount]]*INDEX(TransTypes[],Transactions[[#This Row],[TTR]],TT_COL_AmntSign)</f>
        <v>154600.15</v>
      </c>
      <c r="X1799" s="167">
        <f>IF(INDEX(TransTypes[],Transactions[[#This Row],[TTR]],TT_COL_LONGORSHORT)="S",
      IF( OR(INDEX(TransTypes[],Transactions[[#This Row],[TTR]],TT_COL_GLFlag)=1, INDEX(TransTypes[], Transactions[[#This Row],[TTR]], TT_COL_ShareTransferFlag)=1),
            Transactions[[#This Row],[CostImpact]]*-1,
            Transactions[[#This Row],[CalCashImpact]]
      ),
     0
)</f>
        <v>0</v>
      </c>
      <c r="Y1799" s="168" t="str">
        <f>VLOOKUP(Transactions[[#This Row],[Symbol]],Symbols[], COLUMN(Symbols[Currency])-COLUMN(Symbols[])+1,FALSE)</f>
        <v>CNY</v>
      </c>
    </row>
    <row r="1800" spans="1:25">
      <c r="A1800" s="155" t="s">
        <v>82</v>
      </c>
      <c r="B1800" s="156">
        <v>43124</v>
      </c>
      <c r="C1800" s="155" t="s">
        <v>115</v>
      </c>
      <c r="D1800" s="155"/>
      <c r="E1800" s="155" t="s">
        <v>646</v>
      </c>
      <c r="F1800" s="157">
        <v>500</v>
      </c>
      <c r="G1800" s="158">
        <v>473.28</v>
      </c>
      <c r="H1800" s="157">
        <v>971.01</v>
      </c>
      <c r="I1800" s="157"/>
      <c r="J1800" s="159">
        <v>235668.99</v>
      </c>
      <c r="K1800" s="6" t="s">
        <v>641</v>
      </c>
      <c r="L1800" s="20">
        <f>IF(ISNA(MATCH(Transactions[[#This Row],[TransType]],TransTypes[TransType],0)),1,MATCH(Transactions[[#This Row],[TransType]],TransTypes[TransType],0))</f>
        <v>3</v>
      </c>
      <c r="M1800" s="160">
        <f>IF( AND( INDEX(TransTypes[],Transactions[[#This Row],[TTR]],TT_COL_GLFlag)=1, INDEX(TransTypes[],Transactions[[#This Row],[TTR]],TT_COL_LONGORSHORT)="S" ),
      Transactions[[#This Row],[PL]],
      IF(INDEX(TransTypes[],Transactions[[#This Row],[TTR]],TT_COL_LONGORSHORT)="S",0,Transactions[[#This Row],[CalCashImpact]])
)</f>
        <v>235668.99</v>
      </c>
      <c r="N1800" s="161">
        <f>IF(VLOOKUP(Transactions[[#This Row],[Symbol]],Symbols[],COLUMN(Symbols[Currency])-COLUMN(Symbols[])+1,FALSE)=
       VLOOKUP(Transactions[[#This Row],[Account]],Accounts[],COLUMN(Accounts[Currency])-COLUMN(Accounts[])+1,FALSE),
     Transactions[[#This Row],[OrigCashImpact]],
     0
)</f>
        <v>0</v>
      </c>
      <c r="O180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158151.21000000017</v>
      </c>
      <c r="P180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80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7500</v>
      </c>
      <c r="R1800" s="41">
        <f>ROW()</f>
        <v>1800</v>
      </c>
      <c r="S180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-107396.81576923077</v>
      </c>
      <c r="T180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1610952.2365384616</v>
      </c>
      <c r="U180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800" s="166">
        <f>IF(INDEX(TransTypes[],Transactions[[#This Row],[TTR]],TT_COL_GLFlag)=1,Transactions[[#This Row],[CalCashImpact]]+Transactions[[#This Row],[CostImpact]],0)</f>
        <v>128272.17423076922</v>
      </c>
      <c r="W1800" s="167">
        <f>Transactions[[#This Row],[Amount]]*INDEX(TransTypes[],Transactions[[#This Row],[TTR]],TT_COL_AmntSign)</f>
        <v>235668.99</v>
      </c>
      <c r="X1800" s="167">
        <f>IF(INDEX(TransTypes[],Transactions[[#This Row],[TTR]],TT_COL_LONGORSHORT)="S",
      IF( OR(INDEX(TransTypes[],Transactions[[#This Row],[TTR]],TT_COL_GLFlag)=1, INDEX(TransTypes[], Transactions[[#This Row],[TTR]], TT_COL_ShareTransferFlag)=1),
            Transactions[[#This Row],[CostImpact]]*-1,
            Transactions[[#This Row],[CalCashImpact]]
      ),
     0
)</f>
        <v>0</v>
      </c>
      <c r="Y1800" s="168" t="str">
        <f>VLOOKUP(Transactions[[#This Row],[Symbol]],Symbols[], COLUMN(Symbols[Currency])-COLUMN(Symbols[])+1,FALSE)</f>
        <v>HKD</v>
      </c>
    </row>
    <row r="1801" spans="1:25">
      <c r="A1801" s="155" t="s">
        <v>82</v>
      </c>
      <c r="B1801" s="156">
        <v>43124</v>
      </c>
      <c r="C1801" s="155" t="s">
        <v>156</v>
      </c>
      <c r="D1801" s="155"/>
      <c r="E1801" s="155" t="s">
        <v>210</v>
      </c>
      <c r="F1801" s="157">
        <v>193302.79</v>
      </c>
      <c r="G1801" s="158">
        <f>Transactions[[#This Row],[Amount]]/Transactions[[#This Row],[Qty]]</f>
        <v>1.2191701423450743</v>
      </c>
      <c r="H1801" s="157"/>
      <c r="I1801" s="157"/>
      <c r="J1801" s="159">
        <v>235668.99</v>
      </c>
      <c r="K1801" s="6" t="s">
        <v>641</v>
      </c>
      <c r="L1801" s="20">
        <f>IF(ISNA(MATCH(Transactions[[#This Row],[TransType]],TransTypes[TransType],0)),1,MATCH(Transactions[[#This Row],[TransType]],TransTypes[TransType],0))</f>
        <v>17</v>
      </c>
      <c r="M1801" s="160">
        <f>IF( AND( INDEX(TransTypes[],Transactions[[#This Row],[TTR]],TT_COL_GLFlag)=1, INDEX(TransTypes[],Transactions[[#This Row],[TTR]],TT_COL_LONGORSHORT)="S" ),
      Transactions[[#This Row],[PL]],
      IF(INDEX(TransTypes[],Transactions[[#This Row],[TTR]],TT_COL_LONGORSHORT)="S",0,Transactions[[#This Row],[CalCashImpact]])
)</f>
        <v>-235668.99</v>
      </c>
      <c r="N1801" s="161">
        <f>IF(VLOOKUP(Transactions[[#This Row],[Symbol]],Symbols[],COLUMN(Symbols[Currency])-COLUMN(Symbols[])+1,FALSE)=
       VLOOKUP(Transactions[[#This Row],[Account]],Accounts[],COLUMN(Accounts[Currency])-COLUMN(Accounts[])+1,FALSE),
     Transactions[[#This Row],[OrigCashImpact]],
     0
)</f>
        <v>0</v>
      </c>
      <c r="O180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158151.21000000017</v>
      </c>
      <c r="P180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0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01" s="41">
        <f>ROW()</f>
        <v>1801</v>
      </c>
      <c r="S180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0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0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01" s="166">
        <f>IF(INDEX(TransTypes[],Transactions[[#This Row],[TTR]],TT_COL_GLFlag)=1,Transactions[[#This Row],[CalCashImpact]]+Transactions[[#This Row],[CostImpact]],0)</f>
        <v>0</v>
      </c>
      <c r="W1801" s="167">
        <f>Transactions[[#This Row],[Amount]]*INDEX(TransTypes[],Transactions[[#This Row],[TTR]],TT_COL_AmntSign)</f>
        <v>-235668.99</v>
      </c>
      <c r="X1801" s="167">
        <f>IF(INDEX(TransTypes[],Transactions[[#This Row],[TTR]],TT_COL_LONGORSHORT)="S",
      IF( OR(INDEX(TransTypes[],Transactions[[#This Row],[TTR]],TT_COL_GLFlag)=1, INDEX(TransTypes[], Transactions[[#This Row],[TTR]], TT_COL_ShareTransferFlag)=1),
            Transactions[[#This Row],[CostImpact]]*-1,
            Transactions[[#This Row],[CalCashImpact]]
      ),
     0
)</f>
        <v>0</v>
      </c>
      <c r="Y1801" s="168" t="str">
        <f>VLOOKUP(Transactions[[#This Row],[Symbol]],Symbols[], COLUMN(Symbols[Currency])-COLUMN(Symbols[])+1,FALSE)</f>
        <v>HKD</v>
      </c>
    </row>
    <row r="1802" spans="1:25">
      <c r="A1802" s="155" t="s">
        <v>82</v>
      </c>
      <c r="B1802" s="156">
        <v>43124</v>
      </c>
      <c r="C1802" s="155" t="s">
        <v>239</v>
      </c>
      <c r="D1802" s="155"/>
      <c r="E1802" s="155" t="s">
        <v>211</v>
      </c>
      <c r="F1802" s="157">
        <v>193302.79</v>
      </c>
      <c r="G1802" s="158">
        <v>1</v>
      </c>
      <c r="H1802" s="157"/>
      <c r="I1802" s="157"/>
      <c r="J1802" s="159">
        <v>193302.79</v>
      </c>
      <c r="K1802" s="6" t="s">
        <v>641</v>
      </c>
      <c r="L1802" s="20">
        <f>IF(ISNA(MATCH(Transactions[[#This Row],[TransType]],TransTypes[TransType],0)),1,MATCH(Transactions[[#This Row],[TransType]],TransTypes[TransType],0))</f>
        <v>18</v>
      </c>
      <c r="M1802" s="160">
        <f>IF( AND( INDEX(TransTypes[],Transactions[[#This Row],[TTR]],TT_COL_GLFlag)=1, INDEX(TransTypes[],Transactions[[#This Row],[TTR]],TT_COL_LONGORSHORT)="S" ),
      Transactions[[#This Row],[PL]],
      IF(INDEX(TransTypes[],Transactions[[#This Row],[TTR]],TT_COL_LONGORSHORT)="S",0,Transactions[[#This Row],[CalCashImpact]])
)</f>
        <v>193302.79</v>
      </c>
      <c r="N1802" s="161">
        <f>IF(VLOOKUP(Transactions[[#This Row],[Symbol]],Symbols[],COLUMN(Symbols[Currency])-COLUMN(Symbols[])+1,FALSE)=
       VLOOKUP(Transactions[[#This Row],[Account]],Accounts[],COLUMN(Accounts[Currency])-COLUMN(Accounts[])+1,FALSE),
     Transactions[[#This Row],[OrigCashImpact]],
     0
)</f>
        <v>193302.79</v>
      </c>
      <c r="O180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351454.00000000017</v>
      </c>
      <c r="P180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0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02" s="41">
        <f>ROW()</f>
        <v>1802</v>
      </c>
      <c r="S180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0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0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02" s="166">
        <f>IF(INDEX(TransTypes[],Transactions[[#This Row],[TTR]],TT_COL_GLFlag)=1,Transactions[[#This Row],[CalCashImpact]]+Transactions[[#This Row],[CostImpact]],0)</f>
        <v>0</v>
      </c>
      <c r="W1802" s="167">
        <f>Transactions[[#This Row],[Amount]]*INDEX(TransTypes[],Transactions[[#This Row],[TTR]],TT_COL_AmntSign)</f>
        <v>193302.79</v>
      </c>
      <c r="X1802" s="167">
        <f>IF(INDEX(TransTypes[],Transactions[[#This Row],[TTR]],TT_COL_LONGORSHORT)="S",
      IF( OR(INDEX(TransTypes[],Transactions[[#This Row],[TTR]],TT_COL_GLFlag)=1, INDEX(TransTypes[], Transactions[[#This Row],[TTR]], TT_COL_ShareTransferFlag)=1),
            Transactions[[#This Row],[CostImpact]]*-1,
            Transactions[[#This Row],[CalCashImpact]]
      ),
     0
)</f>
        <v>0</v>
      </c>
      <c r="Y1802" s="168" t="str">
        <f>VLOOKUP(Transactions[[#This Row],[Symbol]],Symbols[], COLUMN(Symbols[Currency])-COLUMN(Symbols[])+1,FALSE)</f>
        <v>CNY</v>
      </c>
    </row>
    <row r="1803" spans="1:25">
      <c r="A1803" s="155" t="s">
        <v>82</v>
      </c>
      <c r="B1803" s="156">
        <v>43125</v>
      </c>
      <c r="C1803" s="155" t="s">
        <v>118</v>
      </c>
      <c r="D1803" s="155"/>
      <c r="E1803" s="155" t="s">
        <v>491</v>
      </c>
      <c r="F1803" s="157"/>
      <c r="G1803" s="158"/>
      <c r="H1803" s="157"/>
      <c r="I1803" s="157"/>
      <c r="J1803" s="159">
        <v>10900</v>
      </c>
      <c r="K1803" s="6" t="s">
        <v>641</v>
      </c>
      <c r="L1803" s="20">
        <f>IF(ISNA(MATCH(Transactions[[#This Row],[TransType]],TransTypes[TransType],0)),1,MATCH(Transactions[[#This Row],[TransType]],TransTypes[TransType],0))</f>
        <v>4</v>
      </c>
      <c r="M1803" s="160">
        <f>IF( AND( INDEX(TransTypes[],Transactions[[#This Row],[TTR]],TT_COL_GLFlag)=1, INDEX(TransTypes[],Transactions[[#This Row],[TTR]],TT_COL_LONGORSHORT)="S" ),
      Transactions[[#This Row],[PL]],
      IF(INDEX(TransTypes[],Transactions[[#This Row],[TTR]],TT_COL_LONGORSHORT)="S",0,Transactions[[#This Row],[CalCashImpact]])
)</f>
        <v>10900</v>
      </c>
      <c r="N1803" s="161">
        <f>IF(VLOOKUP(Transactions[[#This Row],[Symbol]],Symbols[],COLUMN(Symbols[Currency])-COLUMN(Symbols[])+1,FALSE)=
       VLOOKUP(Transactions[[#This Row],[Account]],Accounts[],COLUMN(Accounts[Currency])-COLUMN(Accounts[])+1,FALSE),
     Transactions[[#This Row],[OrigCashImpact]],
     0
)</f>
        <v>10900</v>
      </c>
      <c r="O180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362354.00000000023</v>
      </c>
      <c r="P180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0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100000</v>
      </c>
      <c r="R1803" s="41">
        <f>ROW()</f>
        <v>1803</v>
      </c>
      <c r="S180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0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268789.56443914084</v>
      </c>
      <c r="U180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100000</v>
      </c>
      <c r="V1803" s="166">
        <f>IF(INDEX(TransTypes[],Transactions[[#This Row],[TTR]],TT_COL_GLFlag)=1,Transactions[[#This Row],[CalCashImpact]]+Transactions[[#This Row],[CostImpact]],0)</f>
        <v>0</v>
      </c>
      <c r="W1803" s="167">
        <f>Transactions[[#This Row],[Amount]]*INDEX(TransTypes[],Transactions[[#This Row],[TTR]],TT_COL_AmntSign)</f>
        <v>10900</v>
      </c>
      <c r="X1803" s="167">
        <f>IF(INDEX(TransTypes[],Transactions[[#This Row],[TTR]],TT_COL_LONGORSHORT)="S",
      IF( OR(INDEX(TransTypes[],Transactions[[#This Row],[TTR]],TT_COL_GLFlag)=1, INDEX(TransTypes[], Transactions[[#This Row],[TTR]], TT_COL_ShareTransferFlag)=1),
            Transactions[[#This Row],[CostImpact]]*-1,
            Transactions[[#This Row],[CalCashImpact]]
      ),
     0
)</f>
        <v>0</v>
      </c>
      <c r="Y1803" s="168" t="str">
        <f>VLOOKUP(Transactions[[#This Row],[Symbol]],Symbols[], COLUMN(Symbols[Currency])-COLUMN(Symbols[])+1,FALSE)</f>
        <v>CNY</v>
      </c>
    </row>
    <row r="1804" spans="1:25">
      <c r="A1804" s="155" t="s">
        <v>82</v>
      </c>
      <c r="B1804" s="156">
        <v>43131</v>
      </c>
      <c r="C1804" s="155" t="s">
        <v>113</v>
      </c>
      <c r="D1804" s="155"/>
      <c r="E1804" s="155" t="s">
        <v>493</v>
      </c>
      <c r="F1804" s="157">
        <v>2000</v>
      </c>
      <c r="G1804" s="158">
        <v>53.15</v>
      </c>
      <c r="H1804" s="157">
        <v>0</v>
      </c>
      <c r="I1804" s="157"/>
      <c r="J1804" s="159">
        <v>106300</v>
      </c>
      <c r="K1804" s="6" t="s">
        <v>641</v>
      </c>
      <c r="L1804" s="20">
        <f>IF(ISNA(MATCH(Transactions[[#This Row],[TransType]],TransTypes[TransType],0)),1,MATCH(Transactions[[#This Row],[TransType]],TransTypes[TransType],0))</f>
        <v>2</v>
      </c>
      <c r="M1804" s="160">
        <f>IF( AND( INDEX(TransTypes[],Transactions[[#This Row],[TTR]],TT_COL_GLFlag)=1, INDEX(TransTypes[],Transactions[[#This Row],[TTR]],TT_COL_LONGORSHORT)="S" ),
      Transactions[[#This Row],[PL]],
      IF(INDEX(TransTypes[],Transactions[[#This Row],[TTR]],TT_COL_LONGORSHORT)="S",0,Transactions[[#This Row],[CalCashImpact]])
)</f>
        <v>-106300</v>
      </c>
      <c r="N1804" s="161">
        <f>IF(VLOOKUP(Transactions[[#This Row],[Symbol]],Symbols[],COLUMN(Symbols[Currency])-COLUMN(Symbols[])+1,FALSE)=
       VLOOKUP(Transactions[[#This Row],[Account]],Accounts[],COLUMN(Accounts[Currency])-COLUMN(Accounts[])+1,FALSE),
     Transactions[[#This Row],[OrigCashImpact]],
     0
)</f>
        <v>-106300</v>
      </c>
      <c r="O180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256054.00000000023</v>
      </c>
      <c r="P180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80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804" s="41">
        <f>ROW()</f>
        <v>1804</v>
      </c>
      <c r="S180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106300</v>
      </c>
      <c r="T180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106300</v>
      </c>
      <c r="U180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804" s="166">
        <f>IF(INDEX(TransTypes[],Transactions[[#This Row],[TTR]],TT_COL_GLFlag)=1,Transactions[[#This Row],[CalCashImpact]]+Transactions[[#This Row],[CostImpact]],0)</f>
        <v>0</v>
      </c>
      <c r="W1804" s="167">
        <f>Transactions[[#This Row],[Amount]]*INDEX(TransTypes[],Transactions[[#This Row],[TTR]],TT_COL_AmntSign)</f>
        <v>-106300</v>
      </c>
      <c r="X1804" s="167">
        <f>IF(INDEX(TransTypes[],Transactions[[#This Row],[TTR]],TT_COL_LONGORSHORT)="S",
      IF( OR(INDEX(TransTypes[],Transactions[[#This Row],[TTR]],TT_COL_GLFlag)=1, INDEX(TransTypes[], Transactions[[#This Row],[TTR]], TT_COL_ShareTransferFlag)=1),
            Transactions[[#This Row],[CostImpact]]*-1,
            Transactions[[#This Row],[CalCashImpact]]
      ),
     0
)</f>
        <v>0</v>
      </c>
      <c r="Y1804" s="168" t="str">
        <f>VLOOKUP(Transactions[[#This Row],[Symbol]],Symbols[], COLUMN(Symbols[Currency])-COLUMN(Symbols[])+1,FALSE)</f>
        <v>CNY</v>
      </c>
    </row>
    <row r="1805" spans="1:25">
      <c r="A1805" s="155" t="s">
        <v>82</v>
      </c>
      <c r="B1805" s="156">
        <v>43131</v>
      </c>
      <c r="C1805" s="155" t="s">
        <v>113</v>
      </c>
      <c r="D1805" s="155"/>
      <c r="E1805" s="155" t="s">
        <v>482</v>
      </c>
      <c r="F1805" s="157">
        <v>2000</v>
      </c>
      <c r="G1805" s="158">
        <v>55.42</v>
      </c>
      <c r="H1805" s="157">
        <v>44.34</v>
      </c>
      <c r="I1805" s="157"/>
      <c r="J1805" s="159">
        <v>110884.34</v>
      </c>
      <c r="K1805" s="6" t="s">
        <v>641</v>
      </c>
      <c r="L1805" s="20">
        <f>IF(ISNA(MATCH(Transactions[[#This Row],[TransType]],TransTypes[TransType],0)),1,MATCH(Transactions[[#This Row],[TransType]],TransTypes[TransType],0))</f>
        <v>2</v>
      </c>
      <c r="M1805" s="160">
        <f>IF( AND( INDEX(TransTypes[],Transactions[[#This Row],[TTR]],TT_COL_GLFlag)=1, INDEX(TransTypes[],Transactions[[#This Row],[TTR]],TT_COL_LONGORSHORT)="S" ),
      Transactions[[#This Row],[PL]],
      IF(INDEX(TransTypes[],Transactions[[#This Row],[TTR]],TT_COL_LONGORSHORT)="S",0,Transactions[[#This Row],[CalCashImpact]])
)</f>
        <v>-110884.34</v>
      </c>
      <c r="N1805" s="161">
        <f>IF(VLOOKUP(Transactions[[#This Row],[Symbol]],Symbols[],COLUMN(Symbols[Currency])-COLUMN(Symbols[])+1,FALSE)=
       VLOOKUP(Transactions[[#This Row],[Account]],Accounts[],COLUMN(Accounts[Currency])-COLUMN(Accounts[])+1,FALSE),
     Transactions[[#This Row],[OrigCashImpact]],
     0
)</f>
        <v>-110884.34</v>
      </c>
      <c r="O180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145169.66000000024</v>
      </c>
      <c r="P180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80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805" s="41">
        <f>ROW()</f>
        <v>1805</v>
      </c>
      <c r="S180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110884.34</v>
      </c>
      <c r="T180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302255.10749999998</v>
      </c>
      <c r="U180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805" s="166">
        <f>IF(INDEX(TransTypes[],Transactions[[#This Row],[TTR]],TT_COL_GLFlag)=1,Transactions[[#This Row],[CalCashImpact]]+Transactions[[#This Row],[CostImpact]],0)</f>
        <v>0</v>
      </c>
      <c r="W1805" s="167">
        <f>Transactions[[#This Row],[Amount]]*INDEX(TransTypes[],Transactions[[#This Row],[TTR]],TT_COL_AmntSign)</f>
        <v>-110884.34</v>
      </c>
      <c r="X1805" s="167">
        <f>IF(INDEX(TransTypes[],Transactions[[#This Row],[TTR]],TT_COL_LONGORSHORT)="S",
      IF( OR(INDEX(TransTypes[],Transactions[[#This Row],[TTR]],TT_COL_GLFlag)=1, INDEX(TransTypes[], Transactions[[#This Row],[TTR]], TT_COL_ShareTransferFlag)=1),
            Transactions[[#This Row],[CostImpact]]*-1,
            Transactions[[#This Row],[CalCashImpact]]
      ),
     0
)</f>
        <v>0</v>
      </c>
      <c r="Y1805" s="168" t="str">
        <f>VLOOKUP(Transactions[[#This Row],[Symbol]],Symbols[], COLUMN(Symbols[Currency])-COLUMN(Symbols[])+1,FALSE)</f>
        <v>CNY</v>
      </c>
    </row>
    <row r="1806" spans="1:25">
      <c r="A1806" s="155" t="s">
        <v>82</v>
      </c>
      <c r="B1806" s="156">
        <v>43139</v>
      </c>
      <c r="C1806" s="155" t="s">
        <v>115</v>
      </c>
      <c r="D1806" s="155"/>
      <c r="E1806" s="155" t="s">
        <v>471</v>
      </c>
      <c r="F1806" s="157">
        <v>3000</v>
      </c>
      <c r="G1806" s="158">
        <v>20.029</v>
      </c>
      <c r="H1806" s="157">
        <v>84.11</v>
      </c>
      <c r="I1806" s="157"/>
      <c r="J1806" s="159">
        <v>60002.89</v>
      </c>
      <c r="K1806" s="6" t="s">
        <v>641</v>
      </c>
      <c r="L1806" s="20">
        <f>IF(ISNA(MATCH(Transactions[[#This Row],[TransType]],TransTypes[TransType],0)),1,MATCH(Transactions[[#This Row],[TransType]],TransTypes[TransType],0))</f>
        <v>3</v>
      </c>
      <c r="M1806" s="160">
        <f>IF( AND( INDEX(TransTypes[],Transactions[[#This Row],[TTR]],TT_COL_GLFlag)=1, INDEX(TransTypes[],Transactions[[#This Row],[TTR]],TT_COL_LONGORSHORT)="S" ),
      Transactions[[#This Row],[PL]],
      IF(INDEX(TransTypes[],Transactions[[#This Row],[TTR]],TT_COL_LONGORSHORT)="S",0,Transactions[[#This Row],[CalCashImpact]])
)</f>
        <v>60002.89</v>
      </c>
      <c r="N1806" s="161">
        <f>IF(VLOOKUP(Transactions[[#This Row],[Symbol]],Symbols[],COLUMN(Symbols[Currency])-COLUMN(Symbols[])+1,FALSE)=
       VLOOKUP(Transactions[[#This Row],[Account]],Accounts[],COLUMN(Accounts[Currency])-COLUMN(Accounts[])+1,FALSE),
     Transactions[[#This Row],[OrigCashImpact]],
     0
)</f>
        <v>60002.89</v>
      </c>
      <c r="O180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205172.55000000022</v>
      </c>
      <c r="P180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-3000</v>
      </c>
      <c r="Q180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806" s="41">
        <f>ROW()</f>
        <v>1806</v>
      </c>
      <c r="S180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-63101.896666666675</v>
      </c>
      <c r="T180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126203.79333333333</v>
      </c>
      <c r="U180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9000</v>
      </c>
      <c r="V1806" s="166">
        <f>IF(INDEX(TransTypes[],Transactions[[#This Row],[TTR]],TT_COL_GLFlag)=1,Transactions[[#This Row],[CalCashImpact]]+Transactions[[#This Row],[CostImpact]],0)</f>
        <v>-3099.0066666666753</v>
      </c>
      <c r="W1806" s="167">
        <f>Transactions[[#This Row],[Amount]]*INDEX(TransTypes[],Transactions[[#This Row],[TTR]],TT_COL_AmntSign)</f>
        <v>60002.89</v>
      </c>
      <c r="X1806" s="167">
        <f>IF(INDEX(TransTypes[],Transactions[[#This Row],[TTR]],TT_COL_LONGORSHORT)="S",
      IF( OR(INDEX(TransTypes[],Transactions[[#This Row],[TTR]],TT_COL_GLFlag)=1, INDEX(TransTypes[], Transactions[[#This Row],[TTR]], TT_COL_ShareTransferFlag)=1),
            Transactions[[#This Row],[CostImpact]]*-1,
            Transactions[[#This Row],[CalCashImpact]]
      ),
     0
)</f>
        <v>0</v>
      </c>
      <c r="Y1806" s="168" t="str">
        <f>VLOOKUP(Transactions[[#This Row],[Symbol]],Symbols[], COLUMN(Symbols[Currency])-COLUMN(Symbols[])+1,FALSE)</f>
        <v>CNY</v>
      </c>
    </row>
    <row r="1807" spans="1:25">
      <c r="A1807" s="155" t="s">
        <v>82</v>
      </c>
      <c r="B1807" s="156">
        <v>43139</v>
      </c>
      <c r="C1807" s="155" t="s">
        <v>115</v>
      </c>
      <c r="D1807" s="155"/>
      <c r="E1807" s="155" t="s">
        <v>477</v>
      </c>
      <c r="F1807" s="157">
        <v>4000</v>
      </c>
      <c r="G1807" s="158">
        <v>22.927</v>
      </c>
      <c r="H1807" s="157">
        <v>128.38999999999999</v>
      </c>
      <c r="I1807" s="157"/>
      <c r="J1807" s="159">
        <v>91579.61</v>
      </c>
      <c r="K1807" s="6" t="s">
        <v>641</v>
      </c>
      <c r="L1807" s="20">
        <f>IF(ISNA(MATCH(Transactions[[#This Row],[TransType]],TransTypes[TransType],0)),1,MATCH(Transactions[[#This Row],[TransType]],TransTypes[TransType],0))</f>
        <v>3</v>
      </c>
      <c r="M1807" s="160">
        <f>IF( AND( INDEX(TransTypes[],Transactions[[#This Row],[TTR]],TT_COL_GLFlag)=1, INDEX(TransTypes[],Transactions[[#This Row],[TTR]],TT_COL_LONGORSHORT)="S" ),
      Transactions[[#This Row],[PL]],
      IF(INDEX(TransTypes[],Transactions[[#This Row],[TTR]],TT_COL_LONGORSHORT)="S",0,Transactions[[#This Row],[CalCashImpact]])
)</f>
        <v>91579.61</v>
      </c>
      <c r="N1807" s="161">
        <f>IF(VLOOKUP(Transactions[[#This Row],[Symbol]],Symbols[],COLUMN(Symbols[Currency])-COLUMN(Symbols[])+1,FALSE)=
       VLOOKUP(Transactions[[#This Row],[Account]],Accounts[],COLUMN(Accounts[Currency])-COLUMN(Accounts[])+1,FALSE),
     Transactions[[#This Row],[OrigCashImpact]],
     0
)</f>
        <v>91579.61</v>
      </c>
      <c r="O180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296752.16000000027</v>
      </c>
      <c r="P180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80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8000</v>
      </c>
      <c r="R1807" s="41">
        <f>ROW()</f>
        <v>1807</v>
      </c>
      <c r="S180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-93530.877407407403</v>
      </c>
      <c r="T180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187061.75481481483</v>
      </c>
      <c r="U180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12000</v>
      </c>
      <c r="V1807" s="166">
        <f>IF(INDEX(TransTypes[],Transactions[[#This Row],[TTR]],TT_COL_GLFlag)=1,Transactions[[#This Row],[CalCashImpact]]+Transactions[[#This Row],[CostImpact]],0)</f>
        <v>-1951.2674074074021</v>
      </c>
      <c r="W1807" s="167">
        <f>Transactions[[#This Row],[Amount]]*INDEX(TransTypes[],Transactions[[#This Row],[TTR]],TT_COL_AmntSign)</f>
        <v>91579.61</v>
      </c>
      <c r="X1807" s="167">
        <f>IF(INDEX(TransTypes[],Transactions[[#This Row],[TTR]],TT_COL_LONGORSHORT)="S",
      IF( OR(INDEX(TransTypes[],Transactions[[#This Row],[TTR]],TT_COL_GLFlag)=1, INDEX(TransTypes[], Transactions[[#This Row],[TTR]], TT_COL_ShareTransferFlag)=1),
            Transactions[[#This Row],[CostImpact]]*-1,
            Transactions[[#This Row],[CalCashImpact]]
      ),
     0
)</f>
        <v>0</v>
      </c>
      <c r="Y1807" s="168" t="str">
        <f>VLOOKUP(Transactions[[#This Row],[Symbol]],Symbols[], COLUMN(Symbols[Currency])-COLUMN(Symbols[])+1,FALSE)</f>
        <v>CNY</v>
      </c>
    </row>
    <row r="1808" spans="1:25">
      <c r="A1808" s="155" t="s">
        <v>82</v>
      </c>
      <c r="B1808" s="156">
        <v>43139</v>
      </c>
      <c r="C1808" s="155" t="s">
        <v>113</v>
      </c>
      <c r="D1808" s="155"/>
      <c r="E1808" s="155" t="s">
        <v>498</v>
      </c>
      <c r="F1808" s="157">
        <v>4000</v>
      </c>
      <c r="G1808" s="158">
        <v>100.58</v>
      </c>
      <c r="H1808" s="157">
        <v>0</v>
      </c>
      <c r="I1808" s="157"/>
      <c r="J1808" s="159">
        <v>402320</v>
      </c>
      <c r="K1808" s="6" t="s">
        <v>641</v>
      </c>
      <c r="L1808" s="20">
        <f>IF(ISNA(MATCH(Transactions[[#This Row],[TransType]],TransTypes[TransType],0)),1,MATCH(Transactions[[#This Row],[TransType]],TransTypes[TransType],0))</f>
        <v>2</v>
      </c>
      <c r="M1808" s="160">
        <f>IF( AND( INDEX(TransTypes[],Transactions[[#This Row],[TTR]],TT_COL_GLFlag)=1, INDEX(TransTypes[],Transactions[[#This Row],[TTR]],TT_COL_LONGORSHORT)="S" ),
      Transactions[[#This Row],[PL]],
      IF(INDEX(TransTypes[],Transactions[[#This Row],[TTR]],TT_COL_LONGORSHORT)="S",0,Transactions[[#This Row],[CalCashImpact]])
)</f>
        <v>-402320</v>
      </c>
      <c r="N1808" s="161">
        <f>IF(VLOOKUP(Transactions[[#This Row],[Symbol]],Symbols[],COLUMN(Symbols[Currency])-COLUMN(Symbols[])+1,FALSE)=
       VLOOKUP(Transactions[[#This Row],[Account]],Accounts[],COLUMN(Accounts[Currency])-COLUMN(Accounts[])+1,FALSE),
     Transactions[[#This Row],[OrigCashImpact]],
     0
)</f>
        <v>-402320</v>
      </c>
      <c r="O180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-105567.83999999976</v>
      </c>
      <c r="P180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80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808" s="41">
        <f>ROW()</f>
        <v>1808</v>
      </c>
      <c r="S180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402320</v>
      </c>
      <c r="T180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402320</v>
      </c>
      <c r="U180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808" s="166">
        <f>IF(INDEX(TransTypes[],Transactions[[#This Row],[TTR]],TT_COL_GLFlag)=1,Transactions[[#This Row],[CalCashImpact]]+Transactions[[#This Row],[CostImpact]],0)</f>
        <v>0</v>
      </c>
      <c r="W1808" s="167">
        <f>Transactions[[#This Row],[Amount]]*INDEX(TransTypes[],Transactions[[#This Row],[TTR]],TT_COL_AmntSign)</f>
        <v>-402320</v>
      </c>
      <c r="X1808" s="167">
        <f>IF(INDEX(TransTypes[],Transactions[[#This Row],[TTR]],TT_COL_LONGORSHORT)="S",
      IF( OR(INDEX(TransTypes[],Transactions[[#This Row],[TTR]],TT_COL_GLFlag)=1, INDEX(TransTypes[], Transactions[[#This Row],[TTR]], TT_COL_ShareTransferFlag)=1),
            Transactions[[#This Row],[CostImpact]]*-1,
            Transactions[[#This Row],[CalCashImpact]]
      ),
     0
)</f>
        <v>0</v>
      </c>
      <c r="Y1808" s="168" t="str">
        <f>VLOOKUP(Transactions[[#This Row],[Symbol]],Symbols[], COLUMN(Symbols[Currency])-COLUMN(Symbols[])+1,FALSE)</f>
        <v>CNY</v>
      </c>
    </row>
    <row r="1809" spans="1:25">
      <c r="A1809" s="155" t="s">
        <v>82</v>
      </c>
      <c r="B1809" s="156">
        <v>43139</v>
      </c>
      <c r="C1809" s="155" t="s">
        <v>115</v>
      </c>
      <c r="D1809" s="155"/>
      <c r="E1809" s="155" t="s">
        <v>485</v>
      </c>
      <c r="F1809" s="157">
        <v>4000</v>
      </c>
      <c r="G1809" s="158">
        <v>15.335000000000001</v>
      </c>
      <c r="H1809" s="157">
        <v>87.09</v>
      </c>
      <c r="I1809" s="157"/>
      <c r="J1809" s="159">
        <v>61252.91</v>
      </c>
      <c r="K1809" s="6" t="s">
        <v>641</v>
      </c>
      <c r="L1809" s="20">
        <f>IF(ISNA(MATCH(Transactions[[#This Row],[TransType]],TransTypes[TransType],0)),1,MATCH(Transactions[[#This Row],[TransType]],TransTypes[TransType],0))</f>
        <v>3</v>
      </c>
      <c r="M1809" s="160">
        <f>IF( AND( INDEX(TransTypes[],Transactions[[#This Row],[TTR]],TT_COL_GLFlag)=1, INDEX(TransTypes[],Transactions[[#This Row],[TTR]],TT_COL_LONGORSHORT)="S" ),
      Transactions[[#This Row],[PL]],
      IF(INDEX(TransTypes[],Transactions[[#This Row],[TTR]],TT_COL_LONGORSHORT)="S",0,Transactions[[#This Row],[CalCashImpact]])
)</f>
        <v>61252.91</v>
      </c>
      <c r="N1809" s="161">
        <f>IF(VLOOKUP(Transactions[[#This Row],[Symbol]],Symbols[],COLUMN(Symbols[Currency])-COLUMN(Symbols[])+1,FALSE)=
       VLOOKUP(Transactions[[#This Row],[Account]],Accounts[],COLUMN(Accounts[Currency])-COLUMN(Accounts[])+1,FALSE),
     Transactions[[#This Row],[OrigCashImpact]],
     0
)</f>
        <v>61252.91</v>
      </c>
      <c r="O180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-44314.92999999976</v>
      </c>
      <c r="P180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80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12000</v>
      </c>
      <c r="R1809" s="41">
        <f>ROW()</f>
        <v>1809</v>
      </c>
      <c r="S180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-54180.927272727269</v>
      </c>
      <c r="T180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162542.7818181818</v>
      </c>
      <c r="U180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16000</v>
      </c>
      <c r="V1809" s="166">
        <f>IF(INDEX(TransTypes[],Transactions[[#This Row],[TTR]],TT_COL_GLFlag)=1,Transactions[[#This Row],[CalCashImpact]]+Transactions[[#This Row],[CostImpact]],0)</f>
        <v>7071.9827272727343</v>
      </c>
      <c r="W1809" s="167">
        <f>Transactions[[#This Row],[Amount]]*INDEX(TransTypes[],Transactions[[#This Row],[TTR]],TT_COL_AmntSign)</f>
        <v>61252.91</v>
      </c>
      <c r="X1809" s="167">
        <f>IF(INDEX(TransTypes[],Transactions[[#This Row],[TTR]],TT_COL_LONGORSHORT)="S",
      IF( OR(INDEX(TransTypes[],Transactions[[#This Row],[TTR]],TT_COL_GLFlag)=1, INDEX(TransTypes[], Transactions[[#This Row],[TTR]], TT_COL_ShareTransferFlag)=1),
            Transactions[[#This Row],[CostImpact]]*-1,
            Transactions[[#This Row],[CalCashImpact]]
      ),
     0
)</f>
        <v>0</v>
      </c>
      <c r="Y1809" s="168" t="str">
        <f>VLOOKUP(Transactions[[#This Row],[Symbol]],Symbols[], COLUMN(Symbols[Currency])-COLUMN(Symbols[])+1,FALSE)</f>
        <v>CNY</v>
      </c>
    </row>
    <row r="1810" spans="1:25">
      <c r="A1810" s="155" t="s">
        <v>82</v>
      </c>
      <c r="B1810" s="156">
        <v>43139</v>
      </c>
      <c r="C1810" s="155" t="s">
        <v>115</v>
      </c>
      <c r="D1810" s="155"/>
      <c r="E1810" s="155" t="s">
        <v>463</v>
      </c>
      <c r="F1810" s="157">
        <v>2000</v>
      </c>
      <c r="G1810" s="158">
        <v>31.29</v>
      </c>
      <c r="H1810" s="157">
        <v>88.86</v>
      </c>
      <c r="I1810" s="157"/>
      <c r="J1810" s="159">
        <v>62491.14</v>
      </c>
      <c r="K1810" s="6" t="s">
        <v>641</v>
      </c>
      <c r="L1810" s="20">
        <f>IF(ISNA(MATCH(Transactions[[#This Row],[TransType]],TransTypes[TransType],0)),1,MATCH(Transactions[[#This Row],[TransType]],TransTypes[TransType],0))</f>
        <v>3</v>
      </c>
      <c r="M1810" s="160">
        <f>IF( AND( INDEX(TransTypes[],Transactions[[#This Row],[TTR]],TT_COL_GLFlag)=1, INDEX(TransTypes[],Transactions[[#This Row],[TTR]],TT_COL_LONGORSHORT)="S" ),
      Transactions[[#This Row],[PL]],
      IF(INDEX(TransTypes[],Transactions[[#This Row],[TTR]],TT_COL_LONGORSHORT)="S",0,Transactions[[#This Row],[CalCashImpact]])
)</f>
        <v>62491.14</v>
      </c>
      <c r="N1810" s="161">
        <f>IF(VLOOKUP(Transactions[[#This Row],[Symbol]],Symbols[],COLUMN(Symbols[Currency])-COLUMN(Symbols[])+1,FALSE)=
       VLOOKUP(Transactions[[#This Row],[Account]],Accounts[],COLUMN(Accounts[Currency])-COLUMN(Accounts[])+1,FALSE),
     Transactions[[#This Row],[OrigCashImpact]],
     0
)</f>
        <v>62491.14</v>
      </c>
      <c r="O181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18176.210000000239</v>
      </c>
      <c r="P181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81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810" s="41">
        <f>ROW()</f>
        <v>1810</v>
      </c>
      <c r="S181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-50481.19</v>
      </c>
      <c r="T181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50481.19</v>
      </c>
      <c r="U181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810" s="166">
        <f>IF(INDEX(TransTypes[],Transactions[[#This Row],[TTR]],TT_COL_GLFlag)=1,Transactions[[#This Row],[CalCashImpact]]+Transactions[[#This Row],[CostImpact]],0)</f>
        <v>12009.949999999997</v>
      </c>
      <c r="W1810" s="167">
        <f>Transactions[[#This Row],[Amount]]*INDEX(TransTypes[],Transactions[[#This Row],[TTR]],TT_COL_AmntSign)</f>
        <v>62491.14</v>
      </c>
      <c r="X1810" s="167">
        <f>IF(INDEX(TransTypes[],Transactions[[#This Row],[TTR]],TT_COL_LONGORSHORT)="S",
      IF( OR(INDEX(TransTypes[],Transactions[[#This Row],[TTR]],TT_COL_GLFlag)=1, INDEX(TransTypes[], Transactions[[#This Row],[TTR]], TT_COL_ShareTransferFlag)=1),
            Transactions[[#This Row],[CostImpact]]*-1,
            Transactions[[#This Row],[CalCashImpact]]
      ),
     0
)</f>
        <v>0</v>
      </c>
      <c r="Y1810" s="168" t="str">
        <f>VLOOKUP(Transactions[[#This Row],[Symbol]],Symbols[], COLUMN(Symbols[Currency])-COLUMN(Symbols[])+1,FALSE)</f>
        <v>CNY</v>
      </c>
    </row>
    <row r="1811" spans="1:25">
      <c r="A1811" s="155" t="s">
        <v>82</v>
      </c>
      <c r="B1811" s="156">
        <v>43139</v>
      </c>
      <c r="C1811" s="155" t="s">
        <v>115</v>
      </c>
      <c r="D1811" s="155"/>
      <c r="E1811" s="155" t="s">
        <v>646</v>
      </c>
      <c r="F1811" s="157">
        <v>500</v>
      </c>
      <c r="G1811" s="158">
        <v>421</v>
      </c>
      <c r="H1811" s="157">
        <v>863.43</v>
      </c>
      <c r="I1811" s="157"/>
      <c r="J1811" s="159">
        <v>209636.57</v>
      </c>
      <c r="K1811" s="6" t="s">
        <v>641</v>
      </c>
      <c r="L1811" s="20">
        <f>IF(ISNA(MATCH(Transactions[[#This Row],[TransType]],TransTypes[TransType],0)),1,MATCH(Transactions[[#This Row],[TransType]],TransTypes[TransType],0))</f>
        <v>3</v>
      </c>
      <c r="M1811" s="160">
        <f>IF( AND( INDEX(TransTypes[],Transactions[[#This Row],[TTR]],TT_COL_GLFlag)=1, INDEX(TransTypes[],Transactions[[#This Row],[TTR]],TT_COL_LONGORSHORT)="S" ),
      Transactions[[#This Row],[PL]],
      IF(INDEX(TransTypes[],Transactions[[#This Row],[TTR]],TT_COL_LONGORSHORT)="S",0,Transactions[[#This Row],[CalCashImpact]])
)</f>
        <v>209636.57</v>
      </c>
      <c r="N1811" s="161">
        <f>IF(VLOOKUP(Transactions[[#This Row],[Symbol]],Symbols[],COLUMN(Symbols[Currency])-COLUMN(Symbols[])+1,FALSE)=
       VLOOKUP(Transactions[[#This Row],[Account]],Accounts[],COLUMN(Accounts[Currency])-COLUMN(Accounts[])+1,FALSE),
     Transactions[[#This Row],[OrigCashImpact]],
     0
)</f>
        <v>0</v>
      </c>
      <c r="O181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18176.210000000239</v>
      </c>
      <c r="P181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81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7000</v>
      </c>
      <c r="R1811" s="41">
        <f>ROW()</f>
        <v>1811</v>
      </c>
      <c r="S181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-107396.81576923077</v>
      </c>
      <c r="T181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1503555.4207692309</v>
      </c>
      <c r="U181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7500</v>
      </c>
      <c r="V1811" s="166">
        <f>IF(INDEX(TransTypes[],Transactions[[#This Row],[TTR]],TT_COL_GLFlag)=1,Transactions[[#This Row],[CalCashImpact]]+Transactions[[#This Row],[CostImpact]],0)</f>
        <v>102239.75423076923</v>
      </c>
      <c r="W1811" s="167">
        <f>Transactions[[#This Row],[Amount]]*INDEX(TransTypes[],Transactions[[#This Row],[TTR]],TT_COL_AmntSign)</f>
        <v>209636.57</v>
      </c>
      <c r="X1811" s="167">
        <f>IF(INDEX(TransTypes[],Transactions[[#This Row],[TTR]],TT_COL_LONGORSHORT)="S",
      IF( OR(INDEX(TransTypes[],Transactions[[#This Row],[TTR]],TT_COL_GLFlag)=1, INDEX(TransTypes[], Transactions[[#This Row],[TTR]], TT_COL_ShareTransferFlag)=1),
            Transactions[[#This Row],[CostImpact]]*-1,
            Transactions[[#This Row],[CalCashImpact]]
      ),
     0
)</f>
        <v>0</v>
      </c>
      <c r="Y1811" s="168" t="str">
        <f>VLOOKUP(Transactions[[#This Row],[Symbol]],Symbols[], COLUMN(Symbols[Currency])-COLUMN(Symbols[])+1,FALSE)</f>
        <v>HKD</v>
      </c>
    </row>
    <row r="1812" spans="1:25">
      <c r="A1812" s="155" t="s">
        <v>82</v>
      </c>
      <c r="B1812" s="156">
        <v>43139</v>
      </c>
      <c r="C1812" s="155" t="s">
        <v>156</v>
      </c>
      <c r="D1812" s="155"/>
      <c r="E1812" s="155" t="s">
        <v>210</v>
      </c>
      <c r="F1812" s="157">
        <v>168034.2</v>
      </c>
      <c r="G1812" s="158">
        <f>Transactions[[#This Row],[Amount]]/Transactions[[#This Row],[Qty]]</f>
        <v>1.2475827539869859</v>
      </c>
      <c r="H1812" s="157"/>
      <c r="I1812" s="157"/>
      <c r="J1812" s="159">
        <v>209636.57</v>
      </c>
      <c r="K1812" s="6" t="s">
        <v>641</v>
      </c>
      <c r="L1812" s="20">
        <f>IF(ISNA(MATCH(Transactions[[#This Row],[TransType]],TransTypes[TransType],0)),1,MATCH(Transactions[[#This Row],[TransType]],TransTypes[TransType],0))</f>
        <v>17</v>
      </c>
      <c r="M1812" s="160">
        <f>IF( AND( INDEX(TransTypes[],Transactions[[#This Row],[TTR]],TT_COL_GLFlag)=1, INDEX(TransTypes[],Transactions[[#This Row],[TTR]],TT_COL_LONGORSHORT)="S" ),
      Transactions[[#This Row],[PL]],
      IF(INDEX(TransTypes[],Transactions[[#This Row],[TTR]],TT_COL_LONGORSHORT)="S",0,Transactions[[#This Row],[CalCashImpact]])
)</f>
        <v>-209636.57</v>
      </c>
      <c r="N1812" s="161">
        <f>IF(VLOOKUP(Transactions[[#This Row],[Symbol]],Symbols[],COLUMN(Symbols[Currency])-COLUMN(Symbols[])+1,FALSE)=
       VLOOKUP(Transactions[[#This Row],[Account]],Accounts[],COLUMN(Accounts[Currency])-COLUMN(Accounts[])+1,FALSE),
     Transactions[[#This Row],[OrigCashImpact]],
     0
)</f>
        <v>0</v>
      </c>
      <c r="O181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18176.210000000239</v>
      </c>
      <c r="P181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1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12" s="41">
        <f>ROW()</f>
        <v>1812</v>
      </c>
      <c r="S181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1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1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12" s="166">
        <f>IF(INDEX(TransTypes[],Transactions[[#This Row],[TTR]],TT_COL_GLFlag)=1,Transactions[[#This Row],[CalCashImpact]]+Transactions[[#This Row],[CostImpact]],0)</f>
        <v>0</v>
      </c>
      <c r="W1812" s="167">
        <f>Transactions[[#This Row],[Amount]]*INDEX(TransTypes[],Transactions[[#This Row],[TTR]],TT_COL_AmntSign)</f>
        <v>-209636.57</v>
      </c>
      <c r="X1812" s="167">
        <f>IF(INDEX(TransTypes[],Transactions[[#This Row],[TTR]],TT_COL_LONGORSHORT)="S",
      IF( OR(INDEX(TransTypes[],Transactions[[#This Row],[TTR]],TT_COL_GLFlag)=1, INDEX(TransTypes[], Transactions[[#This Row],[TTR]], TT_COL_ShareTransferFlag)=1),
            Transactions[[#This Row],[CostImpact]]*-1,
            Transactions[[#This Row],[CalCashImpact]]
      ),
     0
)</f>
        <v>0</v>
      </c>
      <c r="Y1812" s="168" t="str">
        <f>VLOOKUP(Transactions[[#This Row],[Symbol]],Symbols[], COLUMN(Symbols[Currency])-COLUMN(Symbols[])+1,FALSE)</f>
        <v>HKD</v>
      </c>
    </row>
    <row r="1813" spans="1:25">
      <c r="A1813" s="155" t="s">
        <v>82</v>
      </c>
      <c r="B1813" s="156">
        <v>43139</v>
      </c>
      <c r="C1813" s="155" t="s">
        <v>239</v>
      </c>
      <c r="D1813" s="155"/>
      <c r="E1813" s="155" t="s">
        <v>211</v>
      </c>
      <c r="F1813" s="157">
        <v>168034.2</v>
      </c>
      <c r="G1813" s="158">
        <v>1</v>
      </c>
      <c r="H1813" s="157"/>
      <c r="I1813" s="157"/>
      <c r="J1813" s="159">
        <v>168034.2</v>
      </c>
      <c r="K1813" s="6" t="s">
        <v>641</v>
      </c>
      <c r="L1813" s="20">
        <f>IF(ISNA(MATCH(Transactions[[#This Row],[TransType]],TransTypes[TransType],0)),1,MATCH(Transactions[[#This Row],[TransType]],TransTypes[TransType],0))</f>
        <v>18</v>
      </c>
      <c r="M1813" s="160">
        <f>IF( AND( INDEX(TransTypes[],Transactions[[#This Row],[TTR]],TT_COL_GLFlag)=1, INDEX(TransTypes[],Transactions[[#This Row],[TTR]],TT_COL_LONGORSHORT)="S" ),
      Transactions[[#This Row],[PL]],
      IF(INDEX(TransTypes[],Transactions[[#This Row],[TTR]],TT_COL_LONGORSHORT)="S",0,Transactions[[#This Row],[CalCashImpact]])
)</f>
        <v>168034.2</v>
      </c>
      <c r="N1813" s="161">
        <f>IF(VLOOKUP(Transactions[[#This Row],[Symbol]],Symbols[],COLUMN(Symbols[Currency])-COLUMN(Symbols[])+1,FALSE)=
       VLOOKUP(Transactions[[#This Row],[Account]],Accounts[],COLUMN(Accounts[Currency])-COLUMN(Accounts[])+1,FALSE),
     Transactions[[#This Row],[OrigCashImpact]],
     0
)</f>
        <v>168034.2</v>
      </c>
      <c r="O181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186210.41000000027</v>
      </c>
      <c r="P181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1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13" s="41">
        <f>ROW()</f>
        <v>1813</v>
      </c>
      <c r="S181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1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1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13" s="166">
        <f>IF(INDEX(TransTypes[],Transactions[[#This Row],[TTR]],TT_COL_GLFlag)=1,Transactions[[#This Row],[CalCashImpact]]+Transactions[[#This Row],[CostImpact]],0)</f>
        <v>0</v>
      </c>
      <c r="W1813" s="167">
        <f>Transactions[[#This Row],[Amount]]*INDEX(TransTypes[],Transactions[[#This Row],[TTR]],TT_COL_AmntSign)</f>
        <v>168034.2</v>
      </c>
      <c r="X1813" s="167">
        <f>IF(INDEX(TransTypes[],Transactions[[#This Row],[TTR]],TT_COL_LONGORSHORT)="S",
      IF( OR(INDEX(TransTypes[],Transactions[[#This Row],[TTR]],TT_COL_GLFlag)=1, INDEX(TransTypes[], Transactions[[#This Row],[TTR]], TT_COL_ShareTransferFlag)=1),
            Transactions[[#This Row],[CostImpact]]*-1,
            Transactions[[#This Row],[CalCashImpact]]
      ),
     0
)</f>
        <v>0</v>
      </c>
      <c r="Y1813" s="168" t="str">
        <f>VLOOKUP(Transactions[[#This Row],[Symbol]],Symbols[], COLUMN(Symbols[Currency])-COLUMN(Symbols[])+1,FALSE)</f>
        <v>CNY</v>
      </c>
    </row>
    <row r="1814" spans="1:25">
      <c r="A1814" s="155" t="s">
        <v>82</v>
      </c>
      <c r="B1814" s="156">
        <v>43140</v>
      </c>
      <c r="C1814" s="155" t="s">
        <v>115</v>
      </c>
      <c r="D1814" s="155"/>
      <c r="E1814" s="155" t="s">
        <v>477</v>
      </c>
      <c r="F1814" s="157">
        <v>4000</v>
      </c>
      <c r="G1814" s="158">
        <v>21.23</v>
      </c>
      <c r="H1814" s="157">
        <v>118.89</v>
      </c>
      <c r="I1814" s="157"/>
      <c r="J1814" s="159">
        <v>84801.11</v>
      </c>
      <c r="K1814" s="6" t="s">
        <v>641</v>
      </c>
      <c r="L1814" s="20">
        <f>IF(ISNA(MATCH(Transactions[[#This Row],[TransType]],TransTypes[TransType],0)),1,MATCH(Transactions[[#This Row],[TransType]],TransTypes[TransType],0))</f>
        <v>3</v>
      </c>
      <c r="M1814" s="160">
        <f>IF( AND( INDEX(TransTypes[],Transactions[[#This Row],[TTR]],TT_COL_GLFlag)=1, INDEX(TransTypes[],Transactions[[#This Row],[TTR]],TT_COL_LONGORSHORT)="S" ),
      Transactions[[#This Row],[PL]],
      IF(INDEX(TransTypes[],Transactions[[#This Row],[TTR]],TT_COL_LONGORSHORT)="S",0,Transactions[[#This Row],[CalCashImpact]])
)</f>
        <v>84801.11</v>
      </c>
      <c r="N1814" s="161">
        <f>IF(VLOOKUP(Transactions[[#This Row],[Symbol]],Symbols[],COLUMN(Symbols[Currency])-COLUMN(Symbols[])+1,FALSE)=
       VLOOKUP(Transactions[[#This Row],[Account]],Accounts[],COLUMN(Accounts[Currency])-COLUMN(Accounts[])+1,FALSE),
     Transactions[[#This Row],[OrigCashImpact]],
     0
)</f>
        <v>84801.11</v>
      </c>
      <c r="O1814"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271011.52000000019</v>
      </c>
      <c r="P1814"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814"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814" s="41">
        <f>ROW()</f>
        <v>1814</v>
      </c>
      <c r="S181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-93530.877407407417</v>
      </c>
      <c r="T181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93530.877407407417</v>
      </c>
      <c r="U1814"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8000</v>
      </c>
      <c r="V1814" s="166">
        <f>IF(INDEX(TransTypes[],Transactions[[#This Row],[TTR]],TT_COL_GLFlag)=1,Transactions[[#This Row],[CalCashImpact]]+Transactions[[#This Row],[CostImpact]],0)</f>
        <v>-8729.7674074074166</v>
      </c>
      <c r="W1814" s="167">
        <f>Transactions[[#This Row],[Amount]]*INDEX(TransTypes[],Transactions[[#This Row],[TTR]],TT_COL_AmntSign)</f>
        <v>84801.11</v>
      </c>
      <c r="X1814" s="167">
        <f>IF(INDEX(TransTypes[],Transactions[[#This Row],[TTR]],TT_COL_LONGORSHORT)="S",
      IF( OR(INDEX(TransTypes[],Transactions[[#This Row],[TTR]],TT_COL_GLFlag)=1, INDEX(TransTypes[], Transactions[[#This Row],[TTR]], TT_COL_ShareTransferFlag)=1),
            Transactions[[#This Row],[CostImpact]]*-1,
            Transactions[[#This Row],[CalCashImpact]]
      ),
     0
)</f>
        <v>0</v>
      </c>
      <c r="Y1814" s="168" t="str">
        <f>VLOOKUP(Transactions[[#This Row],[Symbol]],Symbols[], COLUMN(Symbols[Currency])-COLUMN(Symbols[])+1,FALSE)</f>
        <v>CNY</v>
      </c>
    </row>
    <row r="1815" spans="1:25">
      <c r="A1815" s="155" t="s">
        <v>82</v>
      </c>
      <c r="B1815" s="156">
        <v>43140</v>
      </c>
      <c r="C1815" s="155" t="s">
        <v>115</v>
      </c>
      <c r="D1815" s="155"/>
      <c r="E1815" s="155" t="s">
        <v>468</v>
      </c>
      <c r="F1815" s="157">
        <v>4000</v>
      </c>
      <c r="G1815" s="158">
        <v>63.814</v>
      </c>
      <c r="H1815" s="157">
        <v>362.46</v>
      </c>
      <c r="I1815" s="157"/>
      <c r="J1815" s="159">
        <v>254893.54</v>
      </c>
      <c r="K1815" s="6" t="s">
        <v>641</v>
      </c>
      <c r="L1815" s="20">
        <f>IF(ISNA(MATCH(Transactions[[#This Row],[TransType]],TransTypes[TransType],0)),1,MATCH(Transactions[[#This Row],[TransType]],TransTypes[TransType],0))</f>
        <v>3</v>
      </c>
      <c r="M1815" s="160">
        <f>IF( AND( INDEX(TransTypes[],Transactions[[#This Row],[TTR]],TT_COL_GLFlag)=1, INDEX(TransTypes[],Transactions[[#This Row],[TTR]],TT_COL_LONGORSHORT)="S" ),
      Transactions[[#This Row],[PL]],
      IF(INDEX(TransTypes[],Transactions[[#This Row],[TTR]],TT_COL_LONGORSHORT)="S",0,Transactions[[#This Row],[CalCashImpact]])
)</f>
        <v>254893.54</v>
      </c>
      <c r="N1815" s="161">
        <f>IF(VLOOKUP(Transactions[[#This Row],[Symbol]],Symbols[],COLUMN(Symbols[Currency])-COLUMN(Symbols[])+1,FALSE)=
       VLOOKUP(Transactions[[#This Row],[Account]],Accounts[],COLUMN(Accounts[Currency])-COLUMN(Accounts[])+1,FALSE),
     Transactions[[#This Row],[OrigCashImpact]],
     0
)</f>
        <v>254893.54</v>
      </c>
      <c r="O1815"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525905.06000000029</v>
      </c>
      <c r="P1815"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-4000</v>
      </c>
      <c r="Q1815"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815" s="41">
        <f>ROW()</f>
        <v>1815</v>
      </c>
      <c r="S181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-241798.51796598639</v>
      </c>
      <c r="T181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362697.77694897959</v>
      </c>
      <c r="U1815"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10000</v>
      </c>
      <c r="V1815" s="166">
        <f>IF(INDEX(TransTypes[],Transactions[[#This Row],[TTR]],TT_COL_GLFlag)=1,Transactions[[#This Row],[CalCashImpact]]+Transactions[[#This Row],[CostImpact]],0)</f>
        <v>13095.022034013615</v>
      </c>
      <c r="W1815" s="167">
        <f>Transactions[[#This Row],[Amount]]*INDEX(TransTypes[],Transactions[[#This Row],[TTR]],TT_COL_AmntSign)</f>
        <v>254893.54</v>
      </c>
      <c r="X1815" s="167">
        <f>IF(INDEX(TransTypes[],Transactions[[#This Row],[TTR]],TT_COL_LONGORSHORT)="S",
      IF( OR(INDEX(TransTypes[],Transactions[[#This Row],[TTR]],TT_COL_GLFlag)=1, INDEX(TransTypes[], Transactions[[#This Row],[TTR]], TT_COL_ShareTransferFlag)=1),
            Transactions[[#This Row],[CostImpact]]*-1,
            Transactions[[#This Row],[CalCashImpact]]
      ),
     0
)</f>
        <v>0</v>
      </c>
      <c r="Y1815" s="168" t="str">
        <f>VLOOKUP(Transactions[[#This Row],[Symbol]],Symbols[], COLUMN(Symbols[Currency])-COLUMN(Symbols[])+1,FALSE)</f>
        <v>CNY</v>
      </c>
    </row>
    <row r="1816" spans="1:25">
      <c r="A1816" s="155" t="s">
        <v>82</v>
      </c>
      <c r="B1816" s="156">
        <v>43140</v>
      </c>
      <c r="C1816" s="155" t="s">
        <v>115</v>
      </c>
      <c r="D1816" s="155"/>
      <c r="E1816" s="155" t="s">
        <v>464</v>
      </c>
      <c r="F1816" s="157">
        <v>200</v>
      </c>
      <c r="G1816" s="158">
        <v>681.19</v>
      </c>
      <c r="H1816" s="157">
        <v>193.46</v>
      </c>
      <c r="I1816" s="157"/>
      <c r="J1816" s="159">
        <v>136044.54</v>
      </c>
      <c r="K1816" s="6" t="s">
        <v>641</v>
      </c>
      <c r="L1816" s="20">
        <f>IF(ISNA(MATCH(Transactions[[#This Row],[TransType]],TransTypes[TransType],0)),1,MATCH(Transactions[[#This Row],[TransType]],TransTypes[TransType],0))</f>
        <v>3</v>
      </c>
      <c r="M1816" s="160">
        <f>IF( AND( INDEX(TransTypes[],Transactions[[#This Row],[TTR]],TT_COL_GLFlag)=1, INDEX(TransTypes[],Transactions[[#This Row],[TTR]],TT_COL_LONGORSHORT)="S" ),
      Transactions[[#This Row],[PL]],
      IF(INDEX(TransTypes[],Transactions[[#This Row],[TTR]],TT_COL_LONGORSHORT)="S",0,Transactions[[#This Row],[CalCashImpact]])
)</f>
        <v>136044.54</v>
      </c>
      <c r="N1816" s="161">
        <f>IF(VLOOKUP(Transactions[[#This Row],[Symbol]],Symbols[],COLUMN(Symbols[Currency])-COLUMN(Symbols[])+1,FALSE)=
       VLOOKUP(Transactions[[#This Row],[Account]],Accounts[],COLUMN(Accounts[Currency])-COLUMN(Accounts[])+1,FALSE),
     Transactions[[#This Row],[OrigCashImpact]],
     0
)</f>
        <v>136044.54</v>
      </c>
      <c r="O1816"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661949.60000000033</v>
      </c>
      <c r="P1816"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816"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1816" s="41">
        <f>ROW()</f>
        <v>1816</v>
      </c>
      <c r="S181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-93708.473549906237</v>
      </c>
      <c r="T181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187416.9470998125</v>
      </c>
      <c r="U1816"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v>
      </c>
      <c r="V1816" s="166">
        <f>IF(INDEX(TransTypes[],Transactions[[#This Row],[TTR]],TT_COL_GLFlag)=1,Transactions[[#This Row],[CalCashImpact]]+Transactions[[#This Row],[CostImpact]],0)</f>
        <v>42336.066450093771</v>
      </c>
      <c r="W1816" s="167">
        <f>Transactions[[#This Row],[Amount]]*INDEX(TransTypes[],Transactions[[#This Row],[TTR]],TT_COL_AmntSign)</f>
        <v>136044.54</v>
      </c>
      <c r="X1816" s="167">
        <f>IF(INDEX(TransTypes[],Transactions[[#This Row],[TTR]],TT_COL_LONGORSHORT)="S",
      IF( OR(INDEX(TransTypes[],Transactions[[#This Row],[TTR]],TT_COL_GLFlag)=1, INDEX(TransTypes[], Transactions[[#This Row],[TTR]], TT_COL_ShareTransferFlag)=1),
            Transactions[[#This Row],[CostImpact]]*-1,
            Transactions[[#This Row],[CalCashImpact]]
      ),
     0
)</f>
        <v>0</v>
      </c>
      <c r="Y1816" s="168" t="str">
        <f>VLOOKUP(Transactions[[#This Row],[Symbol]],Symbols[], COLUMN(Symbols[Currency])-COLUMN(Symbols[])+1,FALSE)</f>
        <v>CNY</v>
      </c>
    </row>
    <row r="1817" spans="1:25">
      <c r="A1817" s="155" t="s">
        <v>82</v>
      </c>
      <c r="B1817" s="156">
        <v>43140</v>
      </c>
      <c r="C1817" s="155" t="s">
        <v>115</v>
      </c>
      <c r="D1817" s="155"/>
      <c r="E1817" s="155" t="s">
        <v>463</v>
      </c>
      <c r="F1817" s="157">
        <v>2000</v>
      </c>
      <c r="G1817" s="158">
        <v>29.79</v>
      </c>
      <c r="H1817" s="157">
        <v>84.57</v>
      </c>
      <c r="I1817" s="157"/>
      <c r="J1817" s="159">
        <v>59495.43</v>
      </c>
      <c r="K1817" s="6" t="s">
        <v>641</v>
      </c>
      <c r="L1817" s="20">
        <f>IF(ISNA(MATCH(Transactions[[#This Row],[TransType]],TransTypes[TransType],0)),1,MATCH(Transactions[[#This Row],[TransType]],TransTypes[TransType],0))</f>
        <v>3</v>
      </c>
      <c r="M1817" s="160">
        <f>IF( AND( INDEX(TransTypes[],Transactions[[#This Row],[TTR]],TT_COL_GLFlag)=1, INDEX(TransTypes[],Transactions[[#This Row],[TTR]],TT_COL_LONGORSHORT)="S" ),
      Transactions[[#This Row],[PL]],
      IF(INDEX(TransTypes[],Transactions[[#This Row],[TTR]],TT_COL_LONGORSHORT)="S",0,Transactions[[#This Row],[CalCashImpact]])
)</f>
        <v>59495.43</v>
      </c>
      <c r="N1817" s="161">
        <f>IF(VLOOKUP(Transactions[[#This Row],[Symbol]],Symbols[],COLUMN(Symbols[Currency])-COLUMN(Symbols[])+1,FALSE)=
       VLOOKUP(Transactions[[#This Row],[Account]],Accounts[],COLUMN(Accounts[Currency])-COLUMN(Accounts[])+1,FALSE),
     Transactions[[#This Row],[OrigCashImpact]],
     0
)</f>
        <v>59495.43</v>
      </c>
      <c r="O1817"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721445.03000000026</v>
      </c>
      <c r="P1817"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817"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17" s="41">
        <f>ROW()</f>
        <v>1817</v>
      </c>
      <c r="S181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-50481.19</v>
      </c>
      <c r="T181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17"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817" s="166">
        <f>IF(INDEX(TransTypes[],Transactions[[#This Row],[TTR]],TT_COL_GLFlag)=1,Transactions[[#This Row],[CalCashImpact]]+Transactions[[#This Row],[CostImpact]],0)</f>
        <v>9014.239999999998</v>
      </c>
      <c r="W1817" s="167">
        <f>Transactions[[#This Row],[Amount]]*INDEX(TransTypes[],Transactions[[#This Row],[TTR]],TT_COL_AmntSign)</f>
        <v>59495.43</v>
      </c>
      <c r="X1817" s="167">
        <f>IF(INDEX(TransTypes[],Transactions[[#This Row],[TTR]],TT_COL_LONGORSHORT)="S",
      IF( OR(INDEX(TransTypes[],Transactions[[#This Row],[TTR]],TT_COL_GLFlag)=1, INDEX(TransTypes[], Transactions[[#This Row],[TTR]], TT_COL_ShareTransferFlag)=1),
            Transactions[[#This Row],[CostImpact]]*-1,
            Transactions[[#This Row],[CalCashImpact]]
      ),
     0
)</f>
        <v>0</v>
      </c>
      <c r="Y1817" s="168" t="str">
        <f>VLOOKUP(Transactions[[#This Row],[Symbol]],Symbols[], COLUMN(Symbols[Currency])-COLUMN(Symbols[])+1,FALSE)</f>
        <v>CNY</v>
      </c>
    </row>
    <row r="1818" spans="1:25">
      <c r="A1818" s="155" t="s">
        <v>82</v>
      </c>
      <c r="B1818" s="156">
        <v>43143</v>
      </c>
      <c r="C1818" s="155" t="s">
        <v>123</v>
      </c>
      <c r="D1818" s="155"/>
      <c r="E1818" s="155" t="s">
        <v>477</v>
      </c>
      <c r="F1818" s="157"/>
      <c r="G1818" s="158"/>
      <c r="H1818" s="157"/>
      <c r="I1818" s="157"/>
      <c r="J1818" s="159">
        <v>67.87</v>
      </c>
      <c r="K1818" s="6" t="s">
        <v>759</v>
      </c>
      <c r="L1818" s="20">
        <f>IF(ISNA(MATCH(Transactions[[#This Row],[TransType]],TransTypes[TransType],0)),1,MATCH(Transactions[[#This Row],[TransType]],TransTypes[TransType],0))</f>
        <v>7</v>
      </c>
      <c r="M1818" s="160">
        <f>IF( AND( INDEX(TransTypes[],Transactions[[#This Row],[TTR]],TT_COL_GLFlag)=1, INDEX(TransTypes[],Transactions[[#This Row],[TTR]],TT_COL_LONGORSHORT)="S" ),
      Transactions[[#This Row],[PL]],
      IF(INDEX(TransTypes[],Transactions[[#This Row],[TTR]],TT_COL_LONGORSHORT)="S",0,Transactions[[#This Row],[CalCashImpact]])
)</f>
        <v>-67.87</v>
      </c>
      <c r="N1818" s="161">
        <f>IF(VLOOKUP(Transactions[[#This Row],[Symbol]],Symbols[],COLUMN(Symbols[Currency])-COLUMN(Symbols[])+1,FALSE)=
       VLOOKUP(Transactions[[#This Row],[Account]],Accounts[],COLUMN(Accounts[Currency])-COLUMN(Accounts[])+1,FALSE),
     Transactions[[#This Row],[OrigCashImpact]],
     0
)</f>
        <v>-67.87</v>
      </c>
      <c r="O1818"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721377.16000000027</v>
      </c>
      <c r="P1818"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18"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818" s="41">
        <f>ROW()</f>
        <v>1818</v>
      </c>
      <c r="S181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1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93530.877407407417</v>
      </c>
      <c r="U1818"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818" s="166">
        <f>IF(INDEX(TransTypes[],Transactions[[#This Row],[TTR]],TT_COL_GLFlag)=1,Transactions[[#This Row],[CalCashImpact]]+Transactions[[#This Row],[CostImpact]],0)</f>
        <v>0</v>
      </c>
      <c r="W1818" s="167">
        <f>Transactions[[#This Row],[Amount]]*INDEX(TransTypes[],Transactions[[#This Row],[TTR]],TT_COL_AmntSign)</f>
        <v>-67.87</v>
      </c>
      <c r="X1818" s="167">
        <f>IF(INDEX(TransTypes[],Transactions[[#This Row],[TTR]],TT_COL_LONGORSHORT)="S",
      IF( OR(INDEX(TransTypes[],Transactions[[#This Row],[TTR]],TT_COL_GLFlag)=1, INDEX(TransTypes[], Transactions[[#This Row],[TTR]], TT_COL_ShareTransferFlag)=1),
            Transactions[[#This Row],[CostImpact]]*-1,
            Transactions[[#This Row],[CalCashImpact]]
      ),
     0
)</f>
        <v>0</v>
      </c>
      <c r="Y1818" s="168" t="str">
        <f>VLOOKUP(Transactions[[#This Row],[Symbol]],Symbols[], COLUMN(Symbols[Currency])-COLUMN(Symbols[])+1,FALSE)</f>
        <v>CNY</v>
      </c>
    </row>
    <row r="1819" spans="1:25">
      <c r="A1819" s="155" t="s">
        <v>82</v>
      </c>
      <c r="B1819" s="156">
        <v>43143</v>
      </c>
      <c r="C1819" s="155" t="s">
        <v>123</v>
      </c>
      <c r="D1819" s="155"/>
      <c r="E1819" s="155" t="s">
        <v>464</v>
      </c>
      <c r="F1819" s="157"/>
      <c r="G1819" s="158"/>
      <c r="H1819" s="157"/>
      <c r="I1819" s="157"/>
      <c r="J1819" s="159">
        <v>200</v>
      </c>
      <c r="K1819" s="6" t="s">
        <v>759</v>
      </c>
      <c r="L1819" s="20">
        <f>IF(ISNA(MATCH(Transactions[[#This Row],[TransType]],TransTypes[TransType],0)),1,MATCH(Transactions[[#This Row],[TransType]],TransTypes[TransType],0))</f>
        <v>7</v>
      </c>
      <c r="M1819" s="160">
        <f>IF( AND( INDEX(TransTypes[],Transactions[[#This Row],[TTR]],TT_COL_GLFlag)=1, INDEX(TransTypes[],Transactions[[#This Row],[TTR]],TT_COL_LONGORSHORT)="S" ),
      Transactions[[#This Row],[PL]],
      IF(INDEX(TransTypes[],Transactions[[#This Row],[TTR]],TT_COL_LONGORSHORT)="S",0,Transactions[[#This Row],[CalCashImpact]])
)</f>
        <v>-200</v>
      </c>
      <c r="N1819" s="161">
        <f>IF(VLOOKUP(Transactions[[#This Row],[Symbol]],Symbols[],COLUMN(Symbols[Currency])-COLUMN(Symbols[])+1,FALSE)=
       VLOOKUP(Transactions[[#This Row],[Account]],Accounts[],COLUMN(Accounts[Currency])-COLUMN(Accounts[])+1,FALSE),
     Transactions[[#This Row],[OrigCashImpact]],
     0
)</f>
        <v>-200</v>
      </c>
      <c r="O1819"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721177.16000000027</v>
      </c>
      <c r="P1819"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19"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1819" s="41">
        <f>ROW()</f>
        <v>1819</v>
      </c>
      <c r="S181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1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187416.9470998125</v>
      </c>
      <c r="U1819"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1819" s="166">
        <f>IF(INDEX(TransTypes[],Transactions[[#This Row],[TTR]],TT_COL_GLFlag)=1,Transactions[[#This Row],[CalCashImpact]]+Transactions[[#This Row],[CostImpact]],0)</f>
        <v>0</v>
      </c>
      <c r="W1819" s="167">
        <f>Transactions[[#This Row],[Amount]]*INDEX(TransTypes[],Transactions[[#This Row],[TTR]],TT_COL_AmntSign)</f>
        <v>-200</v>
      </c>
      <c r="X1819" s="167">
        <f>IF(INDEX(TransTypes[],Transactions[[#This Row],[TTR]],TT_COL_LONGORSHORT)="S",
      IF( OR(INDEX(TransTypes[],Transactions[[#This Row],[TTR]],TT_COL_GLFlag)=1, INDEX(TransTypes[], Transactions[[#This Row],[TTR]], TT_COL_ShareTransferFlag)=1),
            Transactions[[#This Row],[CostImpact]]*-1,
            Transactions[[#This Row],[CalCashImpact]]
      ),
     0
)</f>
        <v>0</v>
      </c>
      <c r="Y1819" s="168" t="str">
        <f>VLOOKUP(Transactions[[#This Row],[Symbol]],Symbols[], COLUMN(Symbols[Currency])-COLUMN(Symbols[])+1,FALSE)</f>
        <v>CNY</v>
      </c>
    </row>
    <row r="1820" spans="1:25">
      <c r="A1820" s="155" t="s">
        <v>82</v>
      </c>
      <c r="B1820" s="156">
        <v>43153</v>
      </c>
      <c r="C1820" s="155" t="s">
        <v>119</v>
      </c>
      <c r="D1820" s="155"/>
      <c r="E1820" s="155" t="s">
        <v>211</v>
      </c>
      <c r="F1820" s="157"/>
      <c r="G1820" s="158"/>
      <c r="H1820" s="157"/>
      <c r="I1820" s="157"/>
      <c r="J1820" s="159">
        <v>350000</v>
      </c>
      <c r="K1820" s="6" t="s">
        <v>641</v>
      </c>
      <c r="L1820" s="20">
        <f>IF(ISNA(MATCH(Transactions[[#This Row],[TransType]],TransTypes[TransType],0)),1,MATCH(Transactions[[#This Row],[TransType]],TransTypes[TransType],0))</f>
        <v>5</v>
      </c>
      <c r="M1820" s="160">
        <f>IF( AND( INDEX(TransTypes[],Transactions[[#This Row],[TTR]],TT_COL_GLFlag)=1, INDEX(TransTypes[],Transactions[[#This Row],[TTR]],TT_COL_LONGORSHORT)="S" ),
      Transactions[[#This Row],[PL]],
      IF(INDEX(TransTypes[],Transactions[[#This Row],[TTR]],TT_COL_LONGORSHORT)="S",0,Transactions[[#This Row],[CalCashImpact]])
)</f>
        <v>-350000</v>
      </c>
      <c r="N1820" s="161">
        <f>IF(VLOOKUP(Transactions[[#This Row],[Symbol]],Symbols[],COLUMN(Symbols[Currency])-COLUMN(Symbols[])+1,FALSE)=
       VLOOKUP(Transactions[[#This Row],[Account]],Accounts[],COLUMN(Accounts[Currency])-COLUMN(Accounts[])+1,FALSE),
     Transactions[[#This Row],[OrigCashImpact]],
     0
)</f>
        <v>-350000</v>
      </c>
      <c r="O1820"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371177.16000000027</v>
      </c>
      <c r="P1820"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20"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20" s="41">
        <f>ROW()</f>
        <v>1820</v>
      </c>
      <c r="S182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2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20"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20" s="166">
        <f>IF(INDEX(TransTypes[],Transactions[[#This Row],[TTR]],TT_COL_GLFlag)=1,Transactions[[#This Row],[CalCashImpact]]+Transactions[[#This Row],[CostImpact]],0)</f>
        <v>0</v>
      </c>
      <c r="W1820" s="167">
        <f>Transactions[[#This Row],[Amount]]*INDEX(TransTypes[],Transactions[[#This Row],[TTR]],TT_COL_AmntSign)</f>
        <v>-350000</v>
      </c>
      <c r="X1820" s="167">
        <f>IF(INDEX(TransTypes[],Transactions[[#This Row],[TTR]],TT_COL_LONGORSHORT)="S",
      IF( OR(INDEX(TransTypes[],Transactions[[#This Row],[TTR]],TT_COL_GLFlag)=1, INDEX(TransTypes[], Transactions[[#This Row],[TTR]], TT_COL_ShareTransferFlag)=1),
            Transactions[[#This Row],[CostImpact]]*-1,
            Transactions[[#This Row],[CalCashImpact]]
      ),
     0
)</f>
        <v>0</v>
      </c>
      <c r="Y1820" s="168" t="str">
        <f>VLOOKUP(Transactions[[#This Row],[Symbol]],Symbols[], COLUMN(Symbols[Currency])-COLUMN(Symbols[])+1,FALSE)</f>
        <v>CNY</v>
      </c>
    </row>
    <row r="1821" spans="1:25">
      <c r="A1821" s="155" t="s">
        <v>82</v>
      </c>
      <c r="B1821" s="156">
        <v>43153</v>
      </c>
      <c r="C1821" s="155" t="s">
        <v>113</v>
      </c>
      <c r="D1821" s="155"/>
      <c r="E1821" s="155" t="s">
        <v>498</v>
      </c>
      <c r="F1821" s="157">
        <v>3500</v>
      </c>
      <c r="G1821" s="158">
        <v>100.76900000000001</v>
      </c>
      <c r="H1821" s="157">
        <v>0</v>
      </c>
      <c r="I1821" s="157"/>
      <c r="J1821" s="159">
        <v>352691.5</v>
      </c>
      <c r="K1821" s="6" t="s">
        <v>641</v>
      </c>
      <c r="L1821" s="20">
        <f>IF(ISNA(MATCH(Transactions[[#This Row],[TransType]],TransTypes[TransType],0)),1,MATCH(Transactions[[#This Row],[TransType]],TransTypes[TransType],0))</f>
        <v>2</v>
      </c>
      <c r="M1821" s="160">
        <f>IF( AND( INDEX(TransTypes[],Transactions[[#This Row],[TTR]],TT_COL_GLFlag)=1, INDEX(TransTypes[],Transactions[[#This Row],[TTR]],TT_COL_LONGORSHORT)="S" ),
      Transactions[[#This Row],[PL]],
      IF(INDEX(TransTypes[],Transactions[[#This Row],[TTR]],TT_COL_LONGORSHORT)="S",0,Transactions[[#This Row],[CalCashImpact]])
)</f>
        <v>-352691.5</v>
      </c>
      <c r="N1821" s="161">
        <f>IF(VLOOKUP(Transactions[[#This Row],[Symbol]],Symbols[],COLUMN(Symbols[Currency])-COLUMN(Symbols[])+1,FALSE)=
       VLOOKUP(Transactions[[#This Row],[Account]],Accounts[],COLUMN(Accounts[Currency])-COLUMN(Accounts[])+1,FALSE),
     Transactions[[#This Row],[OrigCashImpact]],
     0
)</f>
        <v>-352691.5</v>
      </c>
      <c r="O1821"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18485.660000000265</v>
      </c>
      <c r="P1821"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3500</v>
      </c>
      <c r="Q1821"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7500</v>
      </c>
      <c r="R1821" s="41">
        <f>ROW()</f>
        <v>1821</v>
      </c>
      <c r="S182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352691.5</v>
      </c>
      <c r="T182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755011.5</v>
      </c>
      <c r="U1821"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7500</v>
      </c>
      <c r="V1821" s="166">
        <f>IF(INDEX(TransTypes[],Transactions[[#This Row],[TTR]],TT_COL_GLFlag)=1,Transactions[[#This Row],[CalCashImpact]]+Transactions[[#This Row],[CostImpact]],0)</f>
        <v>0</v>
      </c>
      <c r="W1821" s="167">
        <f>Transactions[[#This Row],[Amount]]*INDEX(TransTypes[],Transactions[[#This Row],[TTR]],TT_COL_AmntSign)</f>
        <v>-352691.5</v>
      </c>
      <c r="X1821" s="167">
        <f>IF(INDEX(TransTypes[],Transactions[[#This Row],[TTR]],TT_COL_LONGORSHORT)="S",
      IF( OR(INDEX(TransTypes[],Transactions[[#This Row],[TTR]],TT_COL_GLFlag)=1, INDEX(TransTypes[], Transactions[[#This Row],[TTR]], TT_COL_ShareTransferFlag)=1),
            Transactions[[#This Row],[CostImpact]]*-1,
            Transactions[[#This Row],[CalCashImpact]]
      ),
     0
)</f>
        <v>0</v>
      </c>
      <c r="Y1821" s="168" t="str">
        <f>VLOOKUP(Transactions[[#This Row],[Symbol]],Symbols[], COLUMN(Symbols[Currency])-COLUMN(Symbols[])+1,FALSE)</f>
        <v>CNY</v>
      </c>
    </row>
    <row r="1822" spans="1:25">
      <c r="A1822" s="155" t="s">
        <v>82</v>
      </c>
      <c r="B1822" s="156">
        <v>43173</v>
      </c>
      <c r="C1822" s="155" t="s">
        <v>113</v>
      </c>
      <c r="D1822" s="155"/>
      <c r="E1822" s="155" t="s">
        <v>493</v>
      </c>
      <c r="F1822" s="157">
        <v>2000</v>
      </c>
      <c r="G1822" s="158">
        <v>39.86</v>
      </c>
      <c r="H1822" s="157">
        <v>31.89</v>
      </c>
      <c r="I1822" s="157"/>
      <c r="J1822" s="159">
        <v>79751.89</v>
      </c>
      <c r="K1822" s="6" t="s">
        <v>641</v>
      </c>
      <c r="L1822" s="20">
        <f>IF(ISNA(MATCH(Transactions[[#This Row],[TransType]],TransTypes[TransType],0)),1,MATCH(Transactions[[#This Row],[TransType]],TransTypes[TransType],0))</f>
        <v>2</v>
      </c>
      <c r="M1822" s="160">
        <f>IF( AND( INDEX(TransTypes[],Transactions[[#This Row],[TTR]],TT_COL_GLFlag)=1, INDEX(TransTypes[],Transactions[[#This Row],[TTR]],TT_COL_LONGORSHORT)="S" ),
      Transactions[[#This Row],[PL]],
      IF(INDEX(TransTypes[],Transactions[[#This Row],[TTR]],TT_COL_LONGORSHORT)="S",0,Transactions[[#This Row],[CalCashImpact]])
)</f>
        <v>-79751.89</v>
      </c>
      <c r="N1822" s="161">
        <f>IF(VLOOKUP(Transactions[[#This Row],[Symbol]],Symbols[],COLUMN(Symbols[Currency])-COLUMN(Symbols[])+1,FALSE)=
       VLOOKUP(Transactions[[#This Row],[Account]],Accounts[],COLUMN(Accounts[Currency])-COLUMN(Accounts[])+1,FALSE),
     Transactions[[#This Row],[OrigCashImpact]],
     0
)</f>
        <v>-79751.89</v>
      </c>
      <c r="O1822"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-61266.229999999734</v>
      </c>
      <c r="P1822"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822"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822" s="41">
        <f>ROW()</f>
        <v>1822</v>
      </c>
      <c r="S182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79751.89</v>
      </c>
      <c r="T182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186051.89</v>
      </c>
      <c r="U1822"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4000</v>
      </c>
      <c r="V1822" s="166">
        <f>IF(INDEX(TransTypes[],Transactions[[#This Row],[TTR]],TT_COL_GLFlag)=1,Transactions[[#This Row],[CalCashImpact]]+Transactions[[#This Row],[CostImpact]],0)</f>
        <v>0</v>
      </c>
      <c r="W1822" s="167">
        <f>Transactions[[#This Row],[Amount]]*INDEX(TransTypes[],Transactions[[#This Row],[TTR]],TT_COL_AmntSign)</f>
        <v>-79751.89</v>
      </c>
      <c r="X1822" s="167">
        <f>IF(INDEX(TransTypes[],Transactions[[#This Row],[TTR]],TT_COL_LONGORSHORT)="S",
      IF( OR(INDEX(TransTypes[],Transactions[[#This Row],[TTR]],TT_COL_GLFlag)=1, INDEX(TransTypes[], Transactions[[#This Row],[TTR]], TT_COL_ShareTransferFlag)=1),
            Transactions[[#This Row],[CostImpact]]*-1,
            Transactions[[#This Row],[CalCashImpact]]
      ),
     0
)</f>
        <v>0</v>
      </c>
      <c r="Y1822" s="168" t="str">
        <f>VLOOKUP(Transactions[[#This Row],[Symbol]],Symbols[], COLUMN(Symbols[Currency])-COLUMN(Symbols[])+1,FALSE)</f>
        <v>CNY</v>
      </c>
    </row>
    <row r="1823" spans="1:25">
      <c r="A1823" s="155" t="s">
        <v>82</v>
      </c>
      <c r="B1823" s="156">
        <v>43173</v>
      </c>
      <c r="C1823" s="155" t="s">
        <v>115</v>
      </c>
      <c r="D1823" s="155"/>
      <c r="E1823" s="155" t="s">
        <v>498</v>
      </c>
      <c r="F1823" s="157">
        <v>1000</v>
      </c>
      <c r="G1823" s="158">
        <v>100.959</v>
      </c>
      <c r="H1823" s="157">
        <v>0</v>
      </c>
      <c r="I1823" s="157"/>
      <c r="J1823" s="159">
        <v>100959</v>
      </c>
      <c r="K1823" s="6" t="s">
        <v>641</v>
      </c>
      <c r="L1823" s="20">
        <f>IF(ISNA(MATCH(Transactions[[#This Row],[TransType]],TransTypes[TransType],0)),1,MATCH(Transactions[[#This Row],[TransType]],TransTypes[TransType],0))</f>
        <v>3</v>
      </c>
      <c r="M1823" s="160">
        <f>IF( AND( INDEX(TransTypes[],Transactions[[#This Row],[TTR]],TT_COL_GLFlag)=1, INDEX(TransTypes[],Transactions[[#This Row],[TTR]],TT_COL_LONGORSHORT)="S" ),
      Transactions[[#This Row],[PL]],
      IF(INDEX(TransTypes[],Transactions[[#This Row],[TTR]],TT_COL_LONGORSHORT)="S",0,Transactions[[#This Row],[CalCashImpact]])
)</f>
        <v>100959</v>
      </c>
      <c r="N1823" s="161">
        <f>IF(VLOOKUP(Transactions[[#This Row],[Symbol]],Symbols[],COLUMN(Symbols[Currency])-COLUMN(Symbols[])+1,FALSE)=
       VLOOKUP(Transactions[[#This Row],[Account]],Accounts[],COLUMN(Accounts[Currency])-COLUMN(Accounts[])+1,FALSE),
     Transactions[[#This Row],[OrigCashImpact]],
     0
)</f>
        <v>100959</v>
      </c>
      <c r="O1823" s="162">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39692.770000000266</v>
      </c>
      <c r="P1823" s="163">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-1000</v>
      </c>
      <c r="Q1823" s="164">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6500</v>
      </c>
      <c r="R1823" s="41">
        <f>ROW()</f>
        <v>1823</v>
      </c>
      <c r="S182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-100668.2</v>
      </c>
      <c r="T182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654343.30000000005</v>
      </c>
      <c r="U1823" s="165">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7500</v>
      </c>
      <c r="V1823" s="166">
        <f>IF(INDEX(TransTypes[],Transactions[[#This Row],[TTR]],TT_COL_GLFlag)=1,Transactions[[#This Row],[CalCashImpact]]+Transactions[[#This Row],[CostImpact]],0)</f>
        <v>290.80000000000291</v>
      </c>
      <c r="W1823" s="167">
        <f>Transactions[[#This Row],[Amount]]*INDEX(TransTypes[],Transactions[[#This Row],[TTR]],TT_COL_AmntSign)</f>
        <v>100959</v>
      </c>
      <c r="X1823" s="167">
        <f>IF(INDEX(TransTypes[],Transactions[[#This Row],[TTR]],TT_COL_LONGORSHORT)="S",
      IF( OR(INDEX(TransTypes[],Transactions[[#This Row],[TTR]],TT_COL_GLFlag)=1, INDEX(TransTypes[], Transactions[[#This Row],[TTR]], TT_COL_ShareTransferFlag)=1),
            Transactions[[#This Row],[CostImpact]]*-1,
            Transactions[[#This Row],[CalCashImpact]]
      ),
     0
)</f>
        <v>0</v>
      </c>
      <c r="Y1823" s="168" t="str">
        <f>VLOOKUP(Transactions[[#This Row],[Symbol]],Symbols[], COLUMN(Symbols[Currency])-COLUMN(Symbols[])+1,FALSE)</f>
        <v>CNY</v>
      </c>
    </row>
    <row r="1824" spans="1:25">
      <c r="A1824" s="193" t="s">
        <v>80</v>
      </c>
      <c r="B1824" s="194">
        <v>43195</v>
      </c>
      <c r="C1824" s="193" t="s">
        <v>113</v>
      </c>
      <c r="D1824" s="193"/>
      <c r="E1824" s="193" t="s">
        <v>869</v>
      </c>
      <c r="F1824" s="195">
        <v>1579701.5600999999</v>
      </c>
      <c r="G1824" s="196">
        <v>1.51125655649</v>
      </c>
      <c r="H1824" s="195"/>
      <c r="I1824" s="195"/>
      <c r="J1824" s="197">
        <v>2387334.34</v>
      </c>
      <c r="K1824" s="6"/>
      <c r="L1824" s="20">
        <f>IF(ISNA(MATCH(Transactions[[#This Row],[TransType]],TransTypes[TransType],0)),1,MATCH(Transactions[[#This Row],[TransType]],TransTypes[TransType],0))</f>
        <v>2</v>
      </c>
      <c r="M1824" s="202">
        <f>IF( AND( INDEX(TransTypes[],Transactions[[#This Row],[TTR]],TT_COL_GLFlag)=1, INDEX(TransTypes[],Transactions[[#This Row],[TTR]],TT_COL_LONGORSHORT)="S" ),
      Transactions[[#This Row],[PL]],
      IF(INDEX(TransTypes[],Transactions[[#This Row],[TTR]],TT_COL_LONGORSHORT)="S",0,Transactions[[#This Row],[CalCashImpact]])
)</f>
        <v>-2387334.34</v>
      </c>
      <c r="N1824" s="198">
        <f>IF(VLOOKUP(Transactions[[#This Row],[Symbol]],Symbols[],COLUMN(Symbols[Currency])-COLUMN(Symbols[])+1,FALSE)=
       VLOOKUP(Transactions[[#This Row],[Account]],Accounts[],COLUMN(Accounts[Currency])-COLUMN(Accounts[])+1,FALSE),
     Transactions[[#This Row],[OrigCashImpact]],
     0
)</f>
        <v>-2387334.34</v>
      </c>
      <c r="O1824" s="19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0</v>
      </c>
      <c r="P1824" s="200">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1579701.5600999999</v>
      </c>
      <c r="Q1824" s="201">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1579701.5600999999</v>
      </c>
      <c r="R1824" s="41">
        <f>ROW()</f>
        <v>1824</v>
      </c>
      <c r="S182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2387334.34</v>
      </c>
      <c r="T182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2387334.34</v>
      </c>
      <c r="U1824" s="20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1579701.5600999999</v>
      </c>
      <c r="V1824" s="204">
        <f>IF(INDEX(TransTypes[],Transactions[[#This Row],[TTR]],TT_COL_GLFlag)=1,Transactions[[#This Row],[CalCashImpact]]+Transactions[[#This Row],[CostImpact]],0)</f>
        <v>0</v>
      </c>
      <c r="W1824" s="205">
        <f>Transactions[[#This Row],[Amount]]*INDEX(TransTypes[],Transactions[[#This Row],[TTR]],TT_COL_AmntSign)</f>
        <v>-2387334.34</v>
      </c>
      <c r="X1824" s="205">
        <f>IF(INDEX(TransTypes[],Transactions[[#This Row],[TTR]],TT_COL_LONGORSHORT)="S",
      IF( OR(INDEX(TransTypes[],Transactions[[#This Row],[TTR]],TT_COL_GLFlag)=1, INDEX(TransTypes[], Transactions[[#This Row],[TTR]], TT_COL_ShareTransferFlag)=1),
            Transactions[[#This Row],[CostImpact]]*-1,
            Transactions[[#This Row],[CalCashImpact]]
      ),
     0
)</f>
        <v>0</v>
      </c>
      <c r="Y1824" s="206" t="str">
        <f>VLOOKUP(Transactions[[#This Row],[Symbol]],Symbols[], COLUMN(Symbols[Currency])-COLUMN(Symbols[])+1,FALSE)</f>
        <v>CAD</v>
      </c>
    </row>
    <row r="1825" spans="1:25">
      <c r="A1825" s="193" t="s">
        <v>80</v>
      </c>
      <c r="B1825" s="194">
        <v>43191</v>
      </c>
      <c r="C1825" s="193" t="s">
        <v>112</v>
      </c>
      <c r="D1825" s="193"/>
      <c r="E1825" s="193" t="s">
        <v>209</v>
      </c>
      <c r="F1825" s="195"/>
      <c r="G1825" s="196"/>
      <c r="H1825" s="195"/>
      <c r="I1825" s="195"/>
      <c r="J1825" s="197">
        <v>2387334.34</v>
      </c>
      <c r="K1825" s="6"/>
      <c r="L1825" s="20">
        <f>IF(ISNA(MATCH(Transactions[[#This Row],[TransType]],TransTypes[TransType],0)),1,MATCH(Transactions[[#This Row],[TransType]],TransTypes[TransType],0))</f>
        <v>1</v>
      </c>
      <c r="M1825" s="202">
        <f>IF( AND( INDEX(TransTypes[],Transactions[[#This Row],[TTR]],TT_COL_GLFlag)=1, INDEX(TransTypes[],Transactions[[#This Row],[TTR]],TT_COL_LONGORSHORT)="S" ),
      Transactions[[#This Row],[PL]],
      IF(INDEX(TransTypes[],Transactions[[#This Row],[TTR]],TT_COL_LONGORSHORT)="S",0,Transactions[[#This Row],[CalCashImpact]])
)</f>
        <v>2387334.34</v>
      </c>
      <c r="N1825" s="198">
        <f>IF(VLOOKUP(Transactions[[#This Row],[Symbol]],Symbols[],COLUMN(Symbols[Currency])-COLUMN(Symbols[])+1,FALSE)=
       VLOOKUP(Transactions[[#This Row],[Account]],Accounts[],COLUMN(Accounts[Currency])-COLUMN(Accounts[])+1,FALSE),
     Transactions[[#This Row],[OrigCashImpact]],
     0
)</f>
        <v>2387334.34</v>
      </c>
      <c r="O1825" s="199">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2387334.34</v>
      </c>
      <c r="P1825" s="200">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25" s="201">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25" s="41">
        <f>ROW()</f>
        <v>1825</v>
      </c>
      <c r="S182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2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25" s="20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25" s="204">
        <f>IF(INDEX(TransTypes[],Transactions[[#This Row],[TTR]],TT_COL_GLFlag)=1,Transactions[[#This Row],[CalCashImpact]]+Transactions[[#This Row],[CostImpact]],0)</f>
        <v>0</v>
      </c>
      <c r="W1825" s="205">
        <f>Transactions[[#This Row],[Amount]]*INDEX(TransTypes[],Transactions[[#This Row],[TTR]],TT_COL_AmntSign)</f>
        <v>2387334.34</v>
      </c>
      <c r="X1825" s="205">
        <f>IF(INDEX(TransTypes[],Transactions[[#This Row],[TTR]],TT_COL_LONGORSHORT)="S",
      IF( OR(INDEX(TransTypes[],Transactions[[#This Row],[TTR]],TT_COL_GLFlag)=1, INDEX(TransTypes[], Transactions[[#This Row],[TTR]], TT_COL_ShareTransferFlag)=1),
            Transactions[[#This Row],[CostImpact]]*-1,
            Transactions[[#This Row],[CalCashImpact]]
      ),
     0
)</f>
        <v>0</v>
      </c>
      <c r="Y1825" s="206" t="str">
        <f>VLOOKUP(Transactions[[#This Row],[Symbol]],Symbols[], COLUMN(Symbols[Currency])-COLUMN(Symbols[])+1,FALSE)</f>
        <v>CAD</v>
      </c>
    </row>
    <row r="1826" spans="1:25">
      <c r="A1826" s="209" t="s">
        <v>65</v>
      </c>
      <c r="B1826" s="210">
        <v>43192</v>
      </c>
      <c r="C1826" s="209" t="s">
        <v>118</v>
      </c>
      <c r="D1826" s="209"/>
      <c r="E1826" s="209" t="s">
        <v>313</v>
      </c>
      <c r="F1826" s="211"/>
      <c r="G1826" s="212"/>
      <c r="H1826" s="211"/>
      <c r="I1826" s="211"/>
      <c r="J1826" s="213">
        <v>660.25</v>
      </c>
      <c r="K1826" s="6" t="s">
        <v>344</v>
      </c>
      <c r="L1826" s="20">
        <f>IF(ISNA(MATCH(Transactions[[#This Row],[TransType]],TransTypes[TransType],0)),1,MATCH(Transactions[[#This Row],[TransType]],TransTypes[TransType],0))</f>
        <v>4</v>
      </c>
      <c r="M1826" s="214">
        <f>IF( AND( INDEX(TransTypes[],Transactions[[#This Row],[TTR]],TT_COL_GLFlag)=1, INDEX(TransTypes[],Transactions[[#This Row],[TTR]],TT_COL_LONGORSHORT)="S" ),
      Transactions[[#This Row],[PL]],
      IF(INDEX(TransTypes[],Transactions[[#This Row],[TTR]],TT_COL_LONGORSHORT)="S",0,Transactions[[#This Row],[CalCashImpact]])
)</f>
        <v>660.25</v>
      </c>
      <c r="N1826" s="215">
        <f>IF(VLOOKUP(Transactions[[#This Row],[Symbol]],Symbols[],COLUMN(Symbols[Currency])-COLUMN(Symbols[])+1,FALSE)=
       VLOOKUP(Transactions[[#This Row],[Account]],Accounts[],COLUMN(Accounts[Currency])-COLUMN(Accounts[])+1,FALSE),
     Transactions[[#This Row],[OrigCashImpact]],
     0
)</f>
        <v>660.25</v>
      </c>
      <c r="O1826"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-157490.47141959207</v>
      </c>
      <c r="P1826"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26"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1826" s="41">
        <f>ROW()</f>
        <v>1826</v>
      </c>
      <c r="S182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2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1826"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1826" s="220">
        <f>IF(INDEX(TransTypes[],Transactions[[#This Row],[TTR]],TT_COL_GLFlag)=1,Transactions[[#This Row],[CalCashImpact]]+Transactions[[#This Row],[CostImpact]],0)</f>
        <v>0</v>
      </c>
      <c r="W1826" s="221">
        <f>Transactions[[#This Row],[Amount]]*INDEX(TransTypes[],Transactions[[#This Row],[TTR]],TT_COL_AmntSign)</f>
        <v>660.25</v>
      </c>
      <c r="X1826" s="221">
        <f>IF(INDEX(TransTypes[],Transactions[[#This Row],[TTR]],TT_COL_LONGORSHORT)="S",
      IF( OR(INDEX(TransTypes[],Transactions[[#This Row],[TTR]],TT_COL_GLFlag)=1, INDEX(TransTypes[], Transactions[[#This Row],[TTR]], TT_COL_ShareTransferFlag)=1),
            Transactions[[#This Row],[CostImpact]]*-1,
            Transactions[[#This Row],[CalCashImpact]]
      ),
     0
)</f>
        <v>0</v>
      </c>
      <c r="Y1826" s="222" t="str">
        <f>VLOOKUP(Transactions[[#This Row],[Symbol]],Symbols[], COLUMN(Symbols[Currency])-COLUMN(Symbols[])+1,FALSE)</f>
        <v>USD</v>
      </c>
    </row>
    <row r="1827" spans="1:25">
      <c r="A1827" s="209" t="s">
        <v>65</v>
      </c>
      <c r="B1827" s="210">
        <v>43192</v>
      </c>
      <c r="C1827" s="209" t="s">
        <v>118</v>
      </c>
      <c r="D1827" s="209"/>
      <c r="E1827" s="209" t="s">
        <v>313</v>
      </c>
      <c r="F1827" s="211"/>
      <c r="G1827" s="212"/>
      <c r="H1827" s="211"/>
      <c r="I1827" s="211"/>
      <c r="J1827" s="213">
        <v>2.09</v>
      </c>
      <c r="K1827" s="6" t="s">
        <v>446</v>
      </c>
      <c r="L1827" s="20">
        <f>IF(ISNA(MATCH(Transactions[[#This Row],[TransType]],TransTypes[TransType],0)),1,MATCH(Transactions[[#This Row],[TransType]],TransTypes[TransType],0))</f>
        <v>4</v>
      </c>
      <c r="M1827" s="214">
        <f>IF( AND( INDEX(TransTypes[],Transactions[[#This Row],[TTR]],TT_COL_GLFlag)=1, INDEX(TransTypes[],Transactions[[#This Row],[TTR]],TT_COL_LONGORSHORT)="S" ),
      Transactions[[#This Row],[PL]],
      IF(INDEX(TransTypes[],Transactions[[#This Row],[TTR]],TT_COL_LONGORSHORT)="S",0,Transactions[[#This Row],[CalCashImpact]])
)</f>
        <v>2.09</v>
      </c>
      <c r="N1827" s="215">
        <f>IF(VLOOKUP(Transactions[[#This Row],[Symbol]],Symbols[],COLUMN(Symbols[Currency])-COLUMN(Symbols[])+1,FALSE)=
       VLOOKUP(Transactions[[#This Row],[Account]],Accounts[],COLUMN(Accounts[Currency])-COLUMN(Accounts[])+1,FALSE),
     Transactions[[#This Row],[OrigCashImpact]],
     0
)</f>
        <v>2.09</v>
      </c>
      <c r="O1827"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-157488.38141959207</v>
      </c>
      <c r="P1827"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27"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1827" s="41">
        <f>ROW()</f>
        <v>1827</v>
      </c>
      <c r="S182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2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1827"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1827" s="220">
        <f>IF(INDEX(TransTypes[],Transactions[[#This Row],[TTR]],TT_COL_GLFlag)=1,Transactions[[#This Row],[CalCashImpact]]+Transactions[[#This Row],[CostImpact]],0)</f>
        <v>0</v>
      </c>
      <c r="W1827" s="221">
        <f>Transactions[[#This Row],[Amount]]*INDEX(TransTypes[],Transactions[[#This Row],[TTR]],TT_COL_AmntSign)</f>
        <v>2.09</v>
      </c>
      <c r="X1827" s="221">
        <f>IF(INDEX(TransTypes[],Transactions[[#This Row],[TTR]],TT_COL_LONGORSHORT)="S",
      IF( OR(INDEX(TransTypes[],Transactions[[#This Row],[TTR]],TT_COL_GLFlag)=1, INDEX(TransTypes[], Transactions[[#This Row],[TTR]], TT_COL_ShareTransferFlag)=1),
            Transactions[[#This Row],[CostImpact]]*-1,
            Transactions[[#This Row],[CalCashImpact]]
      ),
     0
)</f>
        <v>0</v>
      </c>
      <c r="Y1827" s="222" t="str">
        <f>VLOOKUP(Transactions[[#This Row],[Symbol]],Symbols[], COLUMN(Symbols[Currency])-COLUMN(Symbols[])+1,FALSE)</f>
        <v>USD</v>
      </c>
    </row>
    <row r="1828" spans="1:25">
      <c r="A1828" s="209" t="s">
        <v>65</v>
      </c>
      <c r="B1828" s="210">
        <v>43192</v>
      </c>
      <c r="C1828" s="209" t="s">
        <v>123</v>
      </c>
      <c r="D1828" s="209"/>
      <c r="E1828" s="209" t="s">
        <v>313</v>
      </c>
      <c r="F1828" s="211"/>
      <c r="G1828" s="212"/>
      <c r="H1828" s="211"/>
      <c r="I1828" s="211"/>
      <c r="J1828" s="213">
        <v>99.04</v>
      </c>
      <c r="K1828" s="6" t="s">
        <v>345</v>
      </c>
      <c r="L1828" s="20">
        <f>IF(ISNA(MATCH(Transactions[[#This Row],[TransType]],TransTypes[TransType],0)),1,MATCH(Transactions[[#This Row],[TransType]],TransTypes[TransType],0))</f>
        <v>7</v>
      </c>
      <c r="M1828" s="214">
        <f>IF( AND( INDEX(TransTypes[],Transactions[[#This Row],[TTR]],TT_COL_GLFlag)=1, INDEX(TransTypes[],Transactions[[#This Row],[TTR]],TT_COL_LONGORSHORT)="S" ),
      Transactions[[#This Row],[PL]],
      IF(INDEX(TransTypes[],Transactions[[#This Row],[TTR]],TT_COL_LONGORSHORT)="S",0,Transactions[[#This Row],[CalCashImpact]])
)</f>
        <v>-99.04</v>
      </c>
      <c r="N1828" s="215">
        <f>IF(VLOOKUP(Transactions[[#This Row],[Symbol]],Symbols[],COLUMN(Symbols[Currency])-COLUMN(Symbols[])+1,FALSE)=
       VLOOKUP(Transactions[[#This Row],[Account]],Accounts[],COLUMN(Accounts[Currency])-COLUMN(Accounts[])+1,FALSE),
     Transactions[[#This Row],[OrigCashImpact]],
     0
)</f>
        <v>-99.04</v>
      </c>
      <c r="O1828"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-157587.42141959208</v>
      </c>
      <c r="P1828"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28"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1828" s="41">
        <f>ROW()</f>
        <v>1828</v>
      </c>
      <c r="S182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2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1828"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1828" s="220">
        <f>IF(INDEX(TransTypes[],Transactions[[#This Row],[TTR]],TT_COL_GLFlag)=1,Transactions[[#This Row],[CalCashImpact]]+Transactions[[#This Row],[CostImpact]],0)</f>
        <v>0</v>
      </c>
      <c r="W1828" s="221">
        <f>Transactions[[#This Row],[Amount]]*INDEX(TransTypes[],Transactions[[#This Row],[TTR]],TT_COL_AmntSign)</f>
        <v>-99.04</v>
      </c>
      <c r="X1828" s="221">
        <f>IF(INDEX(TransTypes[],Transactions[[#This Row],[TTR]],TT_COL_LONGORSHORT)="S",
      IF( OR(INDEX(TransTypes[],Transactions[[#This Row],[TTR]],TT_COL_GLFlag)=1, INDEX(TransTypes[], Transactions[[#This Row],[TTR]], TT_COL_ShareTransferFlag)=1),
            Transactions[[#This Row],[CostImpact]]*-1,
            Transactions[[#This Row],[CalCashImpact]]
      ),
     0
)</f>
        <v>0</v>
      </c>
      <c r="Y1828" s="222" t="str">
        <f>VLOOKUP(Transactions[[#This Row],[Symbol]],Symbols[], COLUMN(Symbols[Currency])-COLUMN(Symbols[])+1,FALSE)</f>
        <v>USD</v>
      </c>
    </row>
    <row r="1829" spans="1:25">
      <c r="A1829" s="209" t="s">
        <v>65</v>
      </c>
      <c r="B1829" s="210">
        <v>43192</v>
      </c>
      <c r="C1829" s="209" t="s">
        <v>123</v>
      </c>
      <c r="D1829" s="209"/>
      <c r="E1829" s="209" t="s">
        <v>313</v>
      </c>
      <c r="F1829" s="211"/>
      <c r="G1829" s="212"/>
      <c r="H1829" s="211"/>
      <c r="I1829" s="211"/>
      <c r="J1829" s="213">
        <v>0.31</v>
      </c>
      <c r="K1829" s="6" t="s">
        <v>447</v>
      </c>
      <c r="L1829" s="20">
        <f>IF(ISNA(MATCH(Transactions[[#This Row],[TransType]],TransTypes[TransType],0)),1,MATCH(Transactions[[#This Row],[TransType]],TransTypes[TransType],0))</f>
        <v>7</v>
      </c>
      <c r="M1829" s="214">
        <f>IF( AND( INDEX(TransTypes[],Transactions[[#This Row],[TTR]],TT_COL_GLFlag)=1, INDEX(TransTypes[],Transactions[[#This Row],[TTR]],TT_COL_LONGORSHORT)="S" ),
      Transactions[[#This Row],[PL]],
      IF(INDEX(TransTypes[],Transactions[[#This Row],[TTR]],TT_COL_LONGORSHORT)="S",0,Transactions[[#This Row],[CalCashImpact]])
)</f>
        <v>-0.31</v>
      </c>
      <c r="N1829" s="215">
        <f>IF(VLOOKUP(Transactions[[#This Row],[Symbol]],Symbols[],COLUMN(Symbols[Currency])-COLUMN(Symbols[])+1,FALSE)=
       VLOOKUP(Transactions[[#This Row],[Account]],Accounts[],COLUMN(Accounts[Currency])-COLUMN(Accounts[])+1,FALSE),
     Transactions[[#This Row],[OrigCashImpact]],
     0
)</f>
        <v>-0.31</v>
      </c>
      <c r="O1829"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-157587.73141959208</v>
      </c>
      <c r="P1829"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29"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3486</v>
      </c>
      <c r="R1829" s="41">
        <f>ROW()</f>
        <v>1829</v>
      </c>
      <c r="S182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2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90546.656962385561</v>
      </c>
      <c r="U1829"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3486</v>
      </c>
      <c r="V1829" s="220">
        <f>IF(INDEX(TransTypes[],Transactions[[#This Row],[TTR]],TT_COL_GLFlag)=1,Transactions[[#This Row],[CalCashImpact]]+Transactions[[#This Row],[CostImpact]],0)</f>
        <v>0</v>
      </c>
      <c r="W1829" s="221">
        <f>Transactions[[#This Row],[Amount]]*INDEX(TransTypes[],Transactions[[#This Row],[TTR]],TT_COL_AmntSign)</f>
        <v>-0.31</v>
      </c>
      <c r="X1829" s="221">
        <f>IF(INDEX(TransTypes[],Transactions[[#This Row],[TTR]],TT_COL_LONGORSHORT)="S",
      IF( OR(INDEX(TransTypes[],Transactions[[#This Row],[TTR]],TT_COL_GLFlag)=1, INDEX(TransTypes[], Transactions[[#This Row],[TTR]], TT_COL_ShareTransferFlag)=1),
            Transactions[[#This Row],[CostImpact]]*-1,
            Transactions[[#This Row],[CalCashImpact]]
      ),
     0
)</f>
        <v>0</v>
      </c>
      <c r="Y1829" s="222" t="str">
        <f>VLOOKUP(Transactions[[#This Row],[Symbol]],Symbols[], COLUMN(Symbols[Currency])-COLUMN(Symbols[])+1,FALSE)</f>
        <v>USD</v>
      </c>
    </row>
    <row r="1830" spans="1:25">
      <c r="A1830" s="209" t="s">
        <v>65</v>
      </c>
      <c r="B1830" s="210">
        <v>43194</v>
      </c>
      <c r="C1830" s="209" t="s">
        <v>158</v>
      </c>
      <c r="D1830" s="209"/>
      <c r="E1830" s="209" t="s">
        <v>870</v>
      </c>
      <c r="F1830" s="211">
        <v>2</v>
      </c>
      <c r="G1830" s="212">
        <v>6375.25</v>
      </c>
      <c r="H1830" s="211">
        <v>4.0999999999999996</v>
      </c>
      <c r="I1830" s="211"/>
      <c r="J1830" s="213">
        <v>255005.9</v>
      </c>
      <c r="K1830" s="6"/>
      <c r="L1830" s="20">
        <f>IF(ISNA(MATCH(Transactions[[#This Row],[TransType]],TransTypes[TransType],0)),1,MATCH(Transactions[[#This Row],[TransType]],TransTypes[TransType],0))</f>
        <v>19</v>
      </c>
      <c r="M1830" s="214">
        <f>IF( AND( INDEX(TransTypes[],Transactions[[#This Row],[TTR]],TT_COL_GLFlag)=1, INDEX(TransTypes[],Transactions[[#This Row],[TTR]],TT_COL_LONGORSHORT)="S" ),
      Transactions[[#This Row],[PL]],
      IF(INDEX(TransTypes[],Transactions[[#This Row],[TTR]],TT_COL_LONGORSHORT)="S",0,Transactions[[#This Row],[CalCashImpact]])
)</f>
        <v>0</v>
      </c>
      <c r="N1830" s="215">
        <f>IF(VLOOKUP(Transactions[[#This Row],[Symbol]],Symbols[],COLUMN(Symbols[Currency])-COLUMN(Symbols[])+1,FALSE)=
       VLOOKUP(Transactions[[#This Row],[Account]],Accounts[],COLUMN(Accounts[Currency])-COLUMN(Accounts[])+1,FALSE),
     Transactions[[#This Row],[OrigCashImpact]],
     0
)</f>
        <v>0</v>
      </c>
      <c r="O1830"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-157587.73141959208</v>
      </c>
      <c r="P1830"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1830"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v>
      </c>
      <c r="R1830" s="41">
        <f>ROW()</f>
        <v>1830</v>
      </c>
      <c r="S183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-255005.9</v>
      </c>
      <c r="T183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-255005.9</v>
      </c>
      <c r="U1830"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1830" s="220">
        <f>IF(INDEX(TransTypes[],Transactions[[#This Row],[TTR]],TT_COL_GLFlag)=1,Transactions[[#This Row],[CalCashImpact]]+Transactions[[#This Row],[CostImpact]],0)</f>
        <v>0</v>
      </c>
      <c r="W1830" s="221">
        <f>Transactions[[#This Row],[Amount]]*INDEX(TransTypes[],Transactions[[#This Row],[TTR]],TT_COL_AmntSign)</f>
        <v>255005.9</v>
      </c>
      <c r="X1830" s="221">
        <f>IF(INDEX(TransTypes[],Transactions[[#This Row],[TTR]],TT_COL_LONGORSHORT)="S",
      IF( OR(INDEX(TransTypes[],Transactions[[#This Row],[TTR]],TT_COL_GLFlag)=1, INDEX(TransTypes[], Transactions[[#This Row],[TTR]], TT_COL_ShareTransferFlag)=1),
            Transactions[[#This Row],[CostImpact]]*-1,
            Transactions[[#This Row],[CalCashImpact]]
      ),
     0
)</f>
        <v>255005.9</v>
      </c>
      <c r="Y1830" s="222" t="str">
        <f>VLOOKUP(Transactions[[#This Row],[Symbol]],Symbols[], COLUMN(Symbols[Currency])-COLUMN(Symbols[])+1,FALSE)</f>
        <v>USD</v>
      </c>
    </row>
    <row r="1831" spans="1:25">
      <c r="A1831" s="209" t="s">
        <v>65</v>
      </c>
      <c r="B1831" s="210">
        <v>43194</v>
      </c>
      <c r="C1831" s="209" t="s">
        <v>121</v>
      </c>
      <c r="D1831" s="209"/>
      <c r="E1831" s="209" t="s">
        <v>208</v>
      </c>
      <c r="F1831" s="211"/>
      <c r="G1831" s="212"/>
      <c r="H1831" s="211"/>
      <c r="I1831" s="211"/>
      <c r="J1831" s="213">
        <v>4.5</v>
      </c>
      <c r="K1831" s="6" t="s">
        <v>872</v>
      </c>
      <c r="L1831" s="20">
        <f>IF(ISNA(MATCH(Transactions[[#This Row],[TransType]],TransTypes[TransType],0)),1,MATCH(Transactions[[#This Row],[TransType]],TransTypes[TransType],0))</f>
        <v>6</v>
      </c>
      <c r="M1831" s="214">
        <f>IF( AND( INDEX(TransTypes[],Transactions[[#This Row],[TTR]],TT_COL_GLFlag)=1, INDEX(TransTypes[],Transactions[[#This Row],[TTR]],TT_COL_LONGORSHORT)="S" ),
      Transactions[[#This Row],[PL]],
      IF(INDEX(TransTypes[],Transactions[[#This Row],[TTR]],TT_COL_LONGORSHORT)="S",0,Transactions[[#This Row],[CalCashImpact]])
)</f>
        <v>-4.5</v>
      </c>
      <c r="N1831" s="215">
        <f>IF(VLOOKUP(Transactions[[#This Row],[Symbol]],Symbols[],COLUMN(Symbols[Currency])-COLUMN(Symbols[])+1,FALSE)=
       VLOOKUP(Transactions[[#This Row],[Account]],Accounts[],COLUMN(Accounts[Currency])-COLUMN(Accounts[])+1,FALSE),
     Transactions[[#This Row],[OrigCashImpact]],
     0
)</f>
        <v>-4.5</v>
      </c>
      <c r="O1831"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-157592.23141959208</v>
      </c>
      <c r="P1831"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31"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31" s="41">
        <f>ROW()</f>
        <v>1831</v>
      </c>
      <c r="S183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3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31"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31" s="220">
        <f>IF(INDEX(TransTypes[],Transactions[[#This Row],[TTR]],TT_COL_GLFlag)=1,Transactions[[#This Row],[CalCashImpact]]+Transactions[[#This Row],[CostImpact]],0)</f>
        <v>0</v>
      </c>
      <c r="W1831" s="221">
        <f>Transactions[[#This Row],[Amount]]*INDEX(TransTypes[],Transactions[[#This Row],[TTR]],TT_COL_AmntSign)</f>
        <v>-4.5</v>
      </c>
      <c r="X1831" s="221">
        <f>IF(INDEX(TransTypes[],Transactions[[#This Row],[TTR]],TT_COL_LONGORSHORT)="S",
      IF( OR(INDEX(TransTypes[],Transactions[[#This Row],[TTR]],TT_COL_GLFlag)=1, INDEX(TransTypes[], Transactions[[#This Row],[TTR]], TT_COL_ShareTransferFlag)=1),
            Transactions[[#This Row],[CostImpact]]*-1,
            Transactions[[#This Row],[CalCashImpact]]
      ),
     0
)</f>
        <v>0</v>
      </c>
      <c r="Y1831" s="222" t="str">
        <f>VLOOKUP(Transactions[[#This Row],[Symbol]],Symbols[], COLUMN(Symbols[Currency])-COLUMN(Symbols[])+1,FALSE)</f>
        <v>USD</v>
      </c>
    </row>
    <row r="1832" spans="1:25">
      <c r="A1832" s="209" t="s">
        <v>65</v>
      </c>
      <c r="B1832" s="210">
        <v>43194</v>
      </c>
      <c r="C1832" s="209" t="s">
        <v>121</v>
      </c>
      <c r="D1832" s="209"/>
      <c r="E1832" s="209" t="s">
        <v>208</v>
      </c>
      <c r="F1832" s="211"/>
      <c r="G1832" s="212"/>
      <c r="H1832" s="211"/>
      <c r="I1832" s="211"/>
      <c r="J1832" s="213">
        <v>16.559999999999999</v>
      </c>
      <c r="K1832" s="6" t="s">
        <v>873</v>
      </c>
      <c r="L1832" s="20">
        <f>IF(ISNA(MATCH(Transactions[[#This Row],[TransType]],TransTypes[TransType],0)),1,MATCH(Transactions[[#This Row],[TransType]],TransTypes[TransType],0))</f>
        <v>6</v>
      </c>
      <c r="M1832" s="214">
        <f>IF( AND( INDEX(TransTypes[],Transactions[[#This Row],[TTR]],TT_COL_GLFlag)=1, INDEX(TransTypes[],Transactions[[#This Row],[TTR]],TT_COL_LONGORSHORT)="S" ),
      Transactions[[#This Row],[PL]],
      IF(INDEX(TransTypes[],Transactions[[#This Row],[TTR]],TT_COL_LONGORSHORT)="S",0,Transactions[[#This Row],[CalCashImpact]])
)</f>
        <v>-16.559999999999999</v>
      </c>
      <c r="N1832" s="215">
        <f>IF(VLOOKUP(Transactions[[#This Row],[Symbol]],Symbols[],COLUMN(Symbols[Currency])-COLUMN(Symbols[])+1,FALSE)=
       VLOOKUP(Transactions[[#This Row],[Account]],Accounts[],COLUMN(Accounts[Currency])-COLUMN(Accounts[])+1,FALSE),
     Transactions[[#This Row],[OrigCashImpact]],
     0
)</f>
        <v>-16.559999999999999</v>
      </c>
      <c r="O1832"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-157608.79141959207</v>
      </c>
      <c r="P1832"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32"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32" s="41">
        <f>ROW()</f>
        <v>1832</v>
      </c>
      <c r="S183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3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32"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32" s="220">
        <f>IF(INDEX(TransTypes[],Transactions[[#This Row],[TTR]],TT_COL_GLFlag)=1,Transactions[[#This Row],[CalCashImpact]]+Transactions[[#This Row],[CostImpact]],0)</f>
        <v>0</v>
      </c>
      <c r="W1832" s="221">
        <f>Transactions[[#This Row],[Amount]]*INDEX(TransTypes[],Transactions[[#This Row],[TTR]],TT_COL_AmntSign)</f>
        <v>-16.559999999999999</v>
      </c>
      <c r="X1832" s="221">
        <f>IF(INDEX(TransTypes[],Transactions[[#This Row],[TTR]],TT_COL_LONGORSHORT)="S",
      IF( OR(INDEX(TransTypes[],Transactions[[#This Row],[TTR]],TT_COL_GLFlag)=1, INDEX(TransTypes[], Transactions[[#This Row],[TTR]], TT_COL_ShareTransferFlag)=1),
            Transactions[[#This Row],[CostImpact]]*-1,
            Transactions[[#This Row],[CalCashImpact]]
      ),
     0
)</f>
        <v>0</v>
      </c>
      <c r="Y1832" s="222" t="str">
        <f>VLOOKUP(Transactions[[#This Row],[Symbol]],Symbols[], COLUMN(Symbols[Currency])-COLUMN(Symbols[])+1,FALSE)</f>
        <v>USD</v>
      </c>
    </row>
    <row r="1833" spans="1:25">
      <c r="A1833" s="209" t="s">
        <v>65</v>
      </c>
      <c r="B1833" s="210">
        <v>43194</v>
      </c>
      <c r="C1833" s="209" t="s">
        <v>121</v>
      </c>
      <c r="D1833" s="209"/>
      <c r="E1833" s="209" t="s">
        <v>208</v>
      </c>
      <c r="F1833" s="211"/>
      <c r="G1833" s="212"/>
      <c r="H1833" s="211"/>
      <c r="I1833" s="211"/>
      <c r="J1833" s="213">
        <v>3.19</v>
      </c>
      <c r="K1833" s="6" t="s">
        <v>874</v>
      </c>
      <c r="L1833" s="20">
        <f>IF(ISNA(MATCH(Transactions[[#This Row],[TransType]],TransTypes[TransType],0)),1,MATCH(Transactions[[#This Row],[TransType]],TransTypes[TransType],0))</f>
        <v>6</v>
      </c>
      <c r="M1833" s="214">
        <f>IF( AND( INDEX(TransTypes[],Transactions[[#This Row],[TTR]],TT_COL_GLFlag)=1, INDEX(TransTypes[],Transactions[[#This Row],[TTR]],TT_COL_LONGORSHORT)="S" ),
      Transactions[[#This Row],[PL]],
      IF(INDEX(TransTypes[],Transactions[[#This Row],[TTR]],TT_COL_LONGORSHORT)="S",0,Transactions[[#This Row],[CalCashImpact]])
)</f>
        <v>-3.19</v>
      </c>
      <c r="N1833" s="215">
        <f>IF(VLOOKUP(Transactions[[#This Row],[Symbol]],Symbols[],COLUMN(Symbols[Currency])-COLUMN(Symbols[])+1,FALSE)=
       VLOOKUP(Transactions[[#This Row],[Account]],Accounts[],COLUMN(Accounts[Currency])-COLUMN(Accounts[])+1,FALSE),
     Transactions[[#This Row],[OrigCashImpact]],
     0
)</f>
        <v>-3.19</v>
      </c>
      <c r="O1833"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-157611.98141959208</v>
      </c>
      <c r="P1833"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33"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33" s="41">
        <f>ROW()</f>
        <v>1833</v>
      </c>
      <c r="S183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3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33"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33" s="220">
        <f>IF(INDEX(TransTypes[],Transactions[[#This Row],[TTR]],TT_COL_GLFlag)=1,Transactions[[#This Row],[CalCashImpact]]+Transactions[[#This Row],[CostImpact]],0)</f>
        <v>0</v>
      </c>
      <c r="W1833" s="221">
        <f>Transactions[[#This Row],[Amount]]*INDEX(TransTypes[],Transactions[[#This Row],[TTR]],TT_COL_AmntSign)</f>
        <v>-3.19</v>
      </c>
      <c r="X1833" s="221">
        <f>IF(INDEX(TransTypes[],Transactions[[#This Row],[TTR]],TT_COL_LONGORSHORT)="S",
      IF( OR(INDEX(TransTypes[],Transactions[[#This Row],[TTR]],TT_COL_GLFlag)=1, INDEX(TransTypes[], Transactions[[#This Row],[TTR]], TT_COL_ShareTransferFlag)=1),
            Transactions[[#This Row],[CostImpact]]*-1,
            Transactions[[#This Row],[CalCashImpact]]
      ),
     0
)</f>
        <v>0</v>
      </c>
      <c r="Y1833" s="222" t="str">
        <f>VLOOKUP(Transactions[[#This Row],[Symbol]],Symbols[], COLUMN(Symbols[Currency])-COLUMN(Symbols[])+1,FALSE)</f>
        <v>USD</v>
      </c>
    </row>
    <row r="1834" spans="1:25">
      <c r="A1834" s="209" t="s">
        <v>65</v>
      </c>
      <c r="B1834" s="210">
        <v>43194</v>
      </c>
      <c r="C1834" s="209" t="s">
        <v>121</v>
      </c>
      <c r="D1834" s="209"/>
      <c r="E1834" s="209" t="s">
        <v>208</v>
      </c>
      <c r="F1834" s="211"/>
      <c r="G1834" s="212"/>
      <c r="H1834" s="211"/>
      <c r="I1834" s="211"/>
      <c r="J1834" s="213">
        <v>10</v>
      </c>
      <c r="K1834" s="6" t="s">
        <v>875</v>
      </c>
      <c r="L1834" s="20">
        <f>IF(ISNA(MATCH(Transactions[[#This Row],[TransType]],TransTypes[TransType],0)),1,MATCH(Transactions[[#This Row],[TransType]],TransTypes[TransType],0))</f>
        <v>6</v>
      </c>
      <c r="M1834" s="214">
        <f>IF( AND( INDEX(TransTypes[],Transactions[[#This Row],[TTR]],TT_COL_GLFlag)=1, INDEX(TransTypes[],Transactions[[#This Row],[TTR]],TT_COL_LONGORSHORT)="S" ),
      Transactions[[#This Row],[PL]],
      IF(INDEX(TransTypes[],Transactions[[#This Row],[TTR]],TT_COL_LONGORSHORT)="S",0,Transactions[[#This Row],[CalCashImpact]])
)</f>
        <v>-10</v>
      </c>
      <c r="N1834" s="215">
        <f>IF(VLOOKUP(Transactions[[#This Row],[Symbol]],Symbols[],COLUMN(Symbols[Currency])-COLUMN(Symbols[])+1,FALSE)=
       VLOOKUP(Transactions[[#This Row],[Account]],Accounts[],COLUMN(Accounts[Currency])-COLUMN(Accounts[])+1,FALSE),
     Transactions[[#This Row],[OrigCashImpact]],
     0
)</f>
        <v>-10</v>
      </c>
      <c r="O1834"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-157621.98141959208</v>
      </c>
      <c r="P1834"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34"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34" s="41">
        <f>ROW()</f>
        <v>1834</v>
      </c>
      <c r="S183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3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34"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34" s="220">
        <f>IF(INDEX(TransTypes[],Transactions[[#This Row],[TTR]],TT_COL_GLFlag)=1,Transactions[[#This Row],[CalCashImpact]]+Transactions[[#This Row],[CostImpact]],0)</f>
        <v>0</v>
      </c>
      <c r="W1834" s="221">
        <f>Transactions[[#This Row],[Amount]]*INDEX(TransTypes[],Transactions[[#This Row],[TTR]],TT_COL_AmntSign)</f>
        <v>-10</v>
      </c>
      <c r="X1834" s="221">
        <f>IF(INDEX(TransTypes[],Transactions[[#This Row],[TTR]],TT_COL_LONGORSHORT)="S",
      IF( OR(INDEX(TransTypes[],Transactions[[#This Row],[TTR]],TT_COL_GLFlag)=1, INDEX(TransTypes[], Transactions[[#This Row],[TTR]], TT_COL_ShareTransferFlag)=1),
            Transactions[[#This Row],[CostImpact]]*-1,
            Transactions[[#This Row],[CalCashImpact]]
      ),
     0
)</f>
        <v>0</v>
      </c>
      <c r="Y1834" s="222" t="str">
        <f>VLOOKUP(Transactions[[#This Row],[Symbol]],Symbols[], COLUMN(Symbols[Currency])-COLUMN(Symbols[])+1,FALSE)</f>
        <v>USD</v>
      </c>
    </row>
    <row r="1835" spans="1:25">
      <c r="A1835" s="209" t="s">
        <v>65</v>
      </c>
      <c r="B1835" s="210">
        <v>43194</v>
      </c>
      <c r="C1835" s="209" t="s">
        <v>240</v>
      </c>
      <c r="D1835" s="209"/>
      <c r="E1835" s="209" t="s">
        <v>208</v>
      </c>
      <c r="F1835" s="211"/>
      <c r="G1835" s="212"/>
      <c r="H1835" s="211"/>
      <c r="I1835" s="211"/>
      <c r="J1835" s="213">
        <v>0.91</v>
      </c>
      <c r="K1835" s="6" t="s">
        <v>876</v>
      </c>
      <c r="L1835" s="20">
        <f>IF(ISNA(MATCH(Transactions[[#This Row],[TransType]],TransTypes[TransType],0)),1,MATCH(Transactions[[#This Row],[TransType]],TransTypes[TransType],0))</f>
        <v>8</v>
      </c>
      <c r="M1835" s="214">
        <f>IF( AND( INDEX(TransTypes[],Transactions[[#This Row],[TTR]],TT_COL_GLFlag)=1, INDEX(TransTypes[],Transactions[[#This Row],[TTR]],TT_COL_LONGORSHORT)="S" ),
      Transactions[[#This Row],[PL]],
      IF(INDEX(TransTypes[],Transactions[[#This Row],[TTR]],TT_COL_LONGORSHORT)="S",0,Transactions[[#This Row],[CalCashImpact]])
)</f>
        <v>0.91</v>
      </c>
      <c r="N1835" s="215">
        <f>IF(VLOOKUP(Transactions[[#This Row],[Symbol]],Symbols[],COLUMN(Symbols[Currency])-COLUMN(Symbols[])+1,FALSE)=
       VLOOKUP(Transactions[[#This Row],[Account]],Accounts[],COLUMN(Accounts[Currency])-COLUMN(Accounts[])+1,FALSE),
     Transactions[[#This Row],[OrigCashImpact]],
     0
)</f>
        <v>0.91</v>
      </c>
      <c r="O1835"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-157621.07141959207</v>
      </c>
      <c r="P1835"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35"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35" s="41">
        <f>ROW()</f>
        <v>1835</v>
      </c>
      <c r="S183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3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35"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35" s="220">
        <f>IF(INDEX(TransTypes[],Transactions[[#This Row],[TTR]],TT_COL_GLFlag)=1,Transactions[[#This Row],[CalCashImpact]]+Transactions[[#This Row],[CostImpact]],0)</f>
        <v>0</v>
      </c>
      <c r="W1835" s="221">
        <f>Transactions[[#This Row],[Amount]]*INDEX(TransTypes[],Transactions[[#This Row],[TTR]],TT_COL_AmntSign)</f>
        <v>0.91</v>
      </c>
      <c r="X1835" s="221">
        <f>IF(INDEX(TransTypes[],Transactions[[#This Row],[TTR]],TT_COL_LONGORSHORT)="S",
      IF( OR(INDEX(TransTypes[],Transactions[[#This Row],[TTR]],TT_COL_GLFlag)=1, INDEX(TransTypes[], Transactions[[#This Row],[TTR]], TT_COL_ShareTransferFlag)=1),
            Transactions[[#This Row],[CostImpact]]*-1,
            Transactions[[#This Row],[CalCashImpact]]
      ),
     0
)</f>
        <v>0</v>
      </c>
      <c r="Y1835" s="222" t="str">
        <f>VLOOKUP(Transactions[[#This Row],[Symbol]],Symbols[], COLUMN(Symbols[Currency])-COLUMN(Symbols[])+1,FALSE)</f>
        <v>USD</v>
      </c>
    </row>
    <row r="1836" spans="1:25">
      <c r="A1836" s="209" t="s">
        <v>65</v>
      </c>
      <c r="B1836" s="210">
        <v>43194</v>
      </c>
      <c r="C1836" s="209" t="s">
        <v>241</v>
      </c>
      <c r="D1836" s="209"/>
      <c r="E1836" s="209" t="s">
        <v>208</v>
      </c>
      <c r="F1836" s="211"/>
      <c r="G1836" s="212"/>
      <c r="H1836" s="211"/>
      <c r="I1836" s="211"/>
      <c r="J1836" s="213">
        <v>10.76</v>
      </c>
      <c r="K1836" s="6" t="s">
        <v>877</v>
      </c>
      <c r="L1836" s="20">
        <f>IF(ISNA(MATCH(Transactions[[#This Row],[TransType]],TransTypes[TransType],0)),1,MATCH(Transactions[[#This Row],[TransType]],TransTypes[TransType],0))</f>
        <v>9</v>
      </c>
      <c r="M1836" s="214">
        <f>IF( AND( INDEX(TransTypes[],Transactions[[#This Row],[TTR]],TT_COL_GLFlag)=1, INDEX(TransTypes[],Transactions[[#This Row],[TTR]],TT_COL_LONGORSHORT)="S" ),
      Transactions[[#This Row],[PL]],
      IF(INDEX(TransTypes[],Transactions[[#This Row],[TTR]],TT_COL_LONGORSHORT)="S",0,Transactions[[#This Row],[CalCashImpact]])
)</f>
        <v>-10.76</v>
      </c>
      <c r="N1836" s="215">
        <f>IF(VLOOKUP(Transactions[[#This Row],[Symbol]],Symbols[],COLUMN(Symbols[Currency])-COLUMN(Symbols[])+1,FALSE)=
       VLOOKUP(Transactions[[#This Row],[Account]],Accounts[],COLUMN(Accounts[Currency])-COLUMN(Accounts[])+1,FALSE),
     Transactions[[#This Row],[OrigCashImpact]],
     0
)</f>
        <v>-10.76</v>
      </c>
      <c r="O1836"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-157631.83141959208</v>
      </c>
      <c r="P1836"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36"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36" s="41">
        <f>ROW()</f>
        <v>1836</v>
      </c>
      <c r="S183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3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36"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36" s="220">
        <f>IF(INDEX(TransTypes[],Transactions[[#This Row],[TTR]],TT_COL_GLFlag)=1,Transactions[[#This Row],[CalCashImpact]]+Transactions[[#This Row],[CostImpact]],0)</f>
        <v>0</v>
      </c>
      <c r="W1836" s="221">
        <f>Transactions[[#This Row],[Amount]]*INDEX(TransTypes[],Transactions[[#This Row],[TTR]],TT_COL_AmntSign)</f>
        <v>-10.76</v>
      </c>
      <c r="X1836" s="221">
        <f>IF(INDEX(TransTypes[],Transactions[[#This Row],[TTR]],TT_COL_LONGORSHORT)="S",
      IF( OR(INDEX(TransTypes[],Transactions[[#This Row],[TTR]],TT_COL_GLFlag)=1, INDEX(TransTypes[], Transactions[[#This Row],[TTR]], TT_COL_ShareTransferFlag)=1),
            Transactions[[#This Row],[CostImpact]]*-1,
            Transactions[[#This Row],[CalCashImpact]]
      ),
     0
)</f>
        <v>0</v>
      </c>
      <c r="Y1836" s="222" t="str">
        <f>VLOOKUP(Transactions[[#This Row],[Symbol]],Symbols[], COLUMN(Symbols[Currency])-COLUMN(Symbols[])+1,FALSE)</f>
        <v>USD</v>
      </c>
    </row>
    <row r="1837" spans="1:25">
      <c r="A1837" s="209" t="s">
        <v>65</v>
      </c>
      <c r="B1837" s="210">
        <v>43194</v>
      </c>
      <c r="C1837" s="209" t="s">
        <v>240</v>
      </c>
      <c r="D1837" s="209"/>
      <c r="E1837" s="209" t="s">
        <v>208</v>
      </c>
      <c r="F1837" s="211"/>
      <c r="G1837" s="212"/>
      <c r="H1837" s="211"/>
      <c r="I1837" s="211"/>
      <c r="J1837" s="213">
        <v>15.64</v>
      </c>
      <c r="K1837" s="6" t="s">
        <v>878</v>
      </c>
      <c r="L1837" s="20">
        <f>IF(ISNA(MATCH(Transactions[[#This Row],[TransType]],TransTypes[TransType],0)),1,MATCH(Transactions[[#This Row],[TransType]],TransTypes[TransType],0))</f>
        <v>8</v>
      </c>
      <c r="M1837" s="214">
        <f>IF( AND( INDEX(TransTypes[],Transactions[[#This Row],[TTR]],TT_COL_GLFlag)=1, INDEX(TransTypes[],Transactions[[#This Row],[TTR]],TT_COL_LONGORSHORT)="S" ),
      Transactions[[#This Row],[PL]],
      IF(INDEX(TransTypes[],Transactions[[#This Row],[TTR]],TT_COL_LONGORSHORT)="S",0,Transactions[[#This Row],[CalCashImpact]])
)</f>
        <v>15.64</v>
      </c>
      <c r="N1837" s="215">
        <f>IF(VLOOKUP(Transactions[[#This Row],[Symbol]],Symbols[],COLUMN(Symbols[Currency])-COLUMN(Symbols[])+1,FALSE)=
       VLOOKUP(Transactions[[#This Row],[Account]],Accounts[],COLUMN(Accounts[Currency])-COLUMN(Accounts[])+1,FALSE),
     Transactions[[#This Row],[OrigCashImpact]],
     0
)</f>
        <v>15.64</v>
      </c>
      <c r="O1837"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-157616.19141959207</v>
      </c>
      <c r="P1837"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37"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37" s="41">
        <f>ROW()</f>
        <v>1837</v>
      </c>
      <c r="S183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3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37"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37" s="220">
        <f>IF(INDEX(TransTypes[],Transactions[[#This Row],[TTR]],TT_COL_GLFlag)=1,Transactions[[#This Row],[CalCashImpact]]+Transactions[[#This Row],[CostImpact]],0)</f>
        <v>0</v>
      </c>
      <c r="W1837" s="221">
        <f>Transactions[[#This Row],[Amount]]*INDEX(TransTypes[],Transactions[[#This Row],[TTR]],TT_COL_AmntSign)</f>
        <v>15.64</v>
      </c>
      <c r="X1837" s="221">
        <f>IF(INDEX(TransTypes[],Transactions[[#This Row],[TTR]],TT_COL_LONGORSHORT)="S",
      IF( OR(INDEX(TransTypes[],Transactions[[#This Row],[TTR]],TT_COL_GLFlag)=1, INDEX(TransTypes[], Transactions[[#This Row],[TTR]], TT_COL_ShareTransferFlag)=1),
            Transactions[[#This Row],[CostImpact]]*-1,
            Transactions[[#This Row],[CalCashImpact]]
      ),
     0
)</f>
        <v>0</v>
      </c>
      <c r="Y1837" s="222" t="str">
        <f>VLOOKUP(Transactions[[#This Row],[Symbol]],Symbols[], COLUMN(Symbols[Currency])-COLUMN(Symbols[])+1,FALSE)</f>
        <v>USD</v>
      </c>
    </row>
    <row r="1838" spans="1:25">
      <c r="A1838" s="209" t="s">
        <v>65</v>
      </c>
      <c r="B1838" s="210">
        <v>43195</v>
      </c>
      <c r="C1838" s="209" t="s">
        <v>160</v>
      </c>
      <c r="D1838" s="209"/>
      <c r="E1838" s="209" t="s">
        <v>870</v>
      </c>
      <c r="F1838" s="211">
        <v>2</v>
      </c>
      <c r="G1838" s="212">
        <v>6641.25</v>
      </c>
      <c r="H1838" s="211">
        <v>4.0999999999999996</v>
      </c>
      <c r="I1838" s="211"/>
      <c r="J1838" s="213">
        <v>265654.09999999998</v>
      </c>
      <c r="K1838" s="6"/>
      <c r="L1838" s="20">
        <f>IF(ISNA(MATCH(Transactions[[#This Row],[TransType]],TransTypes[TransType],0)),1,MATCH(Transactions[[#This Row],[TransType]],TransTypes[TransType],0))</f>
        <v>20</v>
      </c>
      <c r="M1838" s="214">
        <f>IF( AND( INDEX(TransTypes[],Transactions[[#This Row],[TTR]],TT_COL_GLFlag)=1, INDEX(TransTypes[],Transactions[[#This Row],[TTR]],TT_COL_LONGORSHORT)="S" ),
      Transactions[[#This Row],[PL]],
      IF(INDEX(TransTypes[],Transactions[[#This Row],[TTR]],TT_COL_LONGORSHORT)="S",0,Transactions[[#This Row],[CalCashImpact]])
)</f>
        <v>-10648.199999999983</v>
      </c>
      <c r="N1838" s="215">
        <f>IF(VLOOKUP(Transactions[[#This Row],[Symbol]],Symbols[],COLUMN(Symbols[Currency])-COLUMN(Symbols[])+1,FALSE)=
       VLOOKUP(Transactions[[#This Row],[Account]],Accounts[],COLUMN(Accounts[Currency])-COLUMN(Accounts[])+1,FALSE),
     Transactions[[#This Row],[OrigCashImpact]],
     0
)</f>
        <v>-10648.199999999983</v>
      </c>
      <c r="O1838" s="216">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-168264.39141959205</v>
      </c>
      <c r="P1838" s="217">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1838" s="218">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38" s="41">
        <f>ROW()</f>
        <v>1838</v>
      </c>
      <c r="S183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255005.9</v>
      </c>
      <c r="T183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38" s="219">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1838" s="220">
        <f>IF(INDEX(TransTypes[],Transactions[[#This Row],[TTR]],TT_COL_GLFlag)=1,Transactions[[#This Row],[CalCashImpact]]+Transactions[[#This Row],[CostImpact]],0)</f>
        <v>-10648.199999999983</v>
      </c>
      <c r="W1838" s="221">
        <f>Transactions[[#This Row],[Amount]]*INDEX(TransTypes[],Transactions[[#This Row],[TTR]],TT_COL_AmntSign)</f>
        <v>-265654.09999999998</v>
      </c>
      <c r="X1838" s="221">
        <f>IF(INDEX(TransTypes[],Transactions[[#This Row],[TTR]],TT_COL_LONGORSHORT)="S",
      IF( OR(INDEX(TransTypes[],Transactions[[#This Row],[TTR]],TT_COL_GLFlag)=1, INDEX(TransTypes[], Transactions[[#This Row],[TTR]], TT_COL_ShareTransferFlag)=1),
            Transactions[[#This Row],[CostImpact]]*-1,
            Transactions[[#This Row],[CalCashImpact]]
      ),
     0
)</f>
        <v>-255005.9</v>
      </c>
      <c r="Y1838" s="222" t="str">
        <f>VLOOKUP(Transactions[[#This Row],[Symbol]],Symbols[], COLUMN(Symbols[Currency])-COLUMN(Symbols[])+1,FALSE)</f>
        <v>USD</v>
      </c>
    </row>
    <row r="1839" spans="1:25">
      <c r="A1839" s="223" t="s">
        <v>77</v>
      </c>
      <c r="B1839" s="224">
        <v>43188</v>
      </c>
      <c r="C1839" s="223" t="s">
        <v>118</v>
      </c>
      <c r="D1839" s="223"/>
      <c r="E1839" s="223" t="s">
        <v>510</v>
      </c>
      <c r="F1839" s="225"/>
      <c r="G1839" s="226"/>
      <c r="H1839" s="225"/>
      <c r="I1839" s="225"/>
      <c r="J1839" s="227">
        <v>49.53</v>
      </c>
      <c r="K1839" s="6" t="s">
        <v>571</v>
      </c>
      <c r="L1839" s="20">
        <f>IF(ISNA(MATCH(Transactions[[#This Row],[TransType]],TransTypes[TransType],0)),1,MATCH(Transactions[[#This Row],[TransType]],TransTypes[TransType],0))</f>
        <v>4</v>
      </c>
      <c r="M1839" s="228">
        <f>IF( AND( INDEX(TransTypes[],Transactions[[#This Row],[TTR]],TT_COL_GLFlag)=1, INDEX(TransTypes[],Transactions[[#This Row],[TTR]],TT_COL_LONGORSHORT)="S" ),
      Transactions[[#This Row],[PL]],
      IF(INDEX(TransTypes[],Transactions[[#This Row],[TTR]],TT_COL_LONGORSHORT)="S",0,Transactions[[#This Row],[CalCashImpact]])
)</f>
        <v>49.53</v>
      </c>
      <c r="N1839" s="229">
        <f>IF(VLOOKUP(Transactions[[#This Row],[Symbol]],Symbols[],COLUMN(Symbols[Currency])-COLUMN(Symbols[])+1,FALSE)=
       VLOOKUP(Transactions[[#This Row],[Account]],Accounts[],COLUMN(Accounts[Currency])-COLUMN(Accounts[])+1,FALSE),
     Transactions[[#This Row],[OrigCashImpact]],
     0
)</f>
        <v>49.53</v>
      </c>
      <c r="O1839"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10782.869999999835</v>
      </c>
      <c r="P1839"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39"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559</v>
      </c>
      <c r="R1839" s="41">
        <f>ROW()</f>
        <v>1839</v>
      </c>
      <c r="S183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3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25098.75</v>
      </c>
      <c r="U1839"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559</v>
      </c>
      <c r="V1839" s="234">
        <f>IF(INDEX(TransTypes[],Transactions[[#This Row],[TTR]],TT_COL_GLFlag)=1,Transactions[[#This Row],[CalCashImpact]]+Transactions[[#This Row],[CostImpact]],0)</f>
        <v>0</v>
      </c>
      <c r="W1839" s="235">
        <f>Transactions[[#This Row],[Amount]]*INDEX(TransTypes[],Transactions[[#This Row],[TTR]],TT_COL_AmntSign)</f>
        <v>49.53</v>
      </c>
      <c r="X1839" s="235">
        <f>IF(INDEX(TransTypes[],Transactions[[#This Row],[TTR]],TT_COL_LONGORSHORT)="S",
      IF( OR(INDEX(TransTypes[],Transactions[[#This Row],[TTR]],TT_COL_GLFlag)=1, INDEX(TransTypes[], Transactions[[#This Row],[TTR]], TT_COL_ShareTransferFlag)=1),
            Transactions[[#This Row],[CostImpact]]*-1,
            Transactions[[#This Row],[CalCashImpact]]
      ),
     0
)</f>
        <v>0</v>
      </c>
      <c r="Y1839" s="236" t="str">
        <f>VLOOKUP(Transactions[[#This Row],[Symbol]],Symbols[], COLUMN(Symbols[Currency])-COLUMN(Symbols[])+1,FALSE)</f>
        <v>USD</v>
      </c>
    </row>
    <row r="1840" spans="1:25">
      <c r="A1840" s="223" t="s">
        <v>77</v>
      </c>
      <c r="B1840" s="224">
        <v>43188</v>
      </c>
      <c r="C1840" s="223" t="s">
        <v>123</v>
      </c>
      <c r="D1840" s="223"/>
      <c r="E1840" s="223" t="s">
        <v>510</v>
      </c>
      <c r="F1840" s="225"/>
      <c r="G1840" s="226"/>
      <c r="H1840" s="225"/>
      <c r="I1840" s="225"/>
      <c r="J1840" s="227">
        <v>7.43</v>
      </c>
      <c r="K1840" s="6" t="s">
        <v>572</v>
      </c>
      <c r="L1840" s="20">
        <f>IF(ISNA(MATCH(Transactions[[#This Row],[TransType]],TransTypes[TransType],0)),1,MATCH(Transactions[[#This Row],[TransType]],TransTypes[TransType],0))</f>
        <v>7</v>
      </c>
      <c r="M1840" s="228">
        <f>IF( AND( INDEX(TransTypes[],Transactions[[#This Row],[TTR]],TT_COL_GLFlag)=1, INDEX(TransTypes[],Transactions[[#This Row],[TTR]],TT_COL_LONGORSHORT)="S" ),
      Transactions[[#This Row],[PL]],
      IF(INDEX(TransTypes[],Transactions[[#This Row],[TTR]],TT_COL_LONGORSHORT)="S",0,Transactions[[#This Row],[CalCashImpact]])
)</f>
        <v>-7.43</v>
      </c>
      <c r="N1840" s="229">
        <f>IF(VLOOKUP(Transactions[[#This Row],[Symbol]],Symbols[],COLUMN(Symbols[Currency])-COLUMN(Symbols[])+1,FALSE)=
       VLOOKUP(Transactions[[#This Row],[Account]],Accounts[],COLUMN(Accounts[Currency])-COLUMN(Accounts[])+1,FALSE),
     Transactions[[#This Row],[OrigCashImpact]],
     0
)</f>
        <v>-7.43</v>
      </c>
      <c r="O1840"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10775.439999999835</v>
      </c>
      <c r="P1840"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40"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559</v>
      </c>
      <c r="R1840" s="41">
        <f>ROW()</f>
        <v>1840</v>
      </c>
      <c r="S184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4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25098.75</v>
      </c>
      <c r="U1840"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559</v>
      </c>
      <c r="V1840" s="234">
        <f>IF(INDEX(TransTypes[],Transactions[[#This Row],[TTR]],TT_COL_GLFlag)=1,Transactions[[#This Row],[CalCashImpact]]+Transactions[[#This Row],[CostImpact]],0)</f>
        <v>0</v>
      </c>
      <c r="W1840" s="235">
        <f>Transactions[[#This Row],[Amount]]*INDEX(TransTypes[],Transactions[[#This Row],[TTR]],TT_COL_AmntSign)</f>
        <v>-7.43</v>
      </c>
      <c r="X1840" s="235">
        <f>IF(INDEX(TransTypes[],Transactions[[#This Row],[TTR]],TT_COL_LONGORSHORT)="S",
      IF( OR(INDEX(TransTypes[],Transactions[[#This Row],[TTR]],TT_COL_GLFlag)=1, INDEX(TransTypes[], Transactions[[#This Row],[TTR]], TT_COL_ShareTransferFlag)=1),
            Transactions[[#This Row],[CostImpact]]*-1,
            Transactions[[#This Row],[CalCashImpact]]
      ),
     0
)</f>
        <v>0</v>
      </c>
      <c r="Y1840" s="236" t="str">
        <f>VLOOKUP(Transactions[[#This Row],[Symbol]],Symbols[], COLUMN(Symbols[Currency])-COLUMN(Symbols[])+1,FALSE)</f>
        <v>USD</v>
      </c>
    </row>
    <row r="1841" spans="1:25">
      <c r="A1841" s="223" t="s">
        <v>77</v>
      </c>
      <c r="B1841" s="224">
        <v>43192</v>
      </c>
      <c r="C1841" s="223" t="s">
        <v>113</v>
      </c>
      <c r="D1841" s="223"/>
      <c r="E1841" s="223" t="s">
        <v>313</v>
      </c>
      <c r="F1841" s="225">
        <v>400</v>
      </c>
      <c r="G1841" s="226">
        <v>26.2849</v>
      </c>
      <c r="H1841" s="225">
        <v>9.99</v>
      </c>
      <c r="I1841" s="225"/>
      <c r="J1841" s="227">
        <v>10523.95</v>
      </c>
      <c r="K1841" s="6" t="s">
        <v>879</v>
      </c>
      <c r="L1841" s="20">
        <f>IF(ISNA(MATCH(Transactions[[#This Row],[TransType]],TransTypes[TransType],0)),1,MATCH(Transactions[[#This Row],[TransType]],TransTypes[TransType],0))</f>
        <v>2</v>
      </c>
      <c r="M1841" s="228">
        <f>IF( AND( INDEX(TransTypes[],Transactions[[#This Row],[TTR]],TT_COL_GLFlag)=1, INDEX(TransTypes[],Transactions[[#This Row],[TTR]],TT_COL_LONGORSHORT)="S" ),
      Transactions[[#This Row],[PL]],
      IF(INDEX(TransTypes[],Transactions[[#This Row],[TTR]],TT_COL_LONGORSHORT)="S",0,Transactions[[#This Row],[CalCashImpact]])
)</f>
        <v>-10523.95</v>
      </c>
      <c r="N1841" s="229">
        <f>IF(VLOOKUP(Transactions[[#This Row],[Symbol]],Symbols[],COLUMN(Symbols[Currency])-COLUMN(Symbols[])+1,FALSE)=
       VLOOKUP(Transactions[[#This Row],[Account]],Accounts[],COLUMN(Accounts[Currency])-COLUMN(Accounts[])+1,FALSE),
     Transactions[[#This Row],[OrigCashImpact]],
     0
)</f>
        <v>-10523.95</v>
      </c>
      <c r="O1841"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251.48999999983425</v>
      </c>
      <c r="P1841"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841"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1754</v>
      </c>
      <c r="R1841" s="41">
        <f>ROW()</f>
        <v>1841</v>
      </c>
      <c r="S184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10523.95</v>
      </c>
      <c r="T184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46351.17</v>
      </c>
      <c r="U1841"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1754</v>
      </c>
      <c r="V1841" s="234">
        <f>IF(INDEX(TransTypes[],Transactions[[#This Row],[TTR]],TT_COL_GLFlag)=1,Transactions[[#This Row],[CalCashImpact]]+Transactions[[#This Row],[CostImpact]],0)</f>
        <v>0</v>
      </c>
      <c r="W1841" s="235">
        <f>Transactions[[#This Row],[Amount]]*INDEX(TransTypes[],Transactions[[#This Row],[TTR]],TT_COL_AmntSign)</f>
        <v>-10523.95</v>
      </c>
      <c r="X1841" s="235">
        <f>IF(INDEX(TransTypes[],Transactions[[#This Row],[TTR]],TT_COL_LONGORSHORT)="S",
      IF( OR(INDEX(TransTypes[],Transactions[[#This Row],[TTR]],TT_COL_GLFlag)=1, INDEX(TransTypes[], Transactions[[#This Row],[TTR]], TT_COL_ShareTransferFlag)=1),
            Transactions[[#This Row],[CostImpact]]*-1,
            Transactions[[#This Row],[CalCashImpact]]
      ),
     0
)</f>
        <v>0</v>
      </c>
      <c r="Y1841" s="236" t="str">
        <f>VLOOKUP(Transactions[[#This Row],[Symbol]],Symbols[], COLUMN(Symbols[Currency])-COLUMN(Symbols[])+1,FALSE)</f>
        <v>USD</v>
      </c>
    </row>
    <row r="1842" spans="1:25">
      <c r="A1842" s="223" t="s">
        <v>77</v>
      </c>
      <c r="B1842" s="224">
        <v>43192</v>
      </c>
      <c r="C1842" s="223" t="s">
        <v>115</v>
      </c>
      <c r="D1842" s="223"/>
      <c r="E1842" s="223" t="s">
        <v>27</v>
      </c>
      <c r="F1842" s="225">
        <v>105</v>
      </c>
      <c r="G1842" s="226">
        <v>127.04009523809501</v>
      </c>
      <c r="H1842" s="225">
        <v>9.99</v>
      </c>
      <c r="I1842" s="225"/>
      <c r="J1842" s="227">
        <v>13329.22</v>
      </c>
      <c r="K1842" s="6" t="s">
        <v>880</v>
      </c>
      <c r="L1842" s="20">
        <f>IF(ISNA(MATCH(Transactions[[#This Row],[TransType]],TransTypes[TransType],0)),1,MATCH(Transactions[[#This Row],[TransType]],TransTypes[TransType],0))</f>
        <v>3</v>
      </c>
      <c r="M1842" s="228">
        <f>IF( AND( INDEX(TransTypes[],Transactions[[#This Row],[TTR]],TT_COL_GLFlag)=1, INDEX(TransTypes[],Transactions[[#This Row],[TTR]],TT_COL_LONGORSHORT)="S" ),
      Transactions[[#This Row],[PL]],
      IF(INDEX(TransTypes[],Transactions[[#This Row],[TTR]],TT_COL_LONGORSHORT)="S",0,Transactions[[#This Row],[CalCashImpact]])
)</f>
        <v>13329.22</v>
      </c>
      <c r="N1842" s="229">
        <f>IF(VLOOKUP(Transactions[[#This Row],[Symbol]],Symbols[],COLUMN(Symbols[Currency])-COLUMN(Symbols[])+1,FALSE)=
       VLOOKUP(Transactions[[#This Row],[Account]],Accounts[],COLUMN(Accounts[Currency])-COLUMN(Accounts[])+1,FALSE),
     Transactions[[#This Row],[OrigCashImpact]],
     0
)</f>
        <v>13329.22</v>
      </c>
      <c r="O1842"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13580.709999999834</v>
      </c>
      <c r="P1842"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-105</v>
      </c>
      <c r="Q1842"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842" s="41">
        <f>ROW()</f>
        <v>1842</v>
      </c>
      <c r="S184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-12908.721077283373</v>
      </c>
      <c r="T184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24588.040147206426</v>
      </c>
      <c r="U1842"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305</v>
      </c>
      <c r="V1842" s="234">
        <f>IF(INDEX(TransTypes[],Transactions[[#This Row],[TTR]],TT_COL_GLFlag)=1,Transactions[[#This Row],[CalCashImpact]]+Transactions[[#This Row],[CostImpact]],0)</f>
        <v>420.49892271662611</v>
      </c>
      <c r="W1842" s="235">
        <f>Transactions[[#This Row],[Amount]]*INDEX(TransTypes[],Transactions[[#This Row],[TTR]],TT_COL_AmntSign)</f>
        <v>13329.22</v>
      </c>
      <c r="X1842" s="235">
        <f>IF(INDEX(TransTypes[],Transactions[[#This Row],[TTR]],TT_COL_LONGORSHORT)="S",
      IF( OR(INDEX(TransTypes[],Transactions[[#This Row],[TTR]],TT_COL_GLFlag)=1, INDEX(TransTypes[], Transactions[[#This Row],[TTR]], TT_COL_ShareTransferFlag)=1),
            Transactions[[#This Row],[CostImpact]]*-1,
            Transactions[[#This Row],[CalCashImpact]]
      ),
     0
)</f>
        <v>0</v>
      </c>
      <c r="Y1842" s="236" t="str">
        <f>VLOOKUP(Transactions[[#This Row],[Symbol]],Symbols[], COLUMN(Symbols[Currency])-COLUMN(Symbols[])+1,FALSE)</f>
        <v>USD</v>
      </c>
    </row>
    <row r="1843" spans="1:25">
      <c r="A1843" s="223" t="s">
        <v>77</v>
      </c>
      <c r="B1843" s="224">
        <v>43192</v>
      </c>
      <c r="C1843" s="223" t="s">
        <v>115</v>
      </c>
      <c r="D1843" s="223"/>
      <c r="E1843" s="223" t="s">
        <v>513</v>
      </c>
      <c r="F1843" s="225">
        <v>527</v>
      </c>
      <c r="G1843" s="226">
        <v>16.809999999999999</v>
      </c>
      <c r="H1843" s="225">
        <v>9.99</v>
      </c>
      <c r="I1843" s="225"/>
      <c r="J1843" s="227">
        <v>8848.8799999999992</v>
      </c>
      <c r="K1843" s="6" t="s">
        <v>881</v>
      </c>
      <c r="L1843" s="20">
        <f>IF(ISNA(MATCH(Transactions[[#This Row],[TransType]],TransTypes[TransType],0)),1,MATCH(Transactions[[#This Row],[TransType]],TransTypes[TransType],0))</f>
        <v>3</v>
      </c>
      <c r="M1843" s="228">
        <f>IF( AND( INDEX(TransTypes[],Transactions[[#This Row],[TTR]],TT_COL_GLFlag)=1, INDEX(TransTypes[],Transactions[[#This Row],[TTR]],TT_COL_LONGORSHORT)="S" ),
      Transactions[[#This Row],[PL]],
      IF(INDEX(TransTypes[],Transactions[[#This Row],[TTR]],TT_COL_LONGORSHORT)="S",0,Transactions[[#This Row],[CalCashImpact]])
)</f>
        <v>8848.8799999999992</v>
      </c>
      <c r="N1843" s="229">
        <f>IF(VLOOKUP(Transactions[[#This Row],[Symbol]],Symbols[],COLUMN(Symbols[Currency])-COLUMN(Symbols[])+1,FALSE)=
       VLOOKUP(Transactions[[#This Row],[Account]],Accounts[],COLUMN(Accounts[Currency])-COLUMN(Accounts[])+1,FALSE),
     Transactions[[#This Row],[OrigCashImpact]],
     0
)</f>
        <v>8848.8799999999992</v>
      </c>
      <c r="O1843"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22429.589999999833</v>
      </c>
      <c r="P1843"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-527</v>
      </c>
      <c r="Q1843"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1400</v>
      </c>
      <c r="R1843" s="41">
        <f>ROW()</f>
        <v>1843</v>
      </c>
      <c r="S184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-8678.5133380262123</v>
      </c>
      <c r="T184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23054.874142764129</v>
      </c>
      <c r="U1843"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1927</v>
      </c>
      <c r="V1843" s="234">
        <f>IF(INDEX(TransTypes[],Transactions[[#This Row],[TTR]],TT_COL_GLFlag)=1,Transactions[[#This Row],[CalCashImpact]]+Transactions[[#This Row],[CostImpact]],0)</f>
        <v>170.3666619737869</v>
      </c>
      <c r="W1843" s="235">
        <f>Transactions[[#This Row],[Amount]]*INDEX(TransTypes[],Transactions[[#This Row],[TTR]],TT_COL_AmntSign)</f>
        <v>8848.8799999999992</v>
      </c>
      <c r="X1843" s="235">
        <f>IF(INDEX(TransTypes[],Transactions[[#This Row],[TTR]],TT_COL_LONGORSHORT)="S",
      IF( OR(INDEX(TransTypes[],Transactions[[#This Row],[TTR]],TT_COL_GLFlag)=1, INDEX(TransTypes[], Transactions[[#This Row],[TTR]], TT_COL_ShareTransferFlag)=1),
            Transactions[[#This Row],[CostImpact]]*-1,
            Transactions[[#This Row],[CalCashImpact]]
      ),
     0
)</f>
        <v>0</v>
      </c>
      <c r="Y1843" s="236" t="str">
        <f>VLOOKUP(Transactions[[#This Row],[Symbol]],Symbols[], COLUMN(Symbols[Currency])-COLUMN(Symbols[])+1,FALSE)</f>
        <v>USD</v>
      </c>
    </row>
    <row r="1844" spans="1:25">
      <c r="A1844" s="223" t="s">
        <v>77</v>
      </c>
      <c r="B1844" s="224">
        <v>43192</v>
      </c>
      <c r="C1844" s="223" t="s">
        <v>113</v>
      </c>
      <c r="D1844" s="223"/>
      <c r="E1844" s="223" t="s">
        <v>16</v>
      </c>
      <c r="F1844" s="225">
        <v>50</v>
      </c>
      <c r="G1844" s="226">
        <v>256.90960000000001</v>
      </c>
      <c r="H1844" s="225">
        <v>9.99</v>
      </c>
      <c r="I1844" s="225"/>
      <c r="J1844" s="227">
        <v>12855.47</v>
      </c>
      <c r="K1844" s="6" t="s">
        <v>882</v>
      </c>
      <c r="L1844" s="20">
        <f>IF(ISNA(MATCH(Transactions[[#This Row],[TransType]],TransTypes[TransType],0)),1,MATCH(Transactions[[#This Row],[TransType]],TransTypes[TransType],0))</f>
        <v>2</v>
      </c>
      <c r="M1844" s="228">
        <f>IF( AND( INDEX(TransTypes[],Transactions[[#This Row],[TTR]],TT_COL_GLFlag)=1, INDEX(TransTypes[],Transactions[[#This Row],[TTR]],TT_COL_LONGORSHORT)="S" ),
      Transactions[[#This Row],[PL]],
      IF(INDEX(TransTypes[],Transactions[[#This Row],[TTR]],TT_COL_LONGORSHORT)="S",0,Transactions[[#This Row],[CalCashImpact]])
)</f>
        <v>-12855.47</v>
      </c>
      <c r="N1844" s="229">
        <f>IF(VLOOKUP(Transactions[[#This Row],[Symbol]],Symbols[],COLUMN(Symbols[Currency])-COLUMN(Symbols[])+1,FALSE)=
       VLOOKUP(Transactions[[#This Row],[Account]],Accounts[],COLUMN(Accounts[Currency])-COLUMN(Accounts[])+1,FALSE),
     Transactions[[#This Row],[OrigCashImpact]],
     0
)</f>
        <v>-12855.47</v>
      </c>
      <c r="O1844"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9574.1199999998335</v>
      </c>
      <c r="P1844"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v>
      </c>
      <c r="Q1844"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450</v>
      </c>
      <c r="R1844" s="41">
        <f>ROW()</f>
        <v>1844</v>
      </c>
      <c r="S184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12855.47</v>
      </c>
      <c r="T184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116478.39600837247</v>
      </c>
      <c r="U1844"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450</v>
      </c>
      <c r="V1844" s="234">
        <f>IF(INDEX(TransTypes[],Transactions[[#This Row],[TTR]],TT_COL_GLFlag)=1,Transactions[[#This Row],[CalCashImpact]]+Transactions[[#This Row],[CostImpact]],0)</f>
        <v>0</v>
      </c>
      <c r="W1844" s="235">
        <f>Transactions[[#This Row],[Amount]]*INDEX(TransTypes[],Transactions[[#This Row],[TTR]],TT_COL_AmntSign)</f>
        <v>-12855.47</v>
      </c>
      <c r="X1844" s="235">
        <f>IF(INDEX(TransTypes[],Transactions[[#This Row],[TTR]],TT_COL_LONGORSHORT)="S",
      IF( OR(INDEX(TransTypes[],Transactions[[#This Row],[TTR]],TT_COL_GLFlag)=1, INDEX(TransTypes[], Transactions[[#This Row],[TTR]], TT_COL_ShareTransferFlag)=1),
            Transactions[[#This Row],[CostImpact]]*-1,
            Transactions[[#This Row],[CalCashImpact]]
      ),
     0
)</f>
        <v>0</v>
      </c>
      <c r="Y1844" s="236" t="str">
        <f>VLOOKUP(Transactions[[#This Row],[Symbol]],Symbols[], COLUMN(Symbols[Currency])-COLUMN(Symbols[])+1,FALSE)</f>
        <v>USD</v>
      </c>
    </row>
    <row r="1845" spans="1:25">
      <c r="A1845" s="223" t="s">
        <v>77</v>
      </c>
      <c r="B1845" s="224">
        <v>43192</v>
      </c>
      <c r="C1845" s="223" t="s">
        <v>118</v>
      </c>
      <c r="D1845" s="223"/>
      <c r="E1845" s="223" t="s">
        <v>313</v>
      </c>
      <c r="F1845" s="225"/>
      <c r="G1845" s="226"/>
      <c r="H1845" s="225"/>
      <c r="I1845" s="225"/>
      <c r="J1845" s="227">
        <v>257.26</v>
      </c>
      <c r="K1845" s="6" t="s">
        <v>561</v>
      </c>
      <c r="L1845" s="20">
        <f>IF(ISNA(MATCH(Transactions[[#This Row],[TransType]],TransTypes[TransType],0)),1,MATCH(Transactions[[#This Row],[TransType]],TransTypes[TransType],0))</f>
        <v>4</v>
      </c>
      <c r="M1845" s="228">
        <f>IF( AND( INDEX(TransTypes[],Transactions[[#This Row],[TTR]],TT_COL_GLFlag)=1, INDEX(TransTypes[],Transactions[[#This Row],[TTR]],TT_COL_LONGORSHORT)="S" ),
      Transactions[[#This Row],[PL]],
      IF(INDEX(TransTypes[],Transactions[[#This Row],[TTR]],TT_COL_LONGORSHORT)="S",0,Transactions[[#This Row],[CalCashImpact]])
)</f>
        <v>257.26</v>
      </c>
      <c r="N1845" s="229">
        <f>IF(VLOOKUP(Transactions[[#This Row],[Symbol]],Symbols[],COLUMN(Symbols[Currency])-COLUMN(Symbols[])+1,FALSE)=
       VLOOKUP(Transactions[[#This Row],[Account]],Accounts[],COLUMN(Accounts[Currency])-COLUMN(Accounts[])+1,FALSE),
     Transactions[[#This Row],[OrigCashImpact]],
     0
)</f>
        <v>257.26</v>
      </c>
      <c r="O1845"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9831.3799999998337</v>
      </c>
      <c r="P1845"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45"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1754</v>
      </c>
      <c r="R1845" s="41">
        <f>ROW()</f>
        <v>1845</v>
      </c>
      <c r="S184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4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46351.17</v>
      </c>
      <c r="U1845"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1754</v>
      </c>
      <c r="V1845" s="234">
        <f>IF(INDEX(TransTypes[],Transactions[[#This Row],[TTR]],TT_COL_GLFlag)=1,Transactions[[#This Row],[CalCashImpact]]+Transactions[[#This Row],[CostImpact]],0)</f>
        <v>0</v>
      </c>
      <c r="W1845" s="235">
        <f>Transactions[[#This Row],[Amount]]*INDEX(TransTypes[],Transactions[[#This Row],[TTR]],TT_COL_AmntSign)</f>
        <v>257.26</v>
      </c>
      <c r="X1845" s="235">
        <f>IF(INDEX(TransTypes[],Transactions[[#This Row],[TTR]],TT_COL_LONGORSHORT)="S",
      IF( OR(INDEX(TransTypes[],Transactions[[#This Row],[TTR]],TT_COL_GLFlag)=1, INDEX(TransTypes[], Transactions[[#This Row],[TTR]], TT_COL_ShareTransferFlag)=1),
            Transactions[[#This Row],[CostImpact]]*-1,
            Transactions[[#This Row],[CalCashImpact]]
      ),
     0
)</f>
        <v>0</v>
      </c>
      <c r="Y1845" s="236" t="str">
        <f>VLOOKUP(Transactions[[#This Row],[Symbol]],Symbols[], COLUMN(Symbols[Currency])-COLUMN(Symbols[])+1,FALSE)</f>
        <v>USD</v>
      </c>
    </row>
    <row r="1846" spans="1:25">
      <c r="A1846" s="223" t="s">
        <v>77</v>
      </c>
      <c r="B1846" s="224">
        <v>43192</v>
      </c>
      <c r="C1846" s="223" t="s">
        <v>123</v>
      </c>
      <c r="D1846" s="223"/>
      <c r="E1846" s="223" t="s">
        <v>313</v>
      </c>
      <c r="F1846" s="225"/>
      <c r="G1846" s="226"/>
      <c r="H1846" s="225"/>
      <c r="I1846" s="225"/>
      <c r="J1846" s="227">
        <v>38.590000000000003</v>
      </c>
      <c r="K1846" s="6" t="s">
        <v>562</v>
      </c>
      <c r="L1846" s="20">
        <f>IF(ISNA(MATCH(Transactions[[#This Row],[TransType]],TransTypes[TransType],0)),1,MATCH(Transactions[[#This Row],[TransType]],TransTypes[TransType],0))</f>
        <v>7</v>
      </c>
      <c r="M1846" s="228">
        <f>IF( AND( INDEX(TransTypes[],Transactions[[#This Row],[TTR]],TT_COL_GLFlag)=1, INDEX(TransTypes[],Transactions[[#This Row],[TTR]],TT_COL_LONGORSHORT)="S" ),
      Transactions[[#This Row],[PL]],
      IF(INDEX(TransTypes[],Transactions[[#This Row],[TTR]],TT_COL_LONGORSHORT)="S",0,Transactions[[#This Row],[CalCashImpact]])
)</f>
        <v>-38.590000000000003</v>
      </c>
      <c r="N1846" s="229">
        <f>IF(VLOOKUP(Transactions[[#This Row],[Symbol]],Symbols[],COLUMN(Symbols[Currency])-COLUMN(Symbols[])+1,FALSE)=
       VLOOKUP(Transactions[[#This Row],[Account]],Accounts[],COLUMN(Accounts[Currency])-COLUMN(Accounts[])+1,FALSE),
     Transactions[[#This Row],[OrigCashImpact]],
     0
)</f>
        <v>-38.590000000000003</v>
      </c>
      <c r="O1846"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9792.7899999998335</v>
      </c>
      <c r="P1846"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46"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1754</v>
      </c>
      <c r="R1846" s="41">
        <f>ROW()</f>
        <v>1846</v>
      </c>
      <c r="S184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4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46351.17</v>
      </c>
      <c r="U1846"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1754</v>
      </c>
      <c r="V1846" s="234">
        <f>IF(INDEX(TransTypes[],Transactions[[#This Row],[TTR]],TT_COL_GLFlag)=1,Transactions[[#This Row],[CalCashImpact]]+Transactions[[#This Row],[CostImpact]],0)</f>
        <v>0</v>
      </c>
      <c r="W1846" s="235">
        <f>Transactions[[#This Row],[Amount]]*INDEX(TransTypes[],Transactions[[#This Row],[TTR]],TT_COL_AmntSign)</f>
        <v>-38.590000000000003</v>
      </c>
      <c r="X1846" s="235">
        <f>IF(INDEX(TransTypes[],Transactions[[#This Row],[TTR]],TT_COL_LONGORSHORT)="S",
      IF( OR(INDEX(TransTypes[],Transactions[[#This Row],[TTR]],TT_COL_GLFlag)=1, INDEX(TransTypes[], Transactions[[#This Row],[TTR]], TT_COL_ShareTransferFlag)=1),
            Transactions[[#This Row],[CostImpact]]*-1,
            Transactions[[#This Row],[CalCashImpact]]
      ),
     0
)</f>
        <v>0</v>
      </c>
      <c r="Y1846" s="236" t="str">
        <f>VLOOKUP(Transactions[[#This Row],[Symbol]],Symbols[], COLUMN(Symbols[Currency])-COLUMN(Symbols[])+1,FALSE)</f>
        <v>USD</v>
      </c>
    </row>
    <row r="1847" spans="1:25">
      <c r="A1847" s="223" t="s">
        <v>77</v>
      </c>
      <c r="B1847" s="224">
        <v>43192</v>
      </c>
      <c r="C1847" s="223" t="s">
        <v>121</v>
      </c>
      <c r="D1847" s="223"/>
      <c r="E1847" s="223" t="s">
        <v>208</v>
      </c>
      <c r="F1847" s="225"/>
      <c r="G1847" s="226"/>
      <c r="H1847" s="225"/>
      <c r="I1847" s="225"/>
      <c r="J1847" s="227">
        <v>0.53</v>
      </c>
      <c r="K1847" s="6" t="s">
        <v>883</v>
      </c>
      <c r="L1847" s="20">
        <f>IF(ISNA(MATCH(Transactions[[#This Row],[TransType]],TransTypes[TransType],0)),1,MATCH(Transactions[[#This Row],[TransType]],TransTypes[TransType],0))</f>
        <v>6</v>
      </c>
      <c r="M1847" s="228">
        <f>IF( AND( INDEX(TransTypes[],Transactions[[#This Row],[TTR]],TT_COL_GLFlag)=1, INDEX(TransTypes[],Transactions[[#This Row],[TTR]],TT_COL_LONGORSHORT)="S" ),
      Transactions[[#This Row],[PL]],
      IF(INDEX(TransTypes[],Transactions[[#This Row],[TTR]],TT_COL_LONGORSHORT)="S",0,Transactions[[#This Row],[CalCashImpact]])
)</f>
        <v>-0.53</v>
      </c>
      <c r="N1847" s="229">
        <f>IF(VLOOKUP(Transactions[[#This Row],[Symbol]],Symbols[],COLUMN(Symbols[Currency])-COLUMN(Symbols[])+1,FALSE)=
       VLOOKUP(Transactions[[#This Row],[Account]],Accounts[],COLUMN(Accounts[Currency])-COLUMN(Accounts[])+1,FALSE),
     Transactions[[#This Row],[OrigCashImpact]],
     0
)</f>
        <v>-0.53</v>
      </c>
      <c r="O1847"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9792.2599999998329</v>
      </c>
      <c r="P1847"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47"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47" s="41">
        <f>ROW()</f>
        <v>1847</v>
      </c>
      <c r="S184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4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47"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47" s="234">
        <f>IF(INDEX(TransTypes[],Transactions[[#This Row],[TTR]],TT_COL_GLFlag)=1,Transactions[[#This Row],[CalCashImpact]]+Transactions[[#This Row],[CostImpact]],0)</f>
        <v>0</v>
      </c>
      <c r="W1847" s="235">
        <f>Transactions[[#This Row],[Amount]]*INDEX(TransTypes[],Transactions[[#This Row],[TTR]],TT_COL_AmntSign)</f>
        <v>-0.53</v>
      </c>
      <c r="X1847" s="235">
        <f>IF(INDEX(TransTypes[],Transactions[[#This Row],[TTR]],TT_COL_LONGORSHORT)="S",
      IF( OR(INDEX(TransTypes[],Transactions[[#This Row],[TTR]],TT_COL_GLFlag)=1, INDEX(TransTypes[], Transactions[[#This Row],[TTR]], TT_COL_ShareTransferFlag)=1),
            Transactions[[#This Row],[CostImpact]]*-1,
            Transactions[[#This Row],[CalCashImpact]]
      ),
     0
)</f>
        <v>0</v>
      </c>
      <c r="Y1847" s="236" t="str">
        <f>VLOOKUP(Transactions[[#This Row],[Symbol]],Symbols[], COLUMN(Symbols[Currency])-COLUMN(Symbols[])+1,FALSE)</f>
        <v>USD</v>
      </c>
    </row>
    <row r="1848" spans="1:25">
      <c r="A1848" s="223" t="s">
        <v>77</v>
      </c>
      <c r="B1848" s="224">
        <v>43193</v>
      </c>
      <c r="C1848" s="223" t="s">
        <v>113</v>
      </c>
      <c r="D1848" s="223" t="s">
        <v>531</v>
      </c>
      <c r="E1848" s="223" t="s">
        <v>313</v>
      </c>
      <c r="F1848" s="225">
        <v>8</v>
      </c>
      <c r="G1848" s="226">
        <v>26.356249999999999</v>
      </c>
      <c r="H1848" s="225"/>
      <c r="I1848" s="225"/>
      <c r="J1848" s="227">
        <v>210.85</v>
      </c>
      <c r="K1848" s="6" t="s">
        <v>580</v>
      </c>
      <c r="L1848" s="20">
        <f>IF(ISNA(MATCH(Transactions[[#This Row],[TransType]],TransTypes[TransType],0)),1,MATCH(Transactions[[#This Row],[TransType]],TransTypes[TransType],0))</f>
        <v>2</v>
      </c>
      <c r="M1848" s="228">
        <f>IF( AND( INDEX(TransTypes[],Transactions[[#This Row],[TTR]],TT_COL_GLFlag)=1, INDEX(TransTypes[],Transactions[[#This Row],[TTR]],TT_COL_LONGORSHORT)="S" ),
      Transactions[[#This Row],[PL]],
      IF(INDEX(TransTypes[],Transactions[[#This Row],[TTR]],TT_COL_LONGORSHORT)="S",0,Transactions[[#This Row],[CalCashImpact]])
)</f>
        <v>-210.85</v>
      </c>
      <c r="N1848" s="229">
        <f>IF(VLOOKUP(Transactions[[#This Row],[Symbol]],Symbols[],COLUMN(Symbols[Currency])-COLUMN(Symbols[])+1,FALSE)=
       VLOOKUP(Transactions[[#This Row],[Account]],Accounts[],COLUMN(Accounts[Currency])-COLUMN(Accounts[])+1,FALSE),
     Transactions[[#This Row],[OrigCashImpact]],
     0
)</f>
        <v>-210.85</v>
      </c>
      <c r="O1848" s="230">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9581.4099999998325</v>
      </c>
      <c r="P1848" s="231">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8</v>
      </c>
      <c r="Q1848" s="232">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1762</v>
      </c>
      <c r="R1848" s="41">
        <f>ROW()</f>
        <v>1848</v>
      </c>
      <c r="S184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210.85</v>
      </c>
      <c r="T184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46562.02</v>
      </c>
      <c r="U1848" s="233">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1762</v>
      </c>
      <c r="V1848" s="234">
        <f>IF(INDEX(TransTypes[],Transactions[[#This Row],[TTR]],TT_COL_GLFlag)=1,Transactions[[#This Row],[CalCashImpact]]+Transactions[[#This Row],[CostImpact]],0)</f>
        <v>0</v>
      </c>
      <c r="W1848" s="235">
        <f>Transactions[[#This Row],[Amount]]*INDEX(TransTypes[],Transactions[[#This Row],[TTR]],TT_COL_AmntSign)</f>
        <v>-210.85</v>
      </c>
      <c r="X1848" s="235">
        <f>IF(INDEX(TransTypes[],Transactions[[#This Row],[TTR]],TT_COL_LONGORSHORT)="S",
      IF( OR(INDEX(TransTypes[],Transactions[[#This Row],[TTR]],TT_COL_GLFlag)=1, INDEX(TransTypes[], Transactions[[#This Row],[TTR]], TT_COL_ShareTransferFlag)=1),
            Transactions[[#This Row],[CostImpact]]*-1,
            Transactions[[#This Row],[CalCashImpact]]
      ),
     0
)</f>
        <v>0</v>
      </c>
      <c r="Y1848" s="236" t="str">
        <f>VLOOKUP(Transactions[[#This Row],[Symbol]],Symbols[], COLUMN(Symbols[Currency])-COLUMN(Symbols[])+1,FALSE)</f>
        <v>USD</v>
      </c>
    </row>
    <row r="1849" spans="1:25">
      <c r="A1849" s="241" t="s">
        <v>65</v>
      </c>
      <c r="B1849" s="242">
        <v>43196</v>
      </c>
      <c r="C1849" s="241" t="s">
        <v>158</v>
      </c>
      <c r="D1849" s="241"/>
      <c r="E1849" s="241" t="s">
        <v>870</v>
      </c>
      <c r="F1849" s="243">
        <v>2</v>
      </c>
      <c r="G1849" s="244">
        <v>6437.125</v>
      </c>
      <c r="H1849" s="243">
        <v>4.0999999999999996</v>
      </c>
      <c r="I1849" s="243"/>
      <c r="J1849" s="245">
        <v>257480.9</v>
      </c>
      <c r="K1849" s="6"/>
      <c r="L1849" s="20">
        <f>IF(ISNA(MATCH(Transactions[[#This Row],[TransType]],TransTypes[TransType],0)),1,MATCH(Transactions[[#This Row],[TransType]],TransTypes[TransType],0))</f>
        <v>19</v>
      </c>
      <c r="M1849" s="246">
        <f>IF( AND( INDEX(TransTypes[],Transactions[[#This Row],[TTR]],TT_COL_GLFlag)=1, INDEX(TransTypes[],Transactions[[#This Row],[TTR]],TT_COL_LONGORSHORT)="S" ),
      Transactions[[#This Row],[PL]],
      IF(INDEX(TransTypes[],Transactions[[#This Row],[TTR]],TT_COL_LONGORSHORT)="S",0,Transactions[[#This Row],[CalCashImpact]])
)</f>
        <v>0</v>
      </c>
      <c r="N1849" s="247">
        <f>IF(VLOOKUP(Transactions[[#This Row],[Symbol]],Symbols[],COLUMN(Symbols[Currency])-COLUMN(Symbols[])+1,FALSE)=
       VLOOKUP(Transactions[[#This Row],[Account]],Accounts[],COLUMN(Accounts[Currency])-COLUMN(Accounts[])+1,FALSE),
     Transactions[[#This Row],[OrigCashImpact]],
     0
)</f>
        <v>0</v>
      </c>
      <c r="O1849"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-168264.39141959205</v>
      </c>
      <c r="P1849"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1849"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v>
      </c>
      <c r="R1849" s="41">
        <f>ROW()</f>
        <v>1849</v>
      </c>
      <c r="S184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-257480.9</v>
      </c>
      <c r="T184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-257480.9</v>
      </c>
      <c r="U1849"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1849" s="252">
        <f>IF(INDEX(TransTypes[],Transactions[[#This Row],[TTR]],TT_COL_GLFlag)=1,Transactions[[#This Row],[CalCashImpact]]+Transactions[[#This Row],[CostImpact]],0)</f>
        <v>0</v>
      </c>
      <c r="W1849" s="253">
        <f>Transactions[[#This Row],[Amount]]*INDEX(TransTypes[],Transactions[[#This Row],[TTR]],TT_COL_AmntSign)</f>
        <v>257480.9</v>
      </c>
      <c r="X1849" s="253">
        <f>IF(INDEX(TransTypes[],Transactions[[#This Row],[TTR]],TT_COL_LONGORSHORT)="S",
      IF( OR(INDEX(TransTypes[],Transactions[[#This Row],[TTR]],TT_COL_GLFlag)=1, INDEX(TransTypes[], Transactions[[#This Row],[TTR]], TT_COL_ShareTransferFlag)=1),
            Transactions[[#This Row],[CostImpact]]*-1,
            Transactions[[#This Row],[CalCashImpact]]
      ),
     0
)</f>
        <v>257480.9</v>
      </c>
      <c r="Y1849" s="254" t="str">
        <f>VLOOKUP(Transactions[[#This Row],[Symbol]],Symbols[], COLUMN(Symbols[Currency])-COLUMN(Symbols[])+1,FALSE)</f>
        <v>USD</v>
      </c>
    </row>
    <row r="1850" spans="1:25">
      <c r="A1850" s="241" t="s">
        <v>65</v>
      </c>
      <c r="B1850" s="242">
        <v>43196</v>
      </c>
      <c r="C1850" s="241" t="s">
        <v>118</v>
      </c>
      <c r="D1850" s="241"/>
      <c r="E1850" s="241" t="s">
        <v>285</v>
      </c>
      <c r="F1850" s="243">
        <v>1502</v>
      </c>
      <c r="G1850" s="244"/>
      <c r="H1850" s="243"/>
      <c r="I1850" s="243"/>
      <c r="J1850" s="245">
        <v>561.38</v>
      </c>
      <c r="K1850" s="6" t="s">
        <v>886</v>
      </c>
      <c r="L1850" s="20">
        <f>IF(ISNA(MATCH(Transactions[[#This Row],[TransType]],TransTypes[TransType],0)),1,MATCH(Transactions[[#This Row],[TransType]],TransTypes[TransType],0))</f>
        <v>4</v>
      </c>
      <c r="M1850" s="246">
        <f>IF( AND( INDEX(TransTypes[],Transactions[[#This Row],[TTR]],TT_COL_GLFlag)=1, INDEX(TransTypes[],Transactions[[#This Row],[TTR]],TT_COL_LONGORSHORT)="S" ),
      Transactions[[#This Row],[PL]],
      IF(INDEX(TransTypes[],Transactions[[#This Row],[TTR]],TT_COL_LONGORSHORT)="S",0,Transactions[[#This Row],[CalCashImpact]])
)</f>
        <v>561.38</v>
      </c>
      <c r="N1850" s="247">
        <f>IF(VLOOKUP(Transactions[[#This Row],[Symbol]],Symbols[],COLUMN(Symbols[Currency])-COLUMN(Symbols[])+1,FALSE)=
       VLOOKUP(Transactions[[#This Row],[Account]],Accounts[],COLUMN(Accounts[Currency])-COLUMN(Accounts[])+1,FALSE),
     Transactions[[#This Row],[OrigCashImpact]],
     0
)</f>
        <v>561.38</v>
      </c>
      <c r="O1850"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-167703.01141959205</v>
      </c>
      <c r="P1850"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50"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1502</v>
      </c>
      <c r="R1850" s="41">
        <f>ROW()</f>
        <v>1850</v>
      </c>
      <c r="S185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5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173025.19798181817</v>
      </c>
      <c r="U1850"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1850" s="252">
        <f>IF(INDEX(TransTypes[],Transactions[[#This Row],[TTR]],TT_COL_GLFlag)=1,Transactions[[#This Row],[CalCashImpact]]+Transactions[[#This Row],[CostImpact]],0)</f>
        <v>0</v>
      </c>
      <c r="W1850" s="253">
        <f>Transactions[[#This Row],[Amount]]*INDEX(TransTypes[],Transactions[[#This Row],[TTR]],TT_COL_AmntSign)</f>
        <v>561.38</v>
      </c>
      <c r="X1850" s="253">
        <f>IF(INDEX(TransTypes[],Transactions[[#This Row],[TTR]],TT_COL_LONGORSHORT)="S",
      IF( OR(INDEX(TransTypes[],Transactions[[#This Row],[TTR]],TT_COL_GLFlag)=1, INDEX(TransTypes[], Transactions[[#This Row],[TTR]], TT_COL_ShareTransferFlag)=1),
            Transactions[[#This Row],[CostImpact]]*-1,
            Transactions[[#This Row],[CalCashImpact]]
      ),
     0
)</f>
        <v>0</v>
      </c>
      <c r="Y1850" s="254" t="str">
        <f>VLOOKUP(Transactions[[#This Row],[Symbol]],Symbols[], COLUMN(Symbols[Currency])-COLUMN(Symbols[])+1,FALSE)</f>
        <v>USD</v>
      </c>
    </row>
    <row r="1851" spans="1:25">
      <c r="A1851" s="241" t="s">
        <v>65</v>
      </c>
      <c r="B1851" s="242">
        <v>43196</v>
      </c>
      <c r="C1851" s="241" t="s">
        <v>118</v>
      </c>
      <c r="D1851" s="241"/>
      <c r="E1851" s="241" t="s">
        <v>20</v>
      </c>
      <c r="F1851" s="243"/>
      <c r="G1851" s="244"/>
      <c r="H1851" s="243"/>
      <c r="I1851" s="243"/>
      <c r="J1851" s="245">
        <v>1.56</v>
      </c>
      <c r="K1851" s="6" t="s">
        <v>366</v>
      </c>
      <c r="L1851" s="20">
        <f>IF(ISNA(MATCH(Transactions[[#This Row],[TransType]],TransTypes[TransType],0)),1,MATCH(Transactions[[#This Row],[TransType]],TransTypes[TransType],0))</f>
        <v>4</v>
      </c>
      <c r="M1851" s="246">
        <f>IF( AND( INDEX(TransTypes[],Transactions[[#This Row],[TTR]],TT_COL_GLFlag)=1, INDEX(TransTypes[],Transactions[[#This Row],[TTR]],TT_COL_LONGORSHORT)="S" ),
      Transactions[[#This Row],[PL]],
      IF(INDEX(TransTypes[],Transactions[[#This Row],[TTR]],TT_COL_LONGORSHORT)="S",0,Transactions[[#This Row],[CalCashImpact]])
)</f>
        <v>1.56</v>
      </c>
      <c r="N1851" s="247">
        <f>IF(VLOOKUP(Transactions[[#This Row],[Symbol]],Symbols[],COLUMN(Symbols[Currency])-COLUMN(Symbols[])+1,FALSE)=
       VLOOKUP(Transactions[[#This Row],[Account]],Accounts[],COLUMN(Accounts[Currency])-COLUMN(Accounts[])+1,FALSE),
     Transactions[[#This Row],[OrigCashImpact]],
     0
)</f>
        <v>1.56</v>
      </c>
      <c r="O1851"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-167701.45141959205</v>
      </c>
      <c r="P1851"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51"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1851" s="41">
        <f>ROW()</f>
        <v>1851</v>
      </c>
      <c r="S185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5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251817.64082395815</v>
      </c>
      <c r="U1851"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1851" s="252">
        <f>IF(INDEX(TransTypes[],Transactions[[#This Row],[TTR]],TT_COL_GLFlag)=1,Transactions[[#This Row],[CalCashImpact]]+Transactions[[#This Row],[CostImpact]],0)</f>
        <v>0</v>
      </c>
      <c r="W1851" s="253">
        <f>Transactions[[#This Row],[Amount]]*INDEX(TransTypes[],Transactions[[#This Row],[TTR]],TT_COL_AmntSign)</f>
        <v>1.56</v>
      </c>
      <c r="X1851" s="253">
        <f>IF(INDEX(TransTypes[],Transactions[[#This Row],[TTR]],TT_COL_LONGORSHORT)="S",
      IF( OR(INDEX(TransTypes[],Transactions[[#This Row],[TTR]],TT_COL_GLFlag)=1, INDEX(TransTypes[], Transactions[[#This Row],[TTR]], TT_COL_ShareTransferFlag)=1),
            Transactions[[#This Row],[CostImpact]]*-1,
            Transactions[[#This Row],[CalCashImpact]]
      ),
     0
)</f>
        <v>0</v>
      </c>
      <c r="Y1851" s="254" t="str">
        <f>VLOOKUP(Transactions[[#This Row],[Symbol]],Symbols[], COLUMN(Symbols[Currency])-COLUMN(Symbols[])+1,FALSE)</f>
        <v>USD</v>
      </c>
    </row>
    <row r="1852" spans="1:25">
      <c r="A1852" s="241" t="s">
        <v>65</v>
      </c>
      <c r="B1852" s="242">
        <v>43196</v>
      </c>
      <c r="C1852" s="241" t="s">
        <v>118</v>
      </c>
      <c r="D1852" s="241"/>
      <c r="E1852" s="241" t="s">
        <v>20</v>
      </c>
      <c r="F1852" s="243"/>
      <c r="G1852" s="244"/>
      <c r="H1852" s="243"/>
      <c r="I1852" s="243"/>
      <c r="J1852" s="245">
        <v>531.80999999999995</v>
      </c>
      <c r="K1852" s="6" t="s">
        <v>887</v>
      </c>
      <c r="L1852" s="20">
        <f>IF(ISNA(MATCH(Transactions[[#This Row],[TransType]],TransTypes[TransType],0)),1,MATCH(Transactions[[#This Row],[TransType]],TransTypes[TransType],0))</f>
        <v>4</v>
      </c>
      <c r="M1852" s="246">
        <f>IF( AND( INDEX(TransTypes[],Transactions[[#This Row],[TTR]],TT_COL_GLFlag)=1, INDEX(TransTypes[],Transactions[[#This Row],[TTR]],TT_COL_LONGORSHORT)="S" ),
      Transactions[[#This Row],[PL]],
      IF(INDEX(TransTypes[],Transactions[[#This Row],[TTR]],TT_COL_LONGORSHORT)="S",0,Transactions[[#This Row],[CalCashImpact]])
)</f>
        <v>531.80999999999995</v>
      </c>
      <c r="N1852" s="247">
        <f>IF(VLOOKUP(Transactions[[#This Row],[Symbol]],Symbols[],COLUMN(Symbols[Currency])-COLUMN(Symbols[])+1,FALSE)=
       VLOOKUP(Transactions[[#This Row],[Account]],Accounts[],COLUMN(Accounts[Currency])-COLUMN(Accounts[])+1,FALSE),
     Transactions[[#This Row],[OrigCashImpact]],
     0
)</f>
        <v>531.80999999999995</v>
      </c>
      <c r="O1852"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-167169.64141959205</v>
      </c>
      <c r="P1852"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52"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1852" s="41">
        <f>ROW()</f>
        <v>1852</v>
      </c>
      <c r="S185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5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251817.64082395815</v>
      </c>
      <c r="U1852"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1852" s="252">
        <f>IF(INDEX(TransTypes[],Transactions[[#This Row],[TTR]],TT_COL_GLFlag)=1,Transactions[[#This Row],[CalCashImpact]]+Transactions[[#This Row],[CostImpact]],0)</f>
        <v>0</v>
      </c>
      <c r="W1852" s="253">
        <f>Transactions[[#This Row],[Amount]]*INDEX(TransTypes[],Transactions[[#This Row],[TTR]],TT_COL_AmntSign)</f>
        <v>531.80999999999995</v>
      </c>
      <c r="X1852" s="253">
        <f>IF(INDEX(TransTypes[],Transactions[[#This Row],[TTR]],TT_COL_LONGORSHORT)="S",
      IF( OR(INDEX(TransTypes[],Transactions[[#This Row],[TTR]],TT_COL_GLFlag)=1, INDEX(TransTypes[], Transactions[[#This Row],[TTR]], TT_COL_ShareTransferFlag)=1),
            Transactions[[#This Row],[CostImpact]]*-1,
            Transactions[[#This Row],[CalCashImpact]]
      ),
     0
)</f>
        <v>0</v>
      </c>
      <c r="Y1852" s="254" t="str">
        <f>VLOOKUP(Transactions[[#This Row],[Symbol]],Symbols[], COLUMN(Symbols[Currency])-COLUMN(Symbols[])+1,FALSE)</f>
        <v>USD</v>
      </c>
    </row>
    <row r="1853" spans="1:25">
      <c r="A1853" s="241" t="s">
        <v>65</v>
      </c>
      <c r="B1853" s="242">
        <v>43196</v>
      </c>
      <c r="C1853" s="241" t="s">
        <v>123</v>
      </c>
      <c r="D1853" s="241"/>
      <c r="E1853" s="241" t="s">
        <v>285</v>
      </c>
      <c r="F1853" s="243"/>
      <c r="G1853" s="244"/>
      <c r="H1853" s="243"/>
      <c r="I1853" s="243"/>
      <c r="J1853" s="245">
        <v>84.21</v>
      </c>
      <c r="K1853" s="6" t="s">
        <v>888</v>
      </c>
      <c r="L1853" s="20">
        <f>IF(ISNA(MATCH(Transactions[[#This Row],[TransType]],TransTypes[TransType],0)),1,MATCH(Transactions[[#This Row],[TransType]],TransTypes[TransType],0))</f>
        <v>7</v>
      </c>
      <c r="M1853" s="246">
        <f>IF( AND( INDEX(TransTypes[],Transactions[[#This Row],[TTR]],TT_COL_GLFlag)=1, INDEX(TransTypes[],Transactions[[#This Row],[TTR]],TT_COL_LONGORSHORT)="S" ),
      Transactions[[#This Row],[PL]],
      IF(INDEX(TransTypes[],Transactions[[#This Row],[TTR]],TT_COL_LONGORSHORT)="S",0,Transactions[[#This Row],[CalCashImpact]])
)</f>
        <v>-84.21</v>
      </c>
      <c r="N1853" s="247">
        <f>IF(VLOOKUP(Transactions[[#This Row],[Symbol]],Symbols[],COLUMN(Symbols[Currency])-COLUMN(Symbols[])+1,FALSE)=
       VLOOKUP(Transactions[[#This Row],[Account]],Accounts[],COLUMN(Accounts[Currency])-COLUMN(Accounts[])+1,FALSE),
     Transactions[[#This Row],[OrigCashImpact]],
     0
)</f>
        <v>-84.21</v>
      </c>
      <c r="O1853"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-167253.85141959204</v>
      </c>
      <c r="P1853"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53"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1502</v>
      </c>
      <c r="R1853" s="41">
        <f>ROW()</f>
        <v>1853</v>
      </c>
      <c r="S185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5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173025.19798181817</v>
      </c>
      <c r="U1853"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1853" s="252">
        <f>IF(INDEX(TransTypes[],Transactions[[#This Row],[TTR]],TT_COL_GLFlag)=1,Transactions[[#This Row],[CalCashImpact]]+Transactions[[#This Row],[CostImpact]],0)</f>
        <v>0</v>
      </c>
      <c r="W1853" s="253">
        <f>Transactions[[#This Row],[Amount]]*INDEX(TransTypes[],Transactions[[#This Row],[TTR]],TT_COL_AmntSign)</f>
        <v>-84.21</v>
      </c>
      <c r="X1853" s="253">
        <f>IF(INDEX(TransTypes[],Transactions[[#This Row],[TTR]],TT_COL_LONGORSHORT)="S",
      IF( OR(INDEX(TransTypes[],Transactions[[#This Row],[TTR]],TT_COL_GLFlag)=1, INDEX(TransTypes[], Transactions[[#This Row],[TTR]], TT_COL_ShareTransferFlag)=1),
            Transactions[[#This Row],[CostImpact]]*-1,
            Transactions[[#This Row],[CalCashImpact]]
      ),
     0
)</f>
        <v>0</v>
      </c>
      <c r="Y1853" s="254" t="str">
        <f>VLOOKUP(Transactions[[#This Row],[Symbol]],Symbols[], COLUMN(Symbols[Currency])-COLUMN(Symbols[])+1,FALSE)</f>
        <v>USD</v>
      </c>
    </row>
    <row r="1854" spans="1:25">
      <c r="A1854" s="241" t="s">
        <v>65</v>
      </c>
      <c r="B1854" s="242">
        <v>43196</v>
      </c>
      <c r="C1854" s="241" t="s">
        <v>123</v>
      </c>
      <c r="D1854" s="241"/>
      <c r="E1854" s="241" t="s">
        <v>20</v>
      </c>
      <c r="F1854" s="243"/>
      <c r="G1854" s="244"/>
      <c r="H1854" s="243"/>
      <c r="I1854" s="243"/>
      <c r="J1854" s="245">
        <v>0.23</v>
      </c>
      <c r="K1854" s="6" t="s">
        <v>369</v>
      </c>
      <c r="L1854" s="20">
        <f>IF(ISNA(MATCH(Transactions[[#This Row],[TransType]],TransTypes[TransType],0)),1,MATCH(Transactions[[#This Row],[TransType]],TransTypes[TransType],0))</f>
        <v>7</v>
      </c>
      <c r="M1854" s="246">
        <f>IF( AND( INDEX(TransTypes[],Transactions[[#This Row],[TTR]],TT_COL_GLFlag)=1, INDEX(TransTypes[],Transactions[[#This Row],[TTR]],TT_COL_LONGORSHORT)="S" ),
      Transactions[[#This Row],[PL]],
      IF(INDEX(TransTypes[],Transactions[[#This Row],[TTR]],TT_COL_LONGORSHORT)="S",0,Transactions[[#This Row],[CalCashImpact]])
)</f>
        <v>-0.23</v>
      </c>
      <c r="N1854" s="247">
        <f>IF(VLOOKUP(Transactions[[#This Row],[Symbol]],Symbols[],COLUMN(Symbols[Currency])-COLUMN(Symbols[])+1,FALSE)=
       VLOOKUP(Transactions[[#This Row],[Account]],Accounts[],COLUMN(Accounts[Currency])-COLUMN(Accounts[])+1,FALSE),
     Transactions[[#This Row],[OrigCashImpact]],
     0
)</f>
        <v>-0.23</v>
      </c>
      <c r="O1854"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-167254.08141959205</v>
      </c>
      <c r="P1854"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54"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1854" s="41">
        <f>ROW()</f>
        <v>1854</v>
      </c>
      <c r="S185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5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251817.64082395815</v>
      </c>
      <c r="U1854"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1854" s="252">
        <f>IF(INDEX(TransTypes[],Transactions[[#This Row],[TTR]],TT_COL_GLFlag)=1,Transactions[[#This Row],[CalCashImpact]]+Transactions[[#This Row],[CostImpact]],0)</f>
        <v>0</v>
      </c>
      <c r="W1854" s="253">
        <f>Transactions[[#This Row],[Amount]]*INDEX(TransTypes[],Transactions[[#This Row],[TTR]],TT_COL_AmntSign)</f>
        <v>-0.23</v>
      </c>
      <c r="X1854" s="253">
        <f>IF(INDEX(TransTypes[],Transactions[[#This Row],[TTR]],TT_COL_LONGORSHORT)="S",
      IF( OR(INDEX(TransTypes[],Transactions[[#This Row],[TTR]],TT_COL_GLFlag)=1, INDEX(TransTypes[], Transactions[[#This Row],[TTR]], TT_COL_ShareTransferFlag)=1),
            Transactions[[#This Row],[CostImpact]]*-1,
            Transactions[[#This Row],[CalCashImpact]]
      ),
     0
)</f>
        <v>0</v>
      </c>
      <c r="Y1854" s="254" t="str">
        <f>VLOOKUP(Transactions[[#This Row],[Symbol]],Symbols[], COLUMN(Symbols[Currency])-COLUMN(Symbols[])+1,FALSE)</f>
        <v>USD</v>
      </c>
    </row>
    <row r="1855" spans="1:25">
      <c r="A1855" s="241" t="s">
        <v>65</v>
      </c>
      <c r="B1855" s="242">
        <v>43196</v>
      </c>
      <c r="C1855" s="241" t="s">
        <v>123</v>
      </c>
      <c r="D1855" s="241"/>
      <c r="E1855" s="241" t="s">
        <v>20</v>
      </c>
      <c r="F1855" s="243"/>
      <c r="G1855" s="244"/>
      <c r="H1855" s="243"/>
      <c r="I1855" s="243"/>
      <c r="J1855" s="245">
        <v>79.77</v>
      </c>
      <c r="K1855" s="6" t="s">
        <v>889</v>
      </c>
      <c r="L1855" s="20">
        <f>IF(ISNA(MATCH(Transactions[[#This Row],[TransType]],TransTypes[TransType],0)),1,MATCH(Transactions[[#This Row],[TransType]],TransTypes[TransType],0))</f>
        <v>7</v>
      </c>
      <c r="M1855" s="246">
        <f>IF( AND( INDEX(TransTypes[],Transactions[[#This Row],[TTR]],TT_COL_GLFlag)=1, INDEX(TransTypes[],Transactions[[#This Row],[TTR]],TT_COL_LONGORSHORT)="S" ),
      Transactions[[#This Row],[PL]],
      IF(INDEX(TransTypes[],Transactions[[#This Row],[TTR]],TT_COL_LONGORSHORT)="S",0,Transactions[[#This Row],[CalCashImpact]])
)</f>
        <v>-79.77</v>
      </c>
      <c r="N1855" s="247">
        <f>IF(VLOOKUP(Transactions[[#This Row],[Symbol]],Symbols[],COLUMN(Symbols[Currency])-COLUMN(Symbols[])+1,FALSE)=
       VLOOKUP(Transactions[[#This Row],[Account]],Accounts[],COLUMN(Accounts[Currency])-COLUMN(Accounts[])+1,FALSE),
     Transactions[[#This Row],[OrigCashImpact]],
     0
)</f>
        <v>-79.77</v>
      </c>
      <c r="O1855"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-167333.85141959204</v>
      </c>
      <c r="P1855"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55"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2048</v>
      </c>
      <c r="R1855" s="41">
        <f>ROW()</f>
        <v>1855</v>
      </c>
      <c r="S185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5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251817.64082395815</v>
      </c>
      <c r="U1855"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1855" s="252">
        <f>IF(INDEX(TransTypes[],Transactions[[#This Row],[TTR]],TT_COL_GLFlag)=1,Transactions[[#This Row],[CalCashImpact]]+Transactions[[#This Row],[CostImpact]],0)</f>
        <v>0</v>
      </c>
      <c r="W1855" s="253">
        <f>Transactions[[#This Row],[Amount]]*INDEX(TransTypes[],Transactions[[#This Row],[TTR]],TT_COL_AmntSign)</f>
        <v>-79.77</v>
      </c>
      <c r="X1855" s="253">
        <f>IF(INDEX(TransTypes[],Transactions[[#This Row],[TTR]],TT_COL_LONGORSHORT)="S",
      IF( OR(INDEX(TransTypes[],Transactions[[#This Row],[TTR]],TT_COL_GLFlag)=1, INDEX(TransTypes[], Transactions[[#This Row],[TTR]], TT_COL_ShareTransferFlag)=1),
            Transactions[[#This Row],[CostImpact]]*-1,
            Transactions[[#This Row],[CalCashImpact]]
      ),
     0
)</f>
        <v>0</v>
      </c>
      <c r="Y1855" s="254" t="str">
        <f>VLOOKUP(Transactions[[#This Row],[Symbol]],Symbols[], COLUMN(Symbols[Currency])-COLUMN(Symbols[])+1,FALSE)</f>
        <v>USD</v>
      </c>
    </row>
    <row r="1856" spans="1:25">
      <c r="A1856" s="241" t="s">
        <v>65</v>
      </c>
      <c r="B1856" s="242">
        <v>43199</v>
      </c>
      <c r="C1856" s="241" t="s">
        <v>160</v>
      </c>
      <c r="D1856" s="241"/>
      <c r="E1856" s="241" t="s">
        <v>870</v>
      </c>
      <c r="F1856" s="243">
        <v>2</v>
      </c>
      <c r="G1856" s="244">
        <v>6536.75</v>
      </c>
      <c r="H1856" s="243">
        <v>4.0999999999999996</v>
      </c>
      <c r="I1856" s="243"/>
      <c r="J1856" s="245">
        <v>261474.1</v>
      </c>
      <c r="K1856" s="6"/>
      <c r="L1856" s="20">
        <f>IF(ISNA(MATCH(Transactions[[#This Row],[TransType]],TransTypes[TransType],0)),1,MATCH(Transactions[[#This Row],[TransType]],TransTypes[TransType],0))</f>
        <v>20</v>
      </c>
      <c r="M1856" s="246">
        <f>IF( AND( INDEX(TransTypes[],Transactions[[#This Row],[TTR]],TT_COL_GLFlag)=1, INDEX(TransTypes[],Transactions[[#This Row],[TTR]],TT_COL_LONGORSHORT)="S" ),
      Transactions[[#This Row],[PL]],
      IF(INDEX(TransTypes[],Transactions[[#This Row],[TTR]],TT_COL_LONGORSHORT)="S",0,Transactions[[#This Row],[CalCashImpact]])
)</f>
        <v>-3993.2000000000116</v>
      </c>
      <c r="N1856" s="247">
        <f>IF(VLOOKUP(Transactions[[#This Row],[Symbol]],Symbols[],COLUMN(Symbols[Currency])-COLUMN(Symbols[])+1,FALSE)=
       VLOOKUP(Transactions[[#This Row],[Account]],Accounts[],COLUMN(Accounts[Currency])-COLUMN(Accounts[])+1,FALSE),
     Transactions[[#This Row],[OrigCashImpact]],
     0
)</f>
        <v>-3993.2000000000116</v>
      </c>
      <c r="O1856"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-171327.05141959206</v>
      </c>
      <c r="P1856"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1856"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56" s="41">
        <f>ROW()</f>
        <v>1856</v>
      </c>
      <c r="S185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257480.9</v>
      </c>
      <c r="T185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56"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v>
      </c>
      <c r="V1856" s="252">
        <f>IF(INDEX(TransTypes[],Transactions[[#This Row],[TTR]],TT_COL_GLFlag)=1,Transactions[[#This Row],[CalCashImpact]]+Transactions[[#This Row],[CostImpact]],0)</f>
        <v>-3993.2000000000116</v>
      </c>
      <c r="W1856" s="253">
        <f>Transactions[[#This Row],[Amount]]*INDEX(TransTypes[],Transactions[[#This Row],[TTR]],TT_COL_AmntSign)</f>
        <v>-261474.1</v>
      </c>
      <c r="X1856" s="253">
        <f>IF(INDEX(TransTypes[],Transactions[[#This Row],[TTR]],TT_COL_LONGORSHORT)="S",
      IF( OR(INDEX(TransTypes[],Transactions[[#This Row],[TTR]],TT_COL_GLFlag)=1, INDEX(TransTypes[], Transactions[[#This Row],[TTR]], TT_COL_ShareTransferFlag)=1),
            Transactions[[#This Row],[CostImpact]]*-1,
            Transactions[[#This Row],[CalCashImpact]]
      ),
     0
)</f>
        <v>-257480.9</v>
      </c>
      <c r="Y1856" s="254" t="str">
        <f>VLOOKUP(Transactions[[#This Row],[Symbol]],Symbols[], COLUMN(Symbols[Currency])-COLUMN(Symbols[])+1,FALSE)</f>
        <v>USD</v>
      </c>
    </row>
    <row r="1857" spans="1:25">
      <c r="A1857" s="241" t="s">
        <v>65</v>
      </c>
      <c r="B1857" s="242">
        <v>43200</v>
      </c>
      <c r="C1857" s="241" t="s">
        <v>113</v>
      </c>
      <c r="D1857" s="241"/>
      <c r="E1857" s="241" t="s">
        <v>275</v>
      </c>
      <c r="F1857" s="243">
        <v>100</v>
      </c>
      <c r="G1857" s="244">
        <v>222.27</v>
      </c>
      <c r="H1857" s="243">
        <v>1</v>
      </c>
      <c r="I1857" s="243"/>
      <c r="J1857" s="245">
        <v>22228</v>
      </c>
      <c r="K1857" s="6"/>
      <c r="L1857" s="20">
        <f>IF(ISNA(MATCH(Transactions[[#This Row],[TransType]],TransTypes[TransType],0)),1,MATCH(Transactions[[#This Row],[TransType]],TransTypes[TransType],0))</f>
        <v>2</v>
      </c>
      <c r="M1857" s="246">
        <f>IF( AND( INDEX(TransTypes[],Transactions[[#This Row],[TTR]],TT_COL_GLFlag)=1, INDEX(TransTypes[],Transactions[[#This Row],[TTR]],TT_COL_LONGORSHORT)="S" ),
      Transactions[[#This Row],[PL]],
      IF(INDEX(TransTypes[],Transactions[[#This Row],[TTR]],TT_COL_LONGORSHORT)="S",0,Transactions[[#This Row],[CalCashImpact]])
)</f>
        <v>-22228</v>
      </c>
      <c r="N1857" s="247">
        <f>IF(VLOOKUP(Transactions[[#This Row],[Symbol]],Symbols[],COLUMN(Symbols[Currency])-COLUMN(Symbols[])+1,FALSE)=
       VLOOKUP(Transactions[[#This Row],[Account]],Accounts[],COLUMN(Accounts[Currency])-COLUMN(Accounts[])+1,FALSE),
     Transactions[[#This Row],[OrigCashImpact]],
     0
)</f>
        <v>-22228</v>
      </c>
      <c r="O1857"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-193555.05141959206</v>
      </c>
      <c r="P1857"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857"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300</v>
      </c>
      <c r="R1857" s="41">
        <f>ROW()</f>
        <v>1857</v>
      </c>
      <c r="S185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22228</v>
      </c>
      <c r="T185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58920.45</v>
      </c>
      <c r="U1857"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300</v>
      </c>
      <c r="V1857" s="252">
        <f>IF(INDEX(TransTypes[],Transactions[[#This Row],[TTR]],TT_COL_GLFlag)=1,Transactions[[#This Row],[CalCashImpact]]+Transactions[[#This Row],[CostImpact]],0)</f>
        <v>0</v>
      </c>
      <c r="W1857" s="253">
        <f>Transactions[[#This Row],[Amount]]*INDEX(TransTypes[],Transactions[[#This Row],[TTR]],TT_COL_AmntSign)</f>
        <v>-22228</v>
      </c>
      <c r="X1857" s="253">
        <f>IF(INDEX(TransTypes[],Transactions[[#This Row],[TTR]],TT_COL_LONGORSHORT)="S",
      IF( OR(INDEX(TransTypes[],Transactions[[#This Row],[TTR]],TT_COL_GLFlag)=1, INDEX(TransTypes[], Transactions[[#This Row],[TTR]], TT_COL_ShareTransferFlag)=1),
            Transactions[[#This Row],[CostImpact]]*-1,
            Transactions[[#This Row],[CalCashImpact]]
      ),
     0
)</f>
        <v>0</v>
      </c>
      <c r="Y1857" s="254" t="str">
        <f>VLOOKUP(Transactions[[#This Row],[Symbol]],Symbols[], COLUMN(Symbols[Currency])-COLUMN(Symbols[])+1,FALSE)</f>
        <v>USD</v>
      </c>
    </row>
    <row r="1858" spans="1:25">
      <c r="A1858" s="241" t="s">
        <v>65</v>
      </c>
      <c r="B1858" s="242">
        <v>43200</v>
      </c>
      <c r="C1858" s="241" t="s">
        <v>113</v>
      </c>
      <c r="D1858" s="241"/>
      <c r="E1858" s="241" t="s">
        <v>278</v>
      </c>
      <c r="F1858" s="243">
        <v>30</v>
      </c>
      <c r="G1858" s="244">
        <v>1421.47</v>
      </c>
      <c r="H1858" s="243">
        <v>1</v>
      </c>
      <c r="I1858" s="243"/>
      <c r="J1858" s="245">
        <v>42645.1</v>
      </c>
      <c r="K1858" s="6"/>
      <c r="L1858" s="20">
        <f>IF(ISNA(MATCH(Transactions[[#This Row],[TransType]],TransTypes[TransType],0)),1,MATCH(Transactions[[#This Row],[TransType]],TransTypes[TransType],0))</f>
        <v>2</v>
      </c>
      <c r="M1858" s="246">
        <f>IF( AND( INDEX(TransTypes[],Transactions[[#This Row],[TTR]],TT_COL_GLFlag)=1, INDEX(TransTypes[],Transactions[[#This Row],[TTR]],TT_COL_LONGORSHORT)="S" ),
      Transactions[[#This Row],[PL]],
      IF(INDEX(TransTypes[],Transactions[[#This Row],[TTR]],TT_COL_LONGORSHORT)="S",0,Transactions[[#This Row],[CalCashImpact]])
)</f>
        <v>-42645.1</v>
      </c>
      <c r="N1858" s="247">
        <f>IF(VLOOKUP(Transactions[[#This Row],[Symbol]],Symbols[],COLUMN(Symbols[Currency])-COLUMN(Symbols[])+1,FALSE)=
       VLOOKUP(Transactions[[#This Row],[Account]],Accounts[],COLUMN(Accounts[Currency])-COLUMN(Accounts[])+1,FALSE),
     Transactions[[#This Row],[OrigCashImpact]],
     0
)</f>
        <v>-42645.1</v>
      </c>
      <c r="O1858"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-236200.15141959206</v>
      </c>
      <c r="P1858"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v>
      </c>
      <c r="Q1858"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170</v>
      </c>
      <c r="R1858" s="41">
        <f>ROW()</f>
        <v>1858</v>
      </c>
      <c r="S185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42645.1</v>
      </c>
      <c r="T185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212341.02499999999</v>
      </c>
      <c r="U1858"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170</v>
      </c>
      <c r="V1858" s="252">
        <f>IF(INDEX(TransTypes[],Transactions[[#This Row],[TTR]],TT_COL_GLFlag)=1,Transactions[[#This Row],[CalCashImpact]]+Transactions[[#This Row],[CostImpact]],0)</f>
        <v>0</v>
      </c>
      <c r="W1858" s="253">
        <f>Transactions[[#This Row],[Amount]]*INDEX(TransTypes[],Transactions[[#This Row],[TTR]],TT_COL_AmntSign)</f>
        <v>-42645.1</v>
      </c>
      <c r="X1858" s="253">
        <f>IF(INDEX(TransTypes[],Transactions[[#This Row],[TTR]],TT_COL_LONGORSHORT)="S",
      IF( OR(INDEX(TransTypes[],Transactions[[#This Row],[TTR]],TT_COL_GLFlag)=1, INDEX(TransTypes[], Transactions[[#This Row],[TTR]], TT_COL_ShareTransferFlag)=1),
            Transactions[[#This Row],[CostImpact]]*-1,
            Transactions[[#This Row],[CalCashImpact]]
      ),
     0
)</f>
        <v>0</v>
      </c>
      <c r="Y1858" s="254" t="str">
        <f>VLOOKUP(Transactions[[#This Row],[Symbol]],Symbols[], COLUMN(Symbols[Currency])-COLUMN(Symbols[])+1,FALSE)</f>
        <v>USD</v>
      </c>
    </row>
    <row r="1859" spans="1:25">
      <c r="A1859" s="241" t="s">
        <v>65</v>
      </c>
      <c r="B1859" s="242">
        <v>43200</v>
      </c>
      <c r="C1859" s="241" t="s">
        <v>113</v>
      </c>
      <c r="D1859" s="241"/>
      <c r="E1859" s="241" t="s">
        <v>278</v>
      </c>
      <c r="F1859" s="243">
        <v>30</v>
      </c>
      <c r="G1859" s="244">
        <v>1428</v>
      </c>
      <c r="H1859" s="243">
        <v>1</v>
      </c>
      <c r="I1859" s="243"/>
      <c r="J1859" s="245">
        <v>42841</v>
      </c>
      <c r="K1859" s="6"/>
      <c r="L1859" s="20">
        <f>IF(ISNA(MATCH(Transactions[[#This Row],[TransType]],TransTypes[TransType],0)),1,MATCH(Transactions[[#This Row],[TransType]],TransTypes[TransType],0))</f>
        <v>2</v>
      </c>
      <c r="M1859" s="246">
        <f>IF( AND( INDEX(TransTypes[],Transactions[[#This Row],[TTR]],TT_COL_GLFlag)=1, INDEX(TransTypes[],Transactions[[#This Row],[TTR]],TT_COL_LONGORSHORT)="S" ),
      Transactions[[#This Row],[PL]],
      IF(INDEX(TransTypes[],Transactions[[#This Row],[TTR]],TT_COL_LONGORSHORT)="S",0,Transactions[[#This Row],[CalCashImpact]])
)</f>
        <v>-42841</v>
      </c>
      <c r="N1859" s="247">
        <f>IF(VLOOKUP(Transactions[[#This Row],[Symbol]],Symbols[],COLUMN(Symbols[Currency])-COLUMN(Symbols[])+1,FALSE)=
       VLOOKUP(Transactions[[#This Row],[Account]],Accounts[],COLUMN(Accounts[Currency])-COLUMN(Accounts[])+1,FALSE),
     Transactions[[#This Row],[OrigCashImpact]],
     0
)</f>
        <v>-42841</v>
      </c>
      <c r="O1859"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-279041.15141959209</v>
      </c>
      <c r="P1859"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v>
      </c>
      <c r="Q1859"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859" s="41">
        <f>ROW()</f>
        <v>1859</v>
      </c>
      <c r="S185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42841</v>
      </c>
      <c r="T185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255182.02499999999</v>
      </c>
      <c r="U1859"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1859" s="252">
        <f>IF(INDEX(TransTypes[],Transactions[[#This Row],[TTR]],TT_COL_GLFlag)=1,Transactions[[#This Row],[CalCashImpact]]+Transactions[[#This Row],[CostImpact]],0)</f>
        <v>0</v>
      </c>
      <c r="W1859" s="253">
        <f>Transactions[[#This Row],[Amount]]*INDEX(TransTypes[],Transactions[[#This Row],[TTR]],TT_COL_AmntSign)</f>
        <v>-42841</v>
      </c>
      <c r="X1859" s="253">
        <f>IF(INDEX(TransTypes[],Transactions[[#This Row],[TTR]],TT_COL_LONGORSHORT)="S",
      IF( OR(INDEX(TransTypes[],Transactions[[#This Row],[TTR]],TT_COL_GLFlag)=1, INDEX(TransTypes[], Transactions[[#This Row],[TTR]], TT_COL_ShareTransferFlag)=1),
            Transactions[[#This Row],[CostImpact]]*-1,
            Transactions[[#This Row],[CalCashImpact]]
      ),
     0
)</f>
        <v>0</v>
      </c>
      <c r="Y1859" s="254" t="str">
        <f>VLOOKUP(Transactions[[#This Row],[Symbol]],Symbols[], COLUMN(Symbols[Currency])-COLUMN(Symbols[])+1,FALSE)</f>
        <v>USD</v>
      </c>
    </row>
    <row r="1860" spans="1:25">
      <c r="A1860" s="241" t="s">
        <v>65</v>
      </c>
      <c r="B1860" s="242">
        <v>43200</v>
      </c>
      <c r="C1860" s="241" t="s">
        <v>113</v>
      </c>
      <c r="D1860" s="241"/>
      <c r="E1860" s="241" t="s">
        <v>281</v>
      </c>
      <c r="F1860" s="243">
        <v>200</v>
      </c>
      <c r="G1860" s="244">
        <v>175</v>
      </c>
      <c r="H1860" s="243">
        <v>1</v>
      </c>
      <c r="I1860" s="243"/>
      <c r="J1860" s="245">
        <v>35001</v>
      </c>
      <c r="K1860" s="6"/>
      <c r="L1860" s="20">
        <f>IF(ISNA(MATCH(Transactions[[#This Row],[TransType]],TransTypes[TransType],0)),1,MATCH(Transactions[[#This Row],[TransType]],TransTypes[TransType],0))</f>
        <v>2</v>
      </c>
      <c r="M1860" s="246">
        <f>IF( AND( INDEX(TransTypes[],Transactions[[#This Row],[TTR]],TT_COL_GLFlag)=1, INDEX(TransTypes[],Transactions[[#This Row],[TTR]],TT_COL_LONGORSHORT)="S" ),
      Transactions[[#This Row],[PL]],
      IF(INDEX(TransTypes[],Transactions[[#This Row],[TTR]],TT_COL_LONGORSHORT)="S",0,Transactions[[#This Row],[CalCashImpact]])
)</f>
        <v>-35001</v>
      </c>
      <c r="N1860" s="247">
        <f>IF(VLOOKUP(Transactions[[#This Row],[Symbol]],Symbols[],COLUMN(Symbols[Currency])-COLUMN(Symbols[])+1,FALSE)=
       VLOOKUP(Transactions[[#This Row],[Account]],Accounts[],COLUMN(Accounts[Currency])-COLUMN(Accounts[])+1,FALSE),
     Transactions[[#This Row],[OrigCashImpact]],
     0
)</f>
        <v>-35001</v>
      </c>
      <c r="O1860"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-314042.15141959209</v>
      </c>
      <c r="P1860"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860"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1860" s="41">
        <f>ROW()</f>
        <v>1860</v>
      </c>
      <c r="S186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35001</v>
      </c>
      <c r="T186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72574.333333333328</v>
      </c>
      <c r="U1860"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1860" s="252">
        <f>IF(INDEX(TransTypes[],Transactions[[#This Row],[TTR]],TT_COL_GLFlag)=1,Transactions[[#This Row],[CalCashImpact]]+Transactions[[#This Row],[CostImpact]],0)</f>
        <v>0</v>
      </c>
      <c r="W1860" s="253">
        <f>Transactions[[#This Row],[Amount]]*INDEX(TransTypes[],Transactions[[#This Row],[TTR]],TT_COL_AmntSign)</f>
        <v>-35001</v>
      </c>
      <c r="X1860" s="253">
        <f>IF(INDEX(TransTypes[],Transactions[[#This Row],[TTR]],TT_COL_LONGORSHORT)="S",
      IF( OR(INDEX(TransTypes[],Transactions[[#This Row],[TTR]],TT_COL_GLFlag)=1, INDEX(TransTypes[], Transactions[[#This Row],[TTR]], TT_COL_ShareTransferFlag)=1),
            Transactions[[#This Row],[CostImpact]]*-1,
            Transactions[[#This Row],[CalCashImpact]]
      ),
     0
)</f>
        <v>0</v>
      </c>
      <c r="Y1860" s="254" t="str">
        <f>VLOOKUP(Transactions[[#This Row],[Symbol]],Symbols[], COLUMN(Symbols[Currency])-COLUMN(Symbols[])+1,FALSE)</f>
        <v>USD</v>
      </c>
    </row>
    <row r="1861" spans="1:25">
      <c r="A1861" s="241" t="s">
        <v>65</v>
      </c>
      <c r="B1861" s="242">
        <v>43200</v>
      </c>
      <c r="C1861" s="241" t="s">
        <v>115</v>
      </c>
      <c r="D1861" s="241"/>
      <c r="E1861" s="241" t="s">
        <v>287</v>
      </c>
      <c r="F1861" s="243">
        <v>502</v>
      </c>
      <c r="G1861" s="244">
        <v>159.46</v>
      </c>
      <c r="H1861" s="243">
        <v>4.4188680519999997</v>
      </c>
      <c r="I1861" s="243"/>
      <c r="J1861" s="245">
        <v>80044.501131947996</v>
      </c>
      <c r="K1861" s="6"/>
      <c r="L1861" s="20">
        <f>IF(ISNA(MATCH(Transactions[[#This Row],[TransType]],TransTypes[TransType],0)),1,MATCH(Transactions[[#This Row],[TransType]],TransTypes[TransType],0))</f>
        <v>3</v>
      </c>
      <c r="M1861" s="246">
        <f>IF( AND( INDEX(TransTypes[],Transactions[[#This Row],[TTR]],TT_COL_GLFlag)=1, INDEX(TransTypes[],Transactions[[#This Row],[TTR]],TT_COL_LONGORSHORT)="S" ),
      Transactions[[#This Row],[PL]],
      IF(INDEX(TransTypes[],Transactions[[#This Row],[TTR]],TT_COL_LONGORSHORT)="S",0,Transactions[[#This Row],[CalCashImpact]])
)</f>
        <v>80044.501131947996</v>
      </c>
      <c r="N1861" s="247">
        <f>IF(VLOOKUP(Transactions[[#This Row],[Symbol]],Symbols[],COLUMN(Symbols[Currency])-COLUMN(Symbols[])+1,FALSE)=
       VLOOKUP(Transactions[[#This Row],[Account]],Accounts[],COLUMN(Accounts[Currency])-COLUMN(Accounts[])+1,FALSE),
     Transactions[[#This Row],[OrigCashImpact]],
     0
)</f>
        <v>80044.501131947996</v>
      </c>
      <c r="O1861"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-233997.65028764406</v>
      </c>
      <c r="P1861"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-502</v>
      </c>
      <c r="Q1861"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1800</v>
      </c>
      <c r="R1861" s="41">
        <f>ROW()</f>
        <v>1861</v>
      </c>
      <c r="S186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-84560.575754052305</v>
      </c>
      <c r="T186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303205.2517077573</v>
      </c>
      <c r="U1861"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2302</v>
      </c>
      <c r="V1861" s="252">
        <f>IF(INDEX(TransTypes[],Transactions[[#This Row],[TTR]],TT_COL_GLFlag)=1,Transactions[[#This Row],[CalCashImpact]]+Transactions[[#This Row],[CostImpact]],0)</f>
        <v>-4516.0746221043082</v>
      </c>
      <c r="W1861" s="253">
        <f>Transactions[[#This Row],[Amount]]*INDEX(TransTypes[],Transactions[[#This Row],[TTR]],TT_COL_AmntSign)</f>
        <v>80044.501131947996</v>
      </c>
      <c r="X1861" s="253">
        <f>IF(INDEX(TransTypes[],Transactions[[#This Row],[TTR]],TT_COL_LONGORSHORT)="S",
      IF( OR(INDEX(TransTypes[],Transactions[[#This Row],[TTR]],TT_COL_GLFlag)=1, INDEX(TransTypes[], Transactions[[#This Row],[TTR]], TT_COL_ShareTransferFlag)=1),
            Transactions[[#This Row],[CostImpact]]*-1,
            Transactions[[#This Row],[CalCashImpact]]
      ),
     0
)</f>
        <v>0</v>
      </c>
      <c r="Y1861" s="254" t="str">
        <f>VLOOKUP(Transactions[[#This Row],[Symbol]],Symbols[], COLUMN(Symbols[Currency])-COLUMN(Symbols[])+1,FALSE)</f>
        <v>USD</v>
      </c>
    </row>
    <row r="1862" spans="1:25">
      <c r="A1862" s="241" t="s">
        <v>65</v>
      </c>
      <c r="B1862" s="242">
        <v>43200</v>
      </c>
      <c r="C1862" s="241" t="s">
        <v>113</v>
      </c>
      <c r="D1862" s="241"/>
      <c r="E1862" s="241" t="s">
        <v>7</v>
      </c>
      <c r="F1862" s="243">
        <v>30</v>
      </c>
      <c r="G1862" s="244">
        <v>1024.3399999999999</v>
      </c>
      <c r="H1862" s="243">
        <v>1</v>
      </c>
      <c r="I1862" s="243"/>
      <c r="J1862" s="245">
        <v>30731.200000000001</v>
      </c>
      <c r="K1862" s="6"/>
      <c r="L1862" s="20">
        <f>IF(ISNA(MATCH(Transactions[[#This Row],[TransType]],TransTypes[TransType],0)),1,MATCH(Transactions[[#This Row],[TransType]],TransTypes[TransType],0))</f>
        <v>2</v>
      </c>
      <c r="M1862" s="246">
        <f>IF( AND( INDEX(TransTypes[],Transactions[[#This Row],[TTR]],TT_COL_GLFlag)=1, INDEX(TransTypes[],Transactions[[#This Row],[TTR]],TT_COL_LONGORSHORT)="S" ),
      Transactions[[#This Row],[PL]],
      IF(INDEX(TransTypes[],Transactions[[#This Row],[TTR]],TT_COL_LONGORSHORT)="S",0,Transactions[[#This Row],[CalCashImpact]])
)</f>
        <v>-30731.200000000001</v>
      </c>
      <c r="N1862" s="247">
        <f>IF(VLOOKUP(Transactions[[#This Row],[Symbol]],Symbols[],COLUMN(Symbols[Currency])-COLUMN(Symbols[])+1,FALSE)=
       VLOOKUP(Transactions[[#This Row],[Account]],Accounts[],COLUMN(Accounts[Currency])-COLUMN(Accounts[])+1,FALSE),
     Transactions[[#This Row],[OrigCashImpact]],
     0
)</f>
        <v>-30731.200000000001</v>
      </c>
      <c r="O1862"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-264728.85028764408</v>
      </c>
      <c r="P1862"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v>
      </c>
      <c r="Q1862"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862" s="41">
        <f>ROW()</f>
        <v>1862</v>
      </c>
      <c r="S186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30731.200000000001</v>
      </c>
      <c r="T186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213299.02044444444</v>
      </c>
      <c r="U1862"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v>
      </c>
      <c r="V1862" s="252">
        <f>IF(INDEX(TransTypes[],Transactions[[#This Row],[TTR]],TT_COL_GLFlag)=1,Transactions[[#This Row],[CalCashImpact]]+Transactions[[#This Row],[CostImpact]],0)</f>
        <v>0</v>
      </c>
      <c r="W1862" s="253">
        <f>Transactions[[#This Row],[Amount]]*INDEX(TransTypes[],Transactions[[#This Row],[TTR]],TT_COL_AmntSign)</f>
        <v>-30731.200000000001</v>
      </c>
      <c r="X1862" s="253">
        <f>IF(INDEX(TransTypes[],Transactions[[#This Row],[TTR]],TT_COL_LONGORSHORT)="S",
      IF( OR(INDEX(TransTypes[],Transactions[[#This Row],[TTR]],TT_COL_GLFlag)=1, INDEX(TransTypes[], Transactions[[#This Row],[TTR]], TT_COL_ShareTransferFlag)=1),
            Transactions[[#This Row],[CostImpact]]*-1,
            Transactions[[#This Row],[CalCashImpact]]
      ),
     0
)</f>
        <v>0</v>
      </c>
      <c r="Y1862" s="254" t="str">
        <f>VLOOKUP(Transactions[[#This Row],[Symbol]],Symbols[], COLUMN(Symbols[Currency])-COLUMN(Symbols[])+1,FALSE)</f>
        <v>USD</v>
      </c>
    </row>
    <row r="1863" spans="1:25">
      <c r="A1863" s="241" t="s">
        <v>65</v>
      </c>
      <c r="B1863" s="242">
        <v>43200</v>
      </c>
      <c r="C1863" s="241" t="s">
        <v>115</v>
      </c>
      <c r="D1863" s="241"/>
      <c r="E1863" s="241" t="s">
        <v>311</v>
      </c>
      <c r="F1863" s="243">
        <v>500</v>
      </c>
      <c r="G1863" s="244">
        <v>36.552599999999998</v>
      </c>
      <c r="H1863" s="243">
        <v>2.4816825300000001</v>
      </c>
      <c r="I1863" s="243"/>
      <c r="J1863" s="245">
        <v>18273.818317469999</v>
      </c>
      <c r="K1863" s="6"/>
      <c r="L1863" s="20">
        <f>IF(ISNA(MATCH(Transactions[[#This Row],[TransType]],TransTypes[TransType],0)),1,MATCH(Transactions[[#This Row],[TransType]],TransTypes[TransType],0))</f>
        <v>3</v>
      </c>
      <c r="M1863" s="246">
        <f>IF( AND( INDEX(TransTypes[],Transactions[[#This Row],[TTR]],TT_COL_GLFlag)=1, INDEX(TransTypes[],Transactions[[#This Row],[TTR]],TT_COL_LONGORSHORT)="S" ),
      Transactions[[#This Row],[PL]],
      IF(INDEX(TransTypes[],Transactions[[#This Row],[TTR]],TT_COL_LONGORSHORT)="S",0,Transactions[[#This Row],[CalCashImpact]])
)</f>
        <v>18273.818317469999</v>
      </c>
      <c r="N1863" s="247">
        <f>IF(VLOOKUP(Transactions[[#This Row],[Symbol]],Symbols[],COLUMN(Symbols[Currency])-COLUMN(Symbols[])+1,FALSE)=
       VLOOKUP(Transactions[[#This Row],[Account]],Accounts[],COLUMN(Accounts[Currency])-COLUMN(Accounts[])+1,FALSE),
     Transactions[[#This Row],[OrigCashImpact]],
     0
)</f>
        <v>18273.818317469999</v>
      </c>
      <c r="O1863"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-246455.03197017405</v>
      </c>
      <c r="P1863"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863"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863" s="41">
        <f>ROW()</f>
        <v>1863</v>
      </c>
      <c r="S186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-13321.649459999995</v>
      </c>
      <c r="T186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53286.59783999998</v>
      </c>
      <c r="U1863"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2500</v>
      </c>
      <c r="V1863" s="252">
        <f>IF(INDEX(TransTypes[],Transactions[[#This Row],[TTR]],TT_COL_GLFlag)=1,Transactions[[#This Row],[CalCashImpact]]+Transactions[[#This Row],[CostImpact]],0)</f>
        <v>4952.1688574700038</v>
      </c>
      <c r="W1863" s="253">
        <f>Transactions[[#This Row],[Amount]]*INDEX(TransTypes[],Transactions[[#This Row],[TTR]],TT_COL_AmntSign)</f>
        <v>18273.818317469999</v>
      </c>
      <c r="X1863" s="253">
        <f>IF(INDEX(TransTypes[],Transactions[[#This Row],[TTR]],TT_COL_LONGORSHORT)="S",
      IF( OR(INDEX(TransTypes[],Transactions[[#This Row],[TTR]],TT_COL_GLFlag)=1, INDEX(TransTypes[], Transactions[[#This Row],[TTR]], TT_COL_ShareTransferFlag)=1),
            Transactions[[#This Row],[CostImpact]]*-1,
            Transactions[[#This Row],[CalCashImpact]]
      ),
     0
)</f>
        <v>0</v>
      </c>
      <c r="Y1863" s="254" t="str">
        <f>VLOOKUP(Transactions[[#This Row],[Symbol]],Symbols[], COLUMN(Symbols[Currency])-COLUMN(Symbols[])+1,FALSE)</f>
        <v>USD</v>
      </c>
    </row>
    <row r="1864" spans="1:25">
      <c r="A1864" s="241" t="s">
        <v>65</v>
      </c>
      <c r="B1864" s="242">
        <v>43200</v>
      </c>
      <c r="C1864" s="241" t="s">
        <v>115</v>
      </c>
      <c r="D1864" s="241"/>
      <c r="E1864" s="241" t="s">
        <v>311</v>
      </c>
      <c r="F1864" s="243">
        <v>1500</v>
      </c>
      <c r="G1864" s="244">
        <v>36.54</v>
      </c>
      <c r="H1864" s="243">
        <v>8.9446110000000001</v>
      </c>
      <c r="I1864" s="243"/>
      <c r="J1864" s="245">
        <v>54801.055389000001</v>
      </c>
      <c r="K1864" s="6"/>
      <c r="L1864" s="20">
        <f>IF(ISNA(MATCH(Transactions[[#This Row],[TransType]],TransTypes[TransType],0)),1,MATCH(Transactions[[#This Row],[TransType]],TransTypes[TransType],0))</f>
        <v>3</v>
      </c>
      <c r="M1864" s="246">
        <f>IF( AND( INDEX(TransTypes[],Transactions[[#This Row],[TTR]],TT_COL_GLFlag)=1, INDEX(TransTypes[],Transactions[[#This Row],[TTR]],TT_COL_LONGORSHORT)="S" ),
      Transactions[[#This Row],[PL]],
      IF(INDEX(TransTypes[],Transactions[[#This Row],[TTR]],TT_COL_LONGORSHORT)="S",0,Transactions[[#This Row],[CalCashImpact]])
)</f>
        <v>54801.055389000001</v>
      </c>
      <c r="N1864" s="247">
        <f>IF(VLOOKUP(Transactions[[#This Row],[Symbol]],Symbols[],COLUMN(Symbols[Currency])-COLUMN(Symbols[])+1,FALSE)=
       VLOOKUP(Transactions[[#This Row],[Account]],Accounts[],COLUMN(Accounts[Currency])-COLUMN(Accounts[])+1,FALSE),
     Transactions[[#This Row],[OrigCashImpact]],
     0
)</f>
        <v>54801.055389000001</v>
      </c>
      <c r="O1864"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-191653.97658117407</v>
      </c>
      <c r="P1864"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v>
      </c>
      <c r="Q1864"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864" s="41">
        <f>ROW()</f>
        <v>1864</v>
      </c>
      <c r="S186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-39964.94837999998</v>
      </c>
      <c r="T186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13321.649460000001</v>
      </c>
      <c r="U1864"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864" s="252">
        <f>IF(INDEX(TransTypes[],Transactions[[#This Row],[TTR]],TT_COL_GLFlag)=1,Transactions[[#This Row],[CalCashImpact]]+Transactions[[#This Row],[CostImpact]],0)</f>
        <v>14836.107009000021</v>
      </c>
      <c r="W1864" s="253">
        <f>Transactions[[#This Row],[Amount]]*INDEX(TransTypes[],Transactions[[#This Row],[TTR]],TT_COL_AmntSign)</f>
        <v>54801.055389000001</v>
      </c>
      <c r="X1864" s="253">
        <f>IF(INDEX(TransTypes[],Transactions[[#This Row],[TTR]],TT_COL_LONGORSHORT)="S",
      IF( OR(INDEX(TransTypes[],Transactions[[#This Row],[TTR]],TT_COL_GLFlag)=1, INDEX(TransTypes[], Transactions[[#This Row],[TTR]], TT_COL_ShareTransferFlag)=1),
            Transactions[[#This Row],[CostImpact]]*-1,
            Transactions[[#This Row],[CalCashImpact]]
      ),
     0
)</f>
        <v>0</v>
      </c>
      <c r="Y1864" s="254" t="str">
        <f>VLOOKUP(Transactions[[#This Row],[Symbol]],Symbols[], COLUMN(Symbols[Currency])-COLUMN(Symbols[])+1,FALSE)</f>
        <v>USD</v>
      </c>
    </row>
    <row r="1865" spans="1:25">
      <c r="A1865" s="241" t="s">
        <v>65</v>
      </c>
      <c r="B1865" s="242">
        <v>43200</v>
      </c>
      <c r="C1865" s="241" t="s">
        <v>115</v>
      </c>
      <c r="D1865" s="241"/>
      <c r="E1865" s="241" t="s">
        <v>20</v>
      </c>
      <c r="F1865" s="243">
        <v>400</v>
      </c>
      <c r="G1865" s="244">
        <v>121.17055000000001</v>
      </c>
      <c r="H1865" s="243">
        <v>2.7672158819999999</v>
      </c>
      <c r="I1865" s="243"/>
      <c r="J1865" s="245">
        <v>48465.452784118002</v>
      </c>
      <c r="K1865" s="6"/>
      <c r="L1865" s="20">
        <f>IF(ISNA(MATCH(Transactions[[#This Row],[TransType]],TransTypes[TransType],0)),1,MATCH(Transactions[[#This Row],[TransType]],TransTypes[TransType],0))</f>
        <v>3</v>
      </c>
      <c r="M1865" s="246">
        <f>IF( AND( INDEX(TransTypes[],Transactions[[#This Row],[TTR]],TT_COL_GLFlag)=1, INDEX(TransTypes[],Transactions[[#This Row],[TTR]],TT_COL_LONGORSHORT)="S" ),
      Transactions[[#This Row],[PL]],
      IF(INDEX(TransTypes[],Transactions[[#This Row],[TTR]],TT_COL_LONGORSHORT)="S",0,Transactions[[#This Row],[CalCashImpact]])
)</f>
        <v>48465.452784118002</v>
      </c>
      <c r="N1865" s="247">
        <f>IF(VLOOKUP(Transactions[[#This Row],[Symbol]],Symbols[],COLUMN(Symbols[Currency])-COLUMN(Symbols[])+1,FALSE)=
       VLOOKUP(Transactions[[#This Row],[Account]],Accounts[],COLUMN(Accounts[Currency])-COLUMN(Accounts[])+1,FALSE),
     Transactions[[#This Row],[OrigCashImpact]],
     0
)</f>
        <v>48465.452784118002</v>
      </c>
      <c r="O1865"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-143188.52379705606</v>
      </c>
      <c r="P1865"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865"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1648</v>
      </c>
      <c r="R1865" s="41">
        <f>ROW()</f>
        <v>1865</v>
      </c>
      <c r="S186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-49183.132973429325</v>
      </c>
      <c r="T186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202634.50785052881</v>
      </c>
      <c r="U1865"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2048</v>
      </c>
      <c r="V1865" s="252">
        <f>IF(INDEX(TransTypes[],Transactions[[#This Row],[TTR]],TT_COL_GLFlag)=1,Transactions[[#This Row],[CalCashImpact]]+Transactions[[#This Row],[CostImpact]],0)</f>
        <v>-717.68018931132247</v>
      </c>
      <c r="W1865" s="253">
        <f>Transactions[[#This Row],[Amount]]*INDEX(TransTypes[],Transactions[[#This Row],[TTR]],TT_COL_AmntSign)</f>
        <v>48465.452784118002</v>
      </c>
      <c r="X1865" s="253">
        <f>IF(INDEX(TransTypes[],Transactions[[#This Row],[TTR]],TT_COL_LONGORSHORT)="S",
      IF( OR(INDEX(TransTypes[],Transactions[[#This Row],[TTR]],TT_COL_GLFlag)=1, INDEX(TransTypes[], Transactions[[#This Row],[TTR]], TT_COL_ShareTransferFlag)=1),
            Transactions[[#This Row],[CostImpact]]*-1,
            Transactions[[#This Row],[CalCashImpact]]
      ),
     0
)</f>
        <v>0</v>
      </c>
      <c r="Y1865" s="254" t="str">
        <f>VLOOKUP(Transactions[[#This Row],[Symbol]],Symbols[], COLUMN(Symbols[Currency])-COLUMN(Symbols[])+1,FALSE)</f>
        <v>USD</v>
      </c>
    </row>
    <row r="1866" spans="1:25">
      <c r="A1866" s="241" t="s">
        <v>77</v>
      </c>
      <c r="B1866" s="242">
        <v>43196</v>
      </c>
      <c r="C1866" s="241" t="s">
        <v>118</v>
      </c>
      <c r="D1866" s="241"/>
      <c r="E1866" s="241" t="s">
        <v>505</v>
      </c>
      <c r="F1866" s="243"/>
      <c r="G1866" s="244"/>
      <c r="H1866" s="243"/>
      <c r="I1866" s="243"/>
      <c r="J1866" s="245">
        <v>82.09</v>
      </c>
      <c r="K1866" s="6" t="s">
        <v>565</v>
      </c>
      <c r="L1866" s="20">
        <f>IF(ISNA(MATCH(Transactions[[#This Row],[TransType]],TransTypes[TransType],0)),1,MATCH(Transactions[[#This Row],[TransType]],TransTypes[TransType],0))</f>
        <v>4</v>
      </c>
      <c r="M1866" s="246">
        <f>IF( AND( INDEX(TransTypes[],Transactions[[#This Row],[TTR]],TT_COL_GLFlag)=1, INDEX(TransTypes[],Transactions[[#This Row],[TTR]],TT_COL_LONGORSHORT)="S" ),
      Transactions[[#This Row],[PL]],
      IF(INDEX(TransTypes[],Transactions[[#This Row],[TTR]],TT_COL_LONGORSHORT)="S",0,Transactions[[#This Row],[CalCashImpact]])
)</f>
        <v>82.09</v>
      </c>
      <c r="N1866" s="247">
        <f>IF(VLOOKUP(Transactions[[#This Row],[Symbol]],Symbols[],COLUMN(Symbols[Currency])-COLUMN(Symbols[])+1,FALSE)=
       VLOOKUP(Transactions[[#This Row],[Account]],Accounts[],COLUMN(Accounts[Currency])-COLUMN(Accounts[])+1,FALSE),
     Transactions[[#This Row],[OrigCashImpact]],
     0
)</f>
        <v>82.09</v>
      </c>
      <c r="O1866"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9663.4999999998327</v>
      </c>
      <c r="P1866"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66"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1866" s="41">
        <f>ROW()</f>
        <v>1866</v>
      </c>
      <c r="S186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6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1866"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1866" s="252">
        <f>IF(INDEX(TransTypes[],Transactions[[#This Row],[TTR]],TT_COL_GLFlag)=1,Transactions[[#This Row],[CalCashImpact]]+Transactions[[#This Row],[CostImpact]],0)</f>
        <v>0</v>
      </c>
      <c r="W1866" s="253">
        <f>Transactions[[#This Row],[Amount]]*INDEX(TransTypes[],Transactions[[#This Row],[TTR]],TT_COL_AmntSign)</f>
        <v>82.09</v>
      </c>
      <c r="X1866" s="253">
        <f>IF(INDEX(TransTypes[],Transactions[[#This Row],[TTR]],TT_COL_LONGORSHORT)="S",
      IF( OR(INDEX(TransTypes[],Transactions[[#This Row],[TTR]],TT_COL_GLFlag)=1, INDEX(TransTypes[], Transactions[[#This Row],[TTR]], TT_COL_ShareTransferFlag)=1),
            Transactions[[#This Row],[CostImpact]]*-1,
            Transactions[[#This Row],[CalCashImpact]]
      ),
     0
)</f>
        <v>0</v>
      </c>
      <c r="Y1866" s="254" t="str">
        <f>VLOOKUP(Transactions[[#This Row],[Symbol]],Symbols[], COLUMN(Symbols[Currency])-COLUMN(Symbols[])+1,FALSE)</f>
        <v>USD</v>
      </c>
    </row>
    <row r="1867" spans="1:25">
      <c r="A1867" s="241" t="s">
        <v>77</v>
      </c>
      <c r="B1867" s="242">
        <v>43196</v>
      </c>
      <c r="C1867" s="241" t="s">
        <v>118</v>
      </c>
      <c r="D1867" s="241"/>
      <c r="E1867" s="241" t="s">
        <v>20</v>
      </c>
      <c r="F1867" s="243"/>
      <c r="G1867" s="244"/>
      <c r="H1867" s="243"/>
      <c r="I1867" s="243"/>
      <c r="J1867" s="245">
        <v>324.76</v>
      </c>
      <c r="K1867" s="6" t="s">
        <v>528</v>
      </c>
      <c r="L1867" s="20">
        <f>IF(ISNA(MATCH(Transactions[[#This Row],[TransType]],TransTypes[TransType],0)),1,MATCH(Transactions[[#This Row],[TransType]],TransTypes[TransType],0))</f>
        <v>4</v>
      </c>
      <c r="M1867" s="246">
        <f>IF( AND( INDEX(TransTypes[],Transactions[[#This Row],[TTR]],TT_COL_GLFlag)=1, INDEX(TransTypes[],Transactions[[#This Row],[TTR]],TT_COL_LONGORSHORT)="S" ),
      Transactions[[#This Row],[PL]],
      IF(INDEX(TransTypes[],Transactions[[#This Row],[TTR]],TT_COL_LONGORSHORT)="S",0,Transactions[[#This Row],[CalCashImpact]])
)</f>
        <v>324.76</v>
      </c>
      <c r="N1867" s="247">
        <f>IF(VLOOKUP(Transactions[[#This Row],[Symbol]],Symbols[],COLUMN(Symbols[Currency])-COLUMN(Symbols[])+1,FALSE)=
       VLOOKUP(Transactions[[#This Row],[Account]],Accounts[],COLUMN(Accounts[Currency])-COLUMN(Accounts[])+1,FALSE),
     Transactions[[#This Row],[OrigCashImpact]],
     0
)</f>
        <v>324.76</v>
      </c>
      <c r="O1867"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9988.2599999998329</v>
      </c>
      <c r="P1867"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67"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1247</v>
      </c>
      <c r="R1867" s="41">
        <f>ROW()</f>
        <v>1867</v>
      </c>
      <c r="S186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6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153060.2060652553</v>
      </c>
      <c r="U1867"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1247</v>
      </c>
      <c r="V1867" s="252">
        <f>IF(INDEX(TransTypes[],Transactions[[#This Row],[TTR]],TT_COL_GLFlag)=1,Transactions[[#This Row],[CalCashImpact]]+Transactions[[#This Row],[CostImpact]],0)</f>
        <v>0</v>
      </c>
      <c r="W1867" s="253">
        <f>Transactions[[#This Row],[Amount]]*INDEX(TransTypes[],Transactions[[#This Row],[TTR]],TT_COL_AmntSign)</f>
        <v>324.76</v>
      </c>
      <c r="X1867" s="253">
        <f>IF(INDEX(TransTypes[],Transactions[[#This Row],[TTR]],TT_COL_LONGORSHORT)="S",
      IF( OR(INDEX(TransTypes[],Transactions[[#This Row],[TTR]],TT_COL_GLFlag)=1, INDEX(TransTypes[], Transactions[[#This Row],[TTR]], TT_COL_ShareTransferFlag)=1),
            Transactions[[#This Row],[CostImpact]]*-1,
            Transactions[[#This Row],[CalCashImpact]]
      ),
     0
)</f>
        <v>0</v>
      </c>
      <c r="Y1867" s="254" t="str">
        <f>VLOOKUP(Transactions[[#This Row],[Symbol]],Symbols[], COLUMN(Symbols[Currency])-COLUMN(Symbols[])+1,FALSE)</f>
        <v>USD</v>
      </c>
    </row>
    <row r="1868" spans="1:25">
      <c r="A1868" s="241" t="s">
        <v>77</v>
      </c>
      <c r="B1868" s="242">
        <v>43196</v>
      </c>
      <c r="C1868" s="241" t="s">
        <v>123</v>
      </c>
      <c r="D1868" s="241"/>
      <c r="E1868" s="241" t="s">
        <v>505</v>
      </c>
      <c r="F1868" s="243"/>
      <c r="G1868" s="244"/>
      <c r="H1868" s="243"/>
      <c r="I1868" s="243"/>
      <c r="J1868" s="245">
        <v>12.31</v>
      </c>
      <c r="K1868" s="6" t="s">
        <v>566</v>
      </c>
      <c r="L1868" s="20">
        <f>IF(ISNA(MATCH(Transactions[[#This Row],[TransType]],TransTypes[TransType],0)),1,MATCH(Transactions[[#This Row],[TransType]],TransTypes[TransType],0))</f>
        <v>7</v>
      </c>
      <c r="M1868" s="246">
        <f>IF( AND( INDEX(TransTypes[],Transactions[[#This Row],[TTR]],TT_COL_GLFlag)=1, INDEX(TransTypes[],Transactions[[#This Row],[TTR]],TT_COL_LONGORSHORT)="S" ),
      Transactions[[#This Row],[PL]],
      IF(INDEX(TransTypes[],Transactions[[#This Row],[TTR]],TT_COL_LONGORSHORT)="S",0,Transactions[[#This Row],[CalCashImpact]])
)</f>
        <v>-12.31</v>
      </c>
      <c r="N1868" s="247">
        <f>IF(VLOOKUP(Transactions[[#This Row],[Symbol]],Symbols[],COLUMN(Symbols[Currency])-COLUMN(Symbols[])+1,FALSE)=
       VLOOKUP(Transactions[[#This Row],[Account]],Accounts[],COLUMN(Accounts[Currency])-COLUMN(Accounts[])+1,FALSE),
     Transactions[[#This Row],[OrigCashImpact]],
     0
)</f>
        <v>-12.31</v>
      </c>
      <c r="O1868"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9975.9499999998334</v>
      </c>
      <c r="P1868"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68"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469</v>
      </c>
      <c r="R1868" s="41">
        <f>ROW()</f>
        <v>1868</v>
      </c>
      <c r="S186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6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49942.07</v>
      </c>
      <c r="U1868"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1868" s="252">
        <f>IF(INDEX(TransTypes[],Transactions[[#This Row],[TTR]],TT_COL_GLFlag)=1,Transactions[[#This Row],[CalCashImpact]]+Transactions[[#This Row],[CostImpact]],0)</f>
        <v>0</v>
      </c>
      <c r="W1868" s="253">
        <f>Transactions[[#This Row],[Amount]]*INDEX(TransTypes[],Transactions[[#This Row],[TTR]],TT_COL_AmntSign)</f>
        <v>-12.31</v>
      </c>
      <c r="X1868" s="253">
        <f>IF(INDEX(TransTypes[],Transactions[[#This Row],[TTR]],TT_COL_LONGORSHORT)="S",
      IF( OR(INDEX(TransTypes[],Transactions[[#This Row],[TTR]],TT_COL_GLFlag)=1, INDEX(TransTypes[], Transactions[[#This Row],[TTR]], TT_COL_ShareTransferFlag)=1),
            Transactions[[#This Row],[CostImpact]]*-1,
            Transactions[[#This Row],[CalCashImpact]]
      ),
     0
)</f>
        <v>0</v>
      </c>
      <c r="Y1868" s="254" t="str">
        <f>VLOOKUP(Transactions[[#This Row],[Symbol]],Symbols[], COLUMN(Symbols[Currency])-COLUMN(Symbols[])+1,FALSE)</f>
        <v>USD</v>
      </c>
    </row>
    <row r="1869" spans="1:25">
      <c r="A1869" s="241" t="s">
        <v>77</v>
      </c>
      <c r="B1869" s="242">
        <v>43196</v>
      </c>
      <c r="C1869" s="241" t="s">
        <v>123</v>
      </c>
      <c r="D1869" s="241"/>
      <c r="E1869" s="241" t="s">
        <v>20</v>
      </c>
      <c r="F1869" s="243"/>
      <c r="G1869" s="244"/>
      <c r="H1869" s="243"/>
      <c r="I1869" s="243"/>
      <c r="J1869" s="245">
        <v>48.71</v>
      </c>
      <c r="K1869" s="6" t="s">
        <v>529</v>
      </c>
      <c r="L1869" s="20">
        <f>IF(ISNA(MATCH(Transactions[[#This Row],[TransType]],TransTypes[TransType],0)),1,MATCH(Transactions[[#This Row],[TransType]],TransTypes[TransType],0))</f>
        <v>7</v>
      </c>
      <c r="M1869" s="246">
        <f>IF( AND( INDEX(TransTypes[],Transactions[[#This Row],[TTR]],TT_COL_GLFlag)=1, INDEX(TransTypes[],Transactions[[#This Row],[TTR]],TT_COL_LONGORSHORT)="S" ),
      Transactions[[#This Row],[PL]],
      IF(INDEX(TransTypes[],Transactions[[#This Row],[TTR]],TT_COL_LONGORSHORT)="S",0,Transactions[[#This Row],[CalCashImpact]])
)</f>
        <v>-48.71</v>
      </c>
      <c r="N1869" s="247">
        <f>IF(VLOOKUP(Transactions[[#This Row],[Symbol]],Symbols[],COLUMN(Symbols[Currency])-COLUMN(Symbols[])+1,FALSE)=
       VLOOKUP(Transactions[[#This Row],[Account]],Accounts[],COLUMN(Accounts[Currency])-COLUMN(Accounts[])+1,FALSE),
     Transactions[[#This Row],[OrigCashImpact]],
     0
)</f>
        <v>-48.71</v>
      </c>
      <c r="O1869"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9927.2399999998324</v>
      </c>
      <c r="P1869"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69"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1247</v>
      </c>
      <c r="R1869" s="41">
        <f>ROW()</f>
        <v>1869</v>
      </c>
      <c r="S186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6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153060.2060652553</v>
      </c>
      <c r="U1869"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1247</v>
      </c>
      <c r="V1869" s="252">
        <f>IF(INDEX(TransTypes[],Transactions[[#This Row],[TTR]],TT_COL_GLFlag)=1,Transactions[[#This Row],[CalCashImpact]]+Transactions[[#This Row],[CostImpact]],0)</f>
        <v>0</v>
      </c>
      <c r="W1869" s="253">
        <f>Transactions[[#This Row],[Amount]]*INDEX(TransTypes[],Transactions[[#This Row],[TTR]],TT_COL_AmntSign)</f>
        <v>-48.71</v>
      </c>
      <c r="X1869" s="253">
        <f>IF(INDEX(TransTypes[],Transactions[[#This Row],[TTR]],TT_COL_LONGORSHORT)="S",
      IF( OR(INDEX(TransTypes[],Transactions[[#This Row],[TTR]],TT_COL_GLFlag)=1, INDEX(TransTypes[], Transactions[[#This Row],[TTR]], TT_COL_ShareTransferFlag)=1),
            Transactions[[#This Row],[CostImpact]]*-1,
            Transactions[[#This Row],[CalCashImpact]]
      ),
     0
)</f>
        <v>0</v>
      </c>
      <c r="Y1869" s="254" t="str">
        <f>VLOOKUP(Transactions[[#This Row],[Symbol]],Symbols[], COLUMN(Symbols[Currency])-COLUMN(Symbols[])+1,FALSE)</f>
        <v>USD</v>
      </c>
    </row>
    <row r="1870" spans="1:25">
      <c r="A1870" s="241" t="s">
        <v>77</v>
      </c>
      <c r="B1870" s="242">
        <v>43199</v>
      </c>
      <c r="C1870" s="241" t="s">
        <v>113</v>
      </c>
      <c r="D1870" s="241" t="s">
        <v>531</v>
      </c>
      <c r="E1870" s="241" t="s">
        <v>20</v>
      </c>
      <c r="F1870" s="243">
        <v>2</v>
      </c>
      <c r="G1870" s="244">
        <v>120.61499999999999</v>
      </c>
      <c r="H1870" s="243"/>
      <c r="I1870" s="243"/>
      <c r="J1870" s="245">
        <v>241.23</v>
      </c>
      <c r="K1870" s="6" t="s">
        <v>532</v>
      </c>
      <c r="L1870" s="20">
        <f>IF(ISNA(MATCH(Transactions[[#This Row],[TransType]],TransTypes[TransType],0)),1,MATCH(Transactions[[#This Row],[TransType]],TransTypes[TransType],0))</f>
        <v>2</v>
      </c>
      <c r="M1870" s="246">
        <f>IF( AND( INDEX(TransTypes[],Transactions[[#This Row],[TTR]],TT_COL_GLFlag)=1, INDEX(TransTypes[],Transactions[[#This Row],[TTR]],TT_COL_LONGORSHORT)="S" ),
      Transactions[[#This Row],[PL]],
      IF(INDEX(TransTypes[],Transactions[[#This Row],[TTR]],TT_COL_LONGORSHORT)="S",0,Transactions[[#This Row],[CalCashImpact]])
)</f>
        <v>-241.23</v>
      </c>
      <c r="N1870" s="247">
        <f>IF(VLOOKUP(Transactions[[#This Row],[Symbol]],Symbols[],COLUMN(Symbols[Currency])-COLUMN(Symbols[])+1,FALSE)=
       VLOOKUP(Transactions[[#This Row],[Account]],Accounts[],COLUMN(Accounts[Currency])-COLUMN(Accounts[])+1,FALSE),
     Transactions[[#This Row],[OrigCashImpact]],
     0
)</f>
        <v>-241.23</v>
      </c>
      <c r="O1870"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9686.0099999998347</v>
      </c>
      <c r="P1870"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v>
      </c>
      <c r="Q1870"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1249</v>
      </c>
      <c r="R1870" s="41">
        <f>ROW()</f>
        <v>1870</v>
      </c>
      <c r="S187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241.23</v>
      </c>
      <c r="T187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153301.43606525532</v>
      </c>
      <c r="U1870"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1249</v>
      </c>
      <c r="V1870" s="252">
        <f>IF(INDEX(TransTypes[],Transactions[[#This Row],[TTR]],TT_COL_GLFlag)=1,Transactions[[#This Row],[CalCashImpact]]+Transactions[[#This Row],[CostImpact]],0)</f>
        <v>0</v>
      </c>
      <c r="W1870" s="253">
        <f>Transactions[[#This Row],[Amount]]*INDEX(TransTypes[],Transactions[[#This Row],[TTR]],TT_COL_AmntSign)</f>
        <v>-241.23</v>
      </c>
      <c r="X1870" s="253">
        <f>IF(INDEX(TransTypes[],Transactions[[#This Row],[TTR]],TT_COL_LONGORSHORT)="S",
      IF( OR(INDEX(TransTypes[],Transactions[[#This Row],[TTR]],TT_COL_GLFlag)=1, INDEX(TransTypes[], Transactions[[#This Row],[TTR]], TT_COL_ShareTransferFlag)=1),
            Transactions[[#This Row],[CostImpact]]*-1,
            Transactions[[#This Row],[CalCashImpact]]
      ),
     0
)</f>
        <v>0</v>
      </c>
      <c r="Y1870" s="254" t="str">
        <f>VLOOKUP(Transactions[[#This Row],[Symbol]],Symbols[], COLUMN(Symbols[Currency])-COLUMN(Symbols[])+1,FALSE)</f>
        <v>USD</v>
      </c>
    </row>
    <row r="1871" spans="1:25">
      <c r="A1871" s="241" t="s">
        <v>77</v>
      </c>
      <c r="B1871" s="242">
        <v>43200</v>
      </c>
      <c r="C1871" s="241" t="s">
        <v>113</v>
      </c>
      <c r="D1871" s="241"/>
      <c r="E1871" s="241" t="s">
        <v>16</v>
      </c>
      <c r="F1871" s="243">
        <v>36</v>
      </c>
      <c r="G1871" s="244">
        <v>265.16000000000003</v>
      </c>
      <c r="H1871" s="243">
        <v>9.99</v>
      </c>
      <c r="I1871" s="243"/>
      <c r="J1871" s="245">
        <v>9555.75</v>
      </c>
      <c r="K1871" s="6" t="s">
        <v>890</v>
      </c>
      <c r="L1871" s="20">
        <f>IF(ISNA(MATCH(Transactions[[#This Row],[TransType]],TransTypes[TransType],0)),1,MATCH(Transactions[[#This Row],[TransType]],TransTypes[TransType],0))</f>
        <v>2</v>
      </c>
      <c r="M1871" s="246">
        <f>IF( AND( INDEX(TransTypes[],Transactions[[#This Row],[TTR]],TT_COL_GLFlag)=1, INDEX(TransTypes[],Transactions[[#This Row],[TTR]],TT_COL_LONGORSHORT)="S" ),
      Transactions[[#This Row],[PL]],
      IF(INDEX(TransTypes[],Transactions[[#This Row],[TTR]],TT_COL_LONGORSHORT)="S",0,Transactions[[#This Row],[CalCashImpact]])
)</f>
        <v>-9555.75</v>
      </c>
      <c r="N1871" s="247">
        <f>IF(VLOOKUP(Transactions[[#This Row],[Symbol]],Symbols[],COLUMN(Symbols[Currency])-COLUMN(Symbols[])+1,FALSE)=
       VLOOKUP(Transactions[[#This Row],[Account]],Accounts[],COLUMN(Accounts[Currency])-COLUMN(Accounts[])+1,FALSE),
     Transactions[[#This Row],[OrigCashImpact]],
     0
)</f>
        <v>-9555.75</v>
      </c>
      <c r="O1871"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130.25999999983469</v>
      </c>
      <c r="P1871"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36</v>
      </c>
      <c r="Q1871"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486</v>
      </c>
      <c r="R1871" s="41">
        <f>ROW()</f>
        <v>1871</v>
      </c>
      <c r="S187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9555.75</v>
      </c>
      <c r="T187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126034.14600837247</v>
      </c>
      <c r="U1871"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486</v>
      </c>
      <c r="V1871" s="252">
        <f>IF(INDEX(TransTypes[],Transactions[[#This Row],[TTR]],TT_COL_GLFlag)=1,Transactions[[#This Row],[CalCashImpact]]+Transactions[[#This Row],[CostImpact]],0)</f>
        <v>0</v>
      </c>
      <c r="W1871" s="253">
        <f>Transactions[[#This Row],[Amount]]*INDEX(TransTypes[],Transactions[[#This Row],[TTR]],TT_COL_AmntSign)</f>
        <v>-9555.75</v>
      </c>
      <c r="X1871" s="253">
        <f>IF(INDEX(TransTypes[],Transactions[[#This Row],[TTR]],TT_COL_LONGORSHORT)="S",
      IF( OR(INDEX(TransTypes[],Transactions[[#This Row],[TTR]],TT_COL_GLFlag)=1, INDEX(TransTypes[], Transactions[[#This Row],[TTR]], TT_COL_ShareTransferFlag)=1),
            Transactions[[#This Row],[CostImpact]]*-1,
            Transactions[[#This Row],[CalCashImpact]]
      ),
     0
)</f>
        <v>0</v>
      </c>
      <c r="Y1871" s="254" t="str">
        <f>VLOOKUP(Transactions[[#This Row],[Symbol]],Symbols[], COLUMN(Symbols[Currency])-COLUMN(Symbols[])+1,FALSE)</f>
        <v>USD</v>
      </c>
    </row>
    <row r="1872" spans="1:25">
      <c r="A1872" s="241" t="s">
        <v>82</v>
      </c>
      <c r="B1872" s="242">
        <v>43200</v>
      </c>
      <c r="C1872" s="241" t="s">
        <v>115</v>
      </c>
      <c r="D1872" s="241"/>
      <c r="E1872" s="241" t="s">
        <v>498</v>
      </c>
      <c r="F1872" s="243">
        <v>500</v>
      </c>
      <c r="G1872" s="244">
        <v>101.337</v>
      </c>
      <c r="H1872" s="243">
        <v>0</v>
      </c>
      <c r="I1872" s="243"/>
      <c r="J1872" s="245">
        <v>50668.5</v>
      </c>
      <c r="K1872" s="6"/>
      <c r="L1872" s="20">
        <f>IF(ISNA(MATCH(Transactions[[#This Row],[TransType]],TransTypes[TransType],0)),1,MATCH(Transactions[[#This Row],[TransType]],TransTypes[TransType],0))</f>
        <v>3</v>
      </c>
      <c r="M1872" s="246">
        <f>IF( AND( INDEX(TransTypes[],Transactions[[#This Row],[TTR]],TT_COL_GLFlag)=1, INDEX(TransTypes[],Transactions[[#This Row],[TTR]],TT_COL_LONGORSHORT)="S" ),
      Transactions[[#This Row],[PL]],
      IF(INDEX(TransTypes[],Transactions[[#This Row],[TTR]],TT_COL_LONGORSHORT)="S",0,Transactions[[#This Row],[CalCashImpact]])
)</f>
        <v>50668.5</v>
      </c>
      <c r="N1872" s="247">
        <f>IF(VLOOKUP(Transactions[[#This Row],[Symbol]],Symbols[],COLUMN(Symbols[Currency])-COLUMN(Symbols[])+1,FALSE)=
       VLOOKUP(Transactions[[#This Row],[Account]],Accounts[],COLUMN(Accounts[Currency])-COLUMN(Accounts[])+1,FALSE),
     Transactions[[#This Row],[OrigCashImpact]],
     0
)</f>
        <v>50668.5</v>
      </c>
      <c r="O1872"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90471.050000000527</v>
      </c>
      <c r="P1872"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872"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6000</v>
      </c>
      <c r="R1872" s="41">
        <f>ROW()</f>
        <v>1872</v>
      </c>
      <c r="S187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-50334.100000000006</v>
      </c>
      <c r="T187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604009.20000000007</v>
      </c>
      <c r="U1872"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6500</v>
      </c>
      <c r="V1872" s="252">
        <f>IF(INDEX(TransTypes[],Transactions[[#This Row],[TTR]],TT_COL_GLFlag)=1,Transactions[[#This Row],[CalCashImpact]]+Transactions[[#This Row],[CostImpact]],0)</f>
        <v>334.39999999999418</v>
      </c>
      <c r="W1872" s="253">
        <f>Transactions[[#This Row],[Amount]]*INDEX(TransTypes[],Transactions[[#This Row],[TTR]],TT_COL_AmntSign)</f>
        <v>50668.5</v>
      </c>
      <c r="X1872" s="253">
        <f>IF(INDEX(TransTypes[],Transactions[[#This Row],[TTR]],TT_COL_LONGORSHORT)="S",
      IF( OR(INDEX(TransTypes[],Transactions[[#This Row],[TTR]],TT_COL_GLFlag)=1, INDEX(TransTypes[], Transactions[[#This Row],[TTR]], TT_COL_ShareTransferFlag)=1),
            Transactions[[#This Row],[CostImpact]]*-1,
            Transactions[[#This Row],[CalCashImpact]]
      ),
     0
)</f>
        <v>0</v>
      </c>
      <c r="Y1872" s="254" t="str">
        <f>VLOOKUP(Transactions[[#This Row],[Symbol]],Symbols[], COLUMN(Symbols[Currency])-COLUMN(Symbols[])+1,FALSE)</f>
        <v>CNY</v>
      </c>
    </row>
    <row r="1873" spans="1:25">
      <c r="A1873" s="241" t="s">
        <v>82</v>
      </c>
      <c r="B1873" s="242">
        <v>43200</v>
      </c>
      <c r="C1873" s="241" t="s">
        <v>113</v>
      </c>
      <c r="D1873" s="241"/>
      <c r="E1873" s="241" t="s">
        <v>464</v>
      </c>
      <c r="F1873" s="243">
        <v>100</v>
      </c>
      <c r="G1873" s="244">
        <v>705.35</v>
      </c>
      <c r="H1873" s="243">
        <v>29.62</v>
      </c>
      <c r="I1873" s="243"/>
      <c r="J1873" s="245">
        <v>70564.62</v>
      </c>
      <c r="K1873" s="6"/>
      <c r="L1873" s="20">
        <f>IF(ISNA(MATCH(Transactions[[#This Row],[TransType]],TransTypes[TransType],0)),1,MATCH(Transactions[[#This Row],[TransType]],TransTypes[TransType],0))</f>
        <v>2</v>
      </c>
      <c r="M1873" s="246">
        <f>IF( AND( INDEX(TransTypes[],Transactions[[#This Row],[TTR]],TT_COL_GLFlag)=1, INDEX(TransTypes[],Transactions[[#This Row],[TTR]],TT_COL_LONGORSHORT)="S" ),
      Transactions[[#This Row],[PL]],
      IF(INDEX(TransTypes[],Transactions[[#This Row],[TTR]],TT_COL_LONGORSHORT)="S",0,Transactions[[#This Row],[CalCashImpact]])
)</f>
        <v>-70564.62</v>
      </c>
      <c r="N1873" s="247">
        <f>IF(VLOOKUP(Transactions[[#This Row],[Symbol]],Symbols[],COLUMN(Symbols[Currency])-COLUMN(Symbols[])+1,FALSE)=
       VLOOKUP(Transactions[[#This Row],[Account]],Accounts[],COLUMN(Accounts[Currency])-COLUMN(Accounts[])+1,FALSE),
     Transactions[[#This Row],[OrigCashImpact]],
     0
)</f>
        <v>-70564.62</v>
      </c>
      <c r="O1873"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19906.430000000531</v>
      </c>
      <c r="P1873"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873"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873" s="41">
        <f>ROW()</f>
        <v>1873</v>
      </c>
      <c r="S187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70564.62</v>
      </c>
      <c r="T187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257981.5670998125</v>
      </c>
      <c r="U1873"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873" s="252">
        <f>IF(INDEX(TransTypes[],Transactions[[#This Row],[TTR]],TT_COL_GLFlag)=1,Transactions[[#This Row],[CalCashImpact]]+Transactions[[#This Row],[CostImpact]],0)</f>
        <v>0</v>
      </c>
      <c r="W1873" s="253">
        <f>Transactions[[#This Row],[Amount]]*INDEX(TransTypes[],Transactions[[#This Row],[TTR]],TT_COL_AmntSign)</f>
        <v>-70564.62</v>
      </c>
      <c r="X1873" s="253">
        <f>IF(INDEX(TransTypes[],Transactions[[#This Row],[TTR]],TT_COL_LONGORSHORT)="S",
      IF( OR(INDEX(TransTypes[],Transactions[[#This Row],[TTR]],TT_COL_GLFlag)=1, INDEX(TransTypes[], Transactions[[#This Row],[TTR]], TT_COL_ShareTransferFlag)=1),
            Transactions[[#This Row],[CostImpact]]*-1,
            Transactions[[#This Row],[CalCashImpact]]
      ),
     0
)</f>
        <v>0</v>
      </c>
      <c r="Y1873" s="254" t="str">
        <f>VLOOKUP(Transactions[[#This Row],[Symbol]],Symbols[], COLUMN(Symbols[Currency])-COLUMN(Symbols[])+1,FALSE)</f>
        <v>CNY</v>
      </c>
    </row>
    <row r="1874" spans="1:25">
      <c r="A1874" s="241" t="s">
        <v>82</v>
      </c>
      <c r="B1874" s="242">
        <v>43200</v>
      </c>
      <c r="C1874" s="241" t="s">
        <v>115</v>
      </c>
      <c r="D1874" s="241"/>
      <c r="E1874" s="241" t="s">
        <v>498</v>
      </c>
      <c r="F1874" s="243">
        <v>2000</v>
      </c>
      <c r="G1874" s="244">
        <v>101.333</v>
      </c>
      <c r="H1874" s="243">
        <v>0</v>
      </c>
      <c r="I1874" s="243"/>
      <c r="J1874" s="245">
        <v>202666</v>
      </c>
      <c r="K1874" s="6"/>
      <c r="L1874" s="20">
        <f>IF(ISNA(MATCH(Transactions[[#This Row],[TransType]],TransTypes[TransType],0)),1,MATCH(Transactions[[#This Row],[TransType]],TransTypes[TransType],0))</f>
        <v>3</v>
      </c>
      <c r="M1874" s="246">
        <f>IF( AND( INDEX(TransTypes[],Transactions[[#This Row],[TTR]],TT_COL_GLFlag)=1, INDEX(TransTypes[],Transactions[[#This Row],[TTR]],TT_COL_LONGORSHORT)="S" ),
      Transactions[[#This Row],[PL]],
      IF(INDEX(TransTypes[],Transactions[[#This Row],[TTR]],TT_COL_LONGORSHORT)="S",0,Transactions[[#This Row],[CalCashImpact]])
)</f>
        <v>202666</v>
      </c>
      <c r="N1874" s="247">
        <f>IF(VLOOKUP(Transactions[[#This Row],[Symbol]],Symbols[],COLUMN(Symbols[Currency])-COLUMN(Symbols[])+1,FALSE)=
       VLOOKUP(Transactions[[#This Row],[Account]],Accounts[],COLUMN(Accounts[Currency])-COLUMN(Accounts[])+1,FALSE),
     Transactions[[#This Row],[OrigCashImpact]],
     0
)</f>
        <v>202666</v>
      </c>
      <c r="O1874"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222572.43000000052</v>
      </c>
      <c r="P1874"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874"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4000</v>
      </c>
      <c r="R1874" s="41">
        <f>ROW()</f>
        <v>1874</v>
      </c>
      <c r="S187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-201336.40000000002</v>
      </c>
      <c r="T187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402672.80000000005</v>
      </c>
      <c r="U1874"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6000</v>
      </c>
      <c r="V1874" s="252">
        <f>IF(INDEX(TransTypes[],Transactions[[#This Row],[TTR]],TT_COL_GLFlag)=1,Transactions[[#This Row],[CalCashImpact]]+Transactions[[#This Row],[CostImpact]],0)</f>
        <v>1329.5999999999767</v>
      </c>
      <c r="W1874" s="253">
        <f>Transactions[[#This Row],[Amount]]*INDEX(TransTypes[],Transactions[[#This Row],[TTR]],TT_COL_AmntSign)</f>
        <v>202666</v>
      </c>
      <c r="X1874" s="253">
        <f>IF(INDEX(TransTypes[],Transactions[[#This Row],[TTR]],TT_COL_LONGORSHORT)="S",
      IF( OR(INDEX(TransTypes[],Transactions[[#This Row],[TTR]],TT_COL_GLFlag)=1, INDEX(TransTypes[], Transactions[[#This Row],[TTR]], TT_COL_ShareTransferFlag)=1),
            Transactions[[#This Row],[CostImpact]]*-1,
            Transactions[[#This Row],[CalCashImpact]]
      ),
     0
)</f>
        <v>0</v>
      </c>
      <c r="Y1874" s="254" t="str">
        <f>VLOOKUP(Transactions[[#This Row],[Symbol]],Symbols[], COLUMN(Symbols[Currency])-COLUMN(Symbols[])+1,FALSE)</f>
        <v>CNY</v>
      </c>
    </row>
    <row r="1875" spans="1:25">
      <c r="A1875" s="241" t="s">
        <v>82</v>
      </c>
      <c r="B1875" s="242">
        <v>43200</v>
      </c>
      <c r="C1875" s="241" t="s">
        <v>113</v>
      </c>
      <c r="D1875" s="241"/>
      <c r="E1875" s="241" t="s">
        <v>464</v>
      </c>
      <c r="F1875" s="243">
        <v>200</v>
      </c>
      <c r="G1875" s="244">
        <v>706.42</v>
      </c>
      <c r="H1875" s="243">
        <v>59.34</v>
      </c>
      <c r="I1875" s="243"/>
      <c r="J1875" s="245">
        <v>141343.34</v>
      </c>
      <c r="K1875" s="6"/>
      <c r="L1875" s="20">
        <f>IF(ISNA(MATCH(Transactions[[#This Row],[TransType]],TransTypes[TransType],0)),1,MATCH(Transactions[[#This Row],[TransType]],TransTypes[TransType],0))</f>
        <v>2</v>
      </c>
      <c r="M1875" s="246">
        <f>IF( AND( INDEX(TransTypes[],Transactions[[#This Row],[TTR]],TT_COL_GLFlag)=1, INDEX(TransTypes[],Transactions[[#This Row],[TTR]],TT_COL_LONGORSHORT)="S" ),
      Transactions[[#This Row],[PL]],
      IF(INDEX(TransTypes[],Transactions[[#This Row],[TTR]],TT_COL_LONGORSHORT)="S",0,Transactions[[#This Row],[CalCashImpact]])
)</f>
        <v>-141343.34</v>
      </c>
      <c r="N1875" s="247">
        <f>IF(VLOOKUP(Transactions[[#This Row],[Symbol]],Symbols[],COLUMN(Symbols[Currency])-COLUMN(Symbols[])+1,FALSE)=
       VLOOKUP(Transactions[[#This Row],[Account]],Accounts[],COLUMN(Accounts[Currency])-COLUMN(Accounts[])+1,FALSE),
     Transactions[[#This Row],[OrigCashImpact]],
     0
)</f>
        <v>-141343.34</v>
      </c>
      <c r="O1875"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81229.090000000535</v>
      </c>
      <c r="P1875"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875"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700</v>
      </c>
      <c r="R1875" s="41">
        <f>ROW()</f>
        <v>1875</v>
      </c>
      <c r="S187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141343.34</v>
      </c>
      <c r="T187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399324.90709981252</v>
      </c>
      <c r="U1875"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700</v>
      </c>
      <c r="V1875" s="252">
        <f>IF(INDEX(TransTypes[],Transactions[[#This Row],[TTR]],TT_COL_GLFlag)=1,Transactions[[#This Row],[CalCashImpact]]+Transactions[[#This Row],[CostImpact]],0)</f>
        <v>0</v>
      </c>
      <c r="W1875" s="253">
        <f>Transactions[[#This Row],[Amount]]*INDEX(TransTypes[],Transactions[[#This Row],[TTR]],TT_COL_AmntSign)</f>
        <v>-141343.34</v>
      </c>
      <c r="X1875" s="253">
        <f>IF(INDEX(TransTypes[],Transactions[[#This Row],[TTR]],TT_COL_LONGORSHORT)="S",
      IF( OR(INDEX(TransTypes[],Transactions[[#This Row],[TTR]],TT_COL_GLFlag)=1, INDEX(TransTypes[], Transactions[[#This Row],[TTR]], TT_COL_ShareTransferFlag)=1),
            Transactions[[#This Row],[CostImpact]]*-1,
            Transactions[[#This Row],[CalCashImpact]]
      ),
     0
)</f>
        <v>0</v>
      </c>
      <c r="Y1875" s="254" t="str">
        <f>VLOOKUP(Transactions[[#This Row],[Symbol]],Symbols[], COLUMN(Symbols[Currency])-COLUMN(Symbols[])+1,FALSE)</f>
        <v>CNY</v>
      </c>
    </row>
    <row r="1876" spans="1:25">
      <c r="A1876" s="241" t="s">
        <v>82</v>
      </c>
      <c r="B1876" s="242">
        <v>43200</v>
      </c>
      <c r="C1876" s="241" t="s">
        <v>113</v>
      </c>
      <c r="D1876" s="241"/>
      <c r="E1876" s="241" t="s">
        <v>474</v>
      </c>
      <c r="F1876" s="243">
        <v>974</v>
      </c>
      <c r="G1876" s="244">
        <v>24.6</v>
      </c>
      <c r="H1876" s="243">
        <v>9.58</v>
      </c>
      <c r="I1876" s="243"/>
      <c r="J1876" s="245">
        <v>23969.98</v>
      </c>
      <c r="K1876" s="6"/>
      <c r="L1876" s="20">
        <f>IF(ISNA(MATCH(Transactions[[#This Row],[TransType]],TransTypes[TransType],0)),1,MATCH(Transactions[[#This Row],[TransType]],TransTypes[TransType],0))</f>
        <v>2</v>
      </c>
      <c r="M1876" s="246">
        <f>IF( AND( INDEX(TransTypes[],Transactions[[#This Row],[TTR]],TT_COL_GLFlag)=1, INDEX(TransTypes[],Transactions[[#This Row],[TTR]],TT_COL_LONGORSHORT)="S" ),
      Transactions[[#This Row],[PL]],
      IF(INDEX(TransTypes[],Transactions[[#This Row],[TTR]],TT_COL_LONGORSHORT)="S",0,Transactions[[#This Row],[CalCashImpact]])
)</f>
        <v>-23969.98</v>
      </c>
      <c r="N1876" s="247">
        <f>IF(VLOOKUP(Transactions[[#This Row],[Symbol]],Symbols[],COLUMN(Symbols[Currency])-COLUMN(Symbols[])+1,FALSE)=
       VLOOKUP(Transactions[[#This Row],[Account]],Accounts[],COLUMN(Accounts[Currency])-COLUMN(Accounts[])+1,FALSE),
     Transactions[[#This Row],[OrigCashImpact]],
     0
)</f>
        <v>-23969.98</v>
      </c>
      <c r="O1876"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57259.110000000539</v>
      </c>
      <c r="P1876"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974</v>
      </c>
      <c r="Q1876"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2974</v>
      </c>
      <c r="R1876" s="41">
        <f>ROW()</f>
        <v>1876</v>
      </c>
      <c r="S187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23969.98</v>
      </c>
      <c r="T187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60768.232171052616</v>
      </c>
      <c r="U1876"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2974</v>
      </c>
      <c r="V1876" s="252">
        <f>IF(INDEX(TransTypes[],Transactions[[#This Row],[TTR]],TT_COL_GLFlag)=1,Transactions[[#This Row],[CalCashImpact]]+Transactions[[#This Row],[CostImpact]],0)</f>
        <v>0</v>
      </c>
      <c r="W1876" s="253">
        <f>Transactions[[#This Row],[Amount]]*INDEX(TransTypes[],Transactions[[#This Row],[TTR]],TT_COL_AmntSign)</f>
        <v>-23969.98</v>
      </c>
      <c r="X1876" s="253">
        <f>IF(INDEX(TransTypes[],Transactions[[#This Row],[TTR]],TT_COL_LONGORSHORT)="S",
      IF( OR(INDEX(TransTypes[],Transactions[[#This Row],[TTR]],TT_COL_GLFlag)=1, INDEX(TransTypes[], Transactions[[#This Row],[TTR]], TT_COL_ShareTransferFlag)=1),
            Transactions[[#This Row],[CostImpact]]*-1,
            Transactions[[#This Row],[CalCashImpact]]
      ),
     0
)</f>
        <v>0</v>
      </c>
      <c r="Y1876" s="254" t="str">
        <f>VLOOKUP(Transactions[[#This Row],[Symbol]],Symbols[], COLUMN(Symbols[Currency])-COLUMN(Symbols[])+1,FALSE)</f>
        <v>CNY</v>
      </c>
    </row>
    <row r="1877" spans="1:25">
      <c r="A1877" s="241" t="s">
        <v>82</v>
      </c>
      <c r="B1877" s="242">
        <v>43200</v>
      </c>
      <c r="C1877" s="241" t="s">
        <v>113</v>
      </c>
      <c r="D1877" s="241"/>
      <c r="E1877" s="241" t="s">
        <v>474</v>
      </c>
      <c r="F1877" s="243">
        <v>1600</v>
      </c>
      <c r="G1877" s="244">
        <v>24.647500000000001</v>
      </c>
      <c r="H1877" s="243">
        <v>15.77</v>
      </c>
      <c r="I1877" s="243"/>
      <c r="J1877" s="245">
        <v>39451.769999999997</v>
      </c>
      <c r="K1877" s="6"/>
      <c r="L1877" s="20">
        <f>IF(ISNA(MATCH(Transactions[[#This Row],[TransType]],TransTypes[TransType],0)),1,MATCH(Transactions[[#This Row],[TransType]],TransTypes[TransType],0))</f>
        <v>2</v>
      </c>
      <c r="M1877" s="246">
        <f>IF( AND( INDEX(TransTypes[],Transactions[[#This Row],[TTR]],TT_COL_GLFlag)=1, INDEX(TransTypes[],Transactions[[#This Row],[TTR]],TT_COL_LONGORSHORT)="S" ),
      Transactions[[#This Row],[PL]],
      IF(INDEX(TransTypes[],Transactions[[#This Row],[TTR]],TT_COL_LONGORSHORT)="S",0,Transactions[[#This Row],[CalCashImpact]])
)</f>
        <v>-39451.769999999997</v>
      </c>
      <c r="N1877" s="247">
        <f>IF(VLOOKUP(Transactions[[#This Row],[Symbol]],Symbols[],COLUMN(Symbols[Currency])-COLUMN(Symbols[])+1,FALSE)=
       VLOOKUP(Transactions[[#This Row],[Account]],Accounts[],COLUMN(Accounts[Currency])-COLUMN(Accounts[])+1,FALSE),
     Transactions[[#This Row],[OrigCashImpact]],
     0
)</f>
        <v>-39451.769999999997</v>
      </c>
      <c r="O1877"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17807.340000000539</v>
      </c>
      <c r="P1877"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1600</v>
      </c>
      <c r="Q1877"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4574</v>
      </c>
      <c r="R1877" s="41">
        <f>ROW()</f>
        <v>1877</v>
      </c>
      <c r="S187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39451.769999999997</v>
      </c>
      <c r="T187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100220.00217105262</v>
      </c>
      <c r="U1877"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4574</v>
      </c>
      <c r="V1877" s="252">
        <f>IF(INDEX(TransTypes[],Transactions[[#This Row],[TTR]],TT_COL_GLFlag)=1,Transactions[[#This Row],[CalCashImpact]]+Transactions[[#This Row],[CostImpact]],0)</f>
        <v>0</v>
      </c>
      <c r="W1877" s="253">
        <f>Transactions[[#This Row],[Amount]]*INDEX(TransTypes[],Transactions[[#This Row],[TTR]],TT_COL_AmntSign)</f>
        <v>-39451.769999999997</v>
      </c>
      <c r="X1877" s="253">
        <f>IF(INDEX(TransTypes[],Transactions[[#This Row],[TTR]],TT_COL_LONGORSHORT)="S",
      IF( OR(INDEX(TransTypes[],Transactions[[#This Row],[TTR]],TT_COL_GLFlag)=1, INDEX(TransTypes[], Transactions[[#This Row],[TTR]], TT_COL_ShareTransferFlag)=1),
            Transactions[[#This Row],[CostImpact]]*-1,
            Transactions[[#This Row],[CalCashImpact]]
      ),
     0
)</f>
        <v>0</v>
      </c>
      <c r="Y1877" s="254" t="str">
        <f>VLOOKUP(Transactions[[#This Row],[Symbol]],Symbols[], COLUMN(Symbols[Currency])-COLUMN(Symbols[])+1,FALSE)</f>
        <v>CNY</v>
      </c>
    </row>
    <row r="1878" spans="1:25">
      <c r="A1878" s="241" t="s">
        <v>82</v>
      </c>
      <c r="B1878" s="242">
        <v>43201</v>
      </c>
      <c r="C1878" s="241" t="s">
        <v>121</v>
      </c>
      <c r="D1878" s="241"/>
      <c r="E1878" s="241" t="s">
        <v>211</v>
      </c>
      <c r="F1878" s="243"/>
      <c r="G1878" s="244"/>
      <c r="H1878" s="243"/>
      <c r="I1878" s="243"/>
      <c r="J1878" s="245">
        <v>6.54</v>
      </c>
      <c r="K1878" s="6" t="s">
        <v>891</v>
      </c>
      <c r="L1878" s="20">
        <f>IF(ISNA(MATCH(Transactions[[#This Row],[TransType]],TransTypes[TransType],0)),1,MATCH(Transactions[[#This Row],[TransType]],TransTypes[TransType],0))</f>
        <v>6</v>
      </c>
      <c r="M1878" s="246">
        <f>IF( AND( INDEX(TransTypes[],Transactions[[#This Row],[TTR]],TT_COL_GLFlag)=1, INDEX(TransTypes[],Transactions[[#This Row],[TTR]],TT_COL_LONGORSHORT)="S" ),
      Transactions[[#This Row],[PL]],
      IF(INDEX(TransTypes[],Transactions[[#This Row],[TTR]],TT_COL_LONGORSHORT)="S",0,Transactions[[#This Row],[CalCashImpact]])
)</f>
        <v>-6.54</v>
      </c>
      <c r="N1878" s="247">
        <f>IF(VLOOKUP(Transactions[[#This Row],[Symbol]],Symbols[],COLUMN(Symbols[Currency])-COLUMN(Symbols[])+1,FALSE)=
       VLOOKUP(Transactions[[#This Row],[Account]],Accounts[],COLUMN(Accounts[Currency])-COLUMN(Accounts[])+1,FALSE),
     Transactions[[#This Row],[OrigCashImpact]],
     0
)</f>
        <v>-6.54</v>
      </c>
      <c r="O1878" s="248">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17800.800000000527</v>
      </c>
      <c r="P1878" s="249">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78" s="250">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78" s="41">
        <f>ROW()</f>
        <v>1878</v>
      </c>
      <c r="S187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7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78" s="251">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78" s="252">
        <f>IF(INDEX(TransTypes[],Transactions[[#This Row],[TTR]],TT_COL_GLFlag)=1,Transactions[[#This Row],[CalCashImpact]]+Transactions[[#This Row],[CostImpact]],0)</f>
        <v>0</v>
      </c>
      <c r="W1878" s="253">
        <f>Transactions[[#This Row],[Amount]]*INDEX(TransTypes[],Transactions[[#This Row],[TTR]],TT_COL_AmntSign)</f>
        <v>-6.54</v>
      </c>
      <c r="X1878" s="253">
        <f>IF(INDEX(TransTypes[],Transactions[[#This Row],[TTR]],TT_COL_LONGORSHORT)="S",
      IF( OR(INDEX(TransTypes[],Transactions[[#This Row],[TTR]],TT_COL_GLFlag)=1, INDEX(TransTypes[], Transactions[[#This Row],[TTR]], TT_COL_ShareTransferFlag)=1),
            Transactions[[#This Row],[CostImpact]]*-1,
            Transactions[[#This Row],[CalCashImpact]]
      ),
     0
)</f>
        <v>0</v>
      </c>
      <c r="Y1878" s="254" t="str">
        <f>VLOOKUP(Transactions[[#This Row],[Symbol]],Symbols[], COLUMN(Symbols[Currency])-COLUMN(Symbols[])+1,FALSE)</f>
        <v>CNY</v>
      </c>
    </row>
    <row r="1879" spans="1:25">
      <c r="A1879" s="266" t="s">
        <v>65</v>
      </c>
      <c r="B1879" s="267">
        <v>43207</v>
      </c>
      <c r="C1879" s="266" t="s">
        <v>113</v>
      </c>
      <c r="D1879" s="266"/>
      <c r="E1879" s="266" t="s">
        <v>275</v>
      </c>
      <c r="F1879" s="268">
        <v>100</v>
      </c>
      <c r="G1879" s="269">
        <v>230.54</v>
      </c>
      <c r="H1879" s="268">
        <v>1</v>
      </c>
      <c r="I1879" s="268"/>
      <c r="J1879" s="270">
        <v>23055</v>
      </c>
      <c r="K1879" s="6"/>
      <c r="L1879" s="20">
        <f>IF(ISNA(MATCH(Transactions[[#This Row],[TransType]],TransTypes[TransType],0)),1,MATCH(Transactions[[#This Row],[TransType]],TransTypes[TransType],0))</f>
        <v>2</v>
      </c>
      <c r="M1879" s="271">
        <f>IF( AND( INDEX(TransTypes[],Transactions[[#This Row],[TTR]],TT_COL_GLFlag)=1, INDEX(TransTypes[],Transactions[[#This Row],[TTR]],TT_COL_LONGORSHORT)="S" ),
      Transactions[[#This Row],[PL]],
      IF(INDEX(TransTypes[],Transactions[[#This Row],[TTR]],TT_COL_LONGORSHORT)="S",0,Transactions[[#This Row],[CalCashImpact]])
)</f>
        <v>-23055</v>
      </c>
      <c r="N1879" s="272">
        <f>IF(VLOOKUP(Transactions[[#This Row],[Symbol]],Symbols[],COLUMN(Symbols[Currency])-COLUMN(Symbols[])+1,FALSE)=
       VLOOKUP(Transactions[[#This Row],[Account]],Accounts[],COLUMN(Accounts[Currency])-COLUMN(Accounts[])+1,FALSE),
     Transactions[[#This Row],[OrigCashImpact]],
     0
)</f>
        <v>-23055</v>
      </c>
      <c r="O1879"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-166243.52379705606</v>
      </c>
      <c r="P1879"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879"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400</v>
      </c>
      <c r="R1879" s="41">
        <f>ROW()</f>
        <v>1879</v>
      </c>
      <c r="S187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23055</v>
      </c>
      <c r="T187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81975.45</v>
      </c>
      <c r="U1879"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1879" s="277">
        <f>IF(INDEX(TransTypes[],Transactions[[#This Row],[TTR]],TT_COL_GLFlag)=1,Transactions[[#This Row],[CalCashImpact]]+Transactions[[#This Row],[CostImpact]],0)</f>
        <v>0</v>
      </c>
      <c r="W1879" s="278">
        <f>Transactions[[#This Row],[Amount]]*INDEX(TransTypes[],Transactions[[#This Row],[TTR]],TT_COL_AmntSign)</f>
        <v>-23055</v>
      </c>
      <c r="X1879" s="278">
        <f>IF(INDEX(TransTypes[],Transactions[[#This Row],[TTR]],TT_COL_LONGORSHORT)="S",
      IF( OR(INDEX(TransTypes[],Transactions[[#This Row],[TTR]],TT_COL_GLFlag)=1, INDEX(TransTypes[], Transactions[[#This Row],[TTR]], TT_COL_ShareTransferFlag)=1),
            Transactions[[#This Row],[CostImpact]]*-1,
            Transactions[[#This Row],[CalCashImpact]]
      ),
     0
)</f>
        <v>0</v>
      </c>
      <c r="Y1879" s="279" t="str">
        <f>VLOOKUP(Transactions[[#This Row],[Symbol]],Symbols[], COLUMN(Symbols[Currency])-COLUMN(Symbols[])+1,FALSE)</f>
        <v>USD</v>
      </c>
    </row>
    <row r="1880" spans="1:25">
      <c r="A1880" s="266" t="s">
        <v>65</v>
      </c>
      <c r="B1880" s="267">
        <v>43207</v>
      </c>
      <c r="C1880" s="266" t="s">
        <v>113</v>
      </c>
      <c r="D1880" s="266"/>
      <c r="E1880" s="266" t="s">
        <v>278</v>
      </c>
      <c r="F1880" s="268">
        <v>30</v>
      </c>
      <c r="G1880" s="269">
        <v>1477.91</v>
      </c>
      <c r="H1880" s="268">
        <v>1</v>
      </c>
      <c r="I1880" s="268"/>
      <c r="J1880" s="270">
        <v>44338.3</v>
      </c>
      <c r="K1880" s="6"/>
      <c r="L1880" s="20">
        <f>IF(ISNA(MATCH(Transactions[[#This Row],[TransType]],TransTypes[TransType],0)),1,MATCH(Transactions[[#This Row],[TransType]],TransTypes[TransType],0))</f>
        <v>2</v>
      </c>
      <c r="M1880" s="271">
        <f>IF( AND( INDEX(TransTypes[],Transactions[[#This Row],[TTR]],TT_COL_GLFlag)=1, INDEX(TransTypes[],Transactions[[#This Row],[TTR]],TT_COL_LONGORSHORT)="S" ),
      Transactions[[#This Row],[PL]],
      IF(INDEX(TransTypes[],Transactions[[#This Row],[TTR]],TT_COL_LONGORSHORT)="S",0,Transactions[[#This Row],[CalCashImpact]])
)</f>
        <v>-44338.3</v>
      </c>
      <c r="N1880" s="272">
        <f>IF(VLOOKUP(Transactions[[#This Row],[Symbol]],Symbols[],COLUMN(Symbols[Currency])-COLUMN(Symbols[])+1,FALSE)=
       VLOOKUP(Transactions[[#This Row],[Account]],Accounts[],COLUMN(Accounts[Currency])-COLUMN(Accounts[])+1,FALSE),
     Transactions[[#This Row],[OrigCashImpact]],
     0
)</f>
        <v>-44338.3</v>
      </c>
      <c r="O1880"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-210581.82379705604</v>
      </c>
      <c r="P1880"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v>
      </c>
      <c r="Q1880"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230</v>
      </c>
      <c r="R1880" s="41">
        <f>ROW()</f>
        <v>1880</v>
      </c>
      <c r="S188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44338.3</v>
      </c>
      <c r="T188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299520.32500000001</v>
      </c>
      <c r="U1880"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v>
      </c>
      <c r="V1880" s="277">
        <f>IF(INDEX(TransTypes[],Transactions[[#This Row],[TTR]],TT_COL_GLFlag)=1,Transactions[[#This Row],[CalCashImpact]]+Transactions[[#This Row],[CostImpact]],0)</f>
        <v>0</v>
      </c>
      <c r="W1880" s="278">
        <f>Transactions[[#This Row],[Amount]]*INDEX(TransTypes[],Transactions[[#This Row],[TTR]],TT_COL_AmntSign)</f>
        <v>-44338.3</v>
      </c>
      <c r="X1880" s="278">
        <f>IF(INDEX(TransTypes[],Transactions[[#This Row],[TTR]],TT_COL_LONGORSHORT)="S",
      IF( OR(INDEX(TransTypes[],Transactions[[#This Row],[TTR]],TT_COL_GLFlag)=1, INDEX(TransTypes[], Transactions[[#This Row],[TTR]], TT_COL_ShareTransferFlag)=1),
            Transactions[[#This Row],[CostImpact]]*-1,
            Transactions[[#This Row],[CalCashImpact]]
      ),
     0
)</f>
        <v>0</v>
      </c>
      <c r="Y1880" s="279" t="str">
        <f>VLOOKUP(Transactions[[#This Row],[Symbol]],Symbols[], COLUMN(Symbols[Currency])-COLUMN(Symbols[])+1,FALSE)</f>
        <v>USD</v>
      </c>
    </row>
    <row r="1881" spans="1:25">
      <c r="A1881" s="266" t="s">
        <v>65</v>
      </c>
      <c r="B1881" s="267">
        <v>43207</v>
      </c>
      <c r="C1881" s="266" t="s">
        <v>115</v>
      </c>
      <c r="D1881" s="266"/>
      <c r="E1881" s="266" t="s">
        <v>281</v>
      </c>
      <c r="F1881" s="268">
        <v>400</v>
      </c>
      <c r="G1881" s="269">
        <v>176.22</v>
      </c>
      <c r="H1881" s="268">
        <v>3.2758728000000001</v>
      </c>
      <c r="I1881" s="268"/>
      <c r="J1881" s="270">
        <v>70484.724127199996</v>
      </c>
      <c r="K1881" s="6"/>
      <c r="L1881" s="20">
        <f>IF(ISNA(MATCH(Transactions[[#This Row],[TransType]],TransTypes[TransType],0)),1,MATCH(Transactions[[#This Row],[TransType]],TransTypes[TransType],0))</f>
        <v>3</v>
      </c>
      <c r="M1881" s="271">
        <f>IF( AND( INDEX(TransTypes[],Transactions[[#This Row],[TTR]],TT_COL_GLFlag)=1, INDEX(TransTypes[],Transactions[[#This Row],[TTR]],TT_COL_LONGORSHORT)="S" ),
      Transactions[[#This Row],[PL]],
      IF(INDEX(TransTypes[],Transactions[[#This Row],[TTR]],TT_COL_LONGORSHORT)="S",0,Transactions[[#This Row],[CalCashImpact]])
)</f>
        <v>70484.724127199996</v>
      </c>
      <c r="N1881" s="272">
        <f>IF(VLOOKUP(Transactions[[#This Row],[Symbol]],Symbols[],COLUMN(Symbols[Currency])-COLUMN(Symbols[])+1,FALSE)=
       VLOOKUP(Transactions[[#This Row],[Account]],Accounts[],COLUMN(Accounts[Currency])-COLUMN(Accounts[])+1,FALSE),
     Transactions[[#This Row],[OrigCashImpact]],
     0
)</f>
        <v>70484.724127199996</v>
      </c>
      <c r="O1881"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-140097.09966985608</v>
      </c>
      <c r="P1881"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-400</v>
      </c>
      <c r="Q1881"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81" s="41">
        <f>ROW()</f>
        <v>1881</v>
      </c>
      <c r="S188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-72574.333333333328</v>
      </c>
      <c r="T188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81"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400</v>
      </c>
      <c r="V1881" s="277">
        <f>IF(INDEX(TransTypes[],Transactions[[#This Row],[TTR]],TT_COL_GLFlag)=1,Transactions[[#This Row],[CalCashImpact]]+Transactions[[#This Row],[CostImpact]],0)</f>
        <v>-2089.6092061333329</v>
      </c>
      <c r="W1881" s="278">
        <f>Transactions[[#This Row],[Amount]]*INDEX(TransTypes[],Transactions[[#This Row],[TTR]],TT_COL_AmntSign)</f>
        <v>70484.724127199996</v>
      </c>
      <c r="X1881" s="278">
        <f>IF(INDEX(TransTypes[],Transactions[[#This Row],[TTR]],TT_COL_LONGORSHORT)="S",
      IF( OR(INDEX(TransTypes[],Transactions[[#This Row],[TTR]],TT_COL_GLFlag)=1, INDEX(TransTypes[], Transactions[[#This Row],[TTR]], TT_COL_ShareTransferFlag)=1),
            Transactions[[#This Row],[CostImpact]]*-1,
            Transactions[[#This Row],[CalCashImpact]]
      ),
     0
)</f>
        <v>0</v>
      </c>
      <c r="Y1881" s="279" t="str">
        <f>VLOOKUP(Transactions[[#This Row],[Symbol]],Symbols[], COLUMN(Symbols[Currency])-COLUMN(Symbols[])+1,FALSE)</f>
        <v>USD</v>
      </c>
    </row>
    <row r="1882" spans="1:25">
      <c r="A1882" s="266" t="s">
        <v>65</v>
      </c>
      <c r="B1882" s="267">
        <v>43207</v>
      </c>
      <c r="C1882" s="266" t="s">
        <v>115</v>
      </c>
      <c r="D1882" s="266"/>
      <c r="E1882" s="266" t="s">
        <v>285</v>
      </c>
      <c r="F1882" s="268">
        <v>1502</v>
      </c>
      <c r="G1882" s="269">
        <v>112.09073235699999</v>
      </c>
      <c r="H1882" s="268">
        <v>10.209860468</v>
      </c>
      <c r="I1882" s="268"/>
      <c r="J1882" s="270">
        <v>168350.07013953201</v>
      </c>
      <c r="K1882" s="6"/>
      <c r="L1882" s="20">
        <f>IF(ISNA(MATCH(Transactions[[#This Row],[TransType]],TransTypes[TransType],0)),1,MATCH(Transactions[[#This Row],[TransType]],TransTypes[TransType],0))</f>
        <v>3</v>
      </c>
      <c r="M1882" s="271">
        <f>IF( AND( INDEX(TransTypes[],Transactions[[#This Row],[TTR]],TT_COL_GLFlag)=1, INDEX(TransTypes[],Transactions[[#This Row],[TTR]],TT_COL_LONGORSHORT)="S" ),
      Transactions[[#This Row],[PL]],
      IF(INDEX(TransTypes[],Transactions[[#This Row],[TTR]],TT_COL_LONGORSHORT)="S",0,Transactions[[#This Row],[CalCashImpact]])
)</f>
        <v>168350.07013953201</v>
      </c>
      <c r="N1882" s="272">
        <f>IF(VLOOKUP(Transactions[[#This Row],[Symbol]],Symbols[],COLUMN(Symbols[Currency])-COLUMN(Symbols[])+1,FALSE)=
       VLOOKUP(Transactions[[#This Row],[Account]],Accounts[],COLUMN(Accounts[Currency])-COLUMN(Accounts[])+1,FALSE),
     Transactions[[#This Row],[OrigCashImpact]],
     0
)</f>
        <v>168350.07013953201</v>
      </c>
      <c r="O1882"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28252.970469675958</v>
      </c>
      <c r="P1882"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-1502</v>
      </c>
      <c r="Q1882"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82" s="41">
        <f>ROW()</f>
        <v>1882</v>
      </c>
      <c r="S188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-173025.19798181817</v>
      </c>
      <c r="T188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82"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1502</v>
      </c>
      <c r="V1882" s="277">
        <f>IF(INDEX(TransTypes[],Transactions[[#This Row],[TTR]],TT_COL_GLFlag)=1,Transactions[[#This Row],[CalCashImpact]]+Transactions[[#This Row],[CostImpact]],0)</f>
        <v>-4675.1278422861651</v>
      </c>
      <c r="W1882" s="278">
        <f>Transactions[[#This Row],[Amount]]*INDEX(TransTypes[],Transactions[[#This Row],[TTR]],TT_COL_AmntSign)</f>
        <v>168350.07013953201</v>
      </c>
      <c r="X1882" s="278">
        <f>IF(INDEX(TransTypes[],Transactions[[#This Row],[TTR]],TT_COL_LONGORSHORT)="S",
      IF( OR(INDEX(TransTypes[],Transactions[[#This Row],[TTR]],TT_COL_GLFlag)=1, INDEX(TransTypes[], Transactions[[#This Row],[TTR]], TT_COL_ShareTransferFlag)=1),
            Transactions[[#This Row],[CostImpact]]*-1,
            Transactions[[#This Row],[CalCashImpact]]
      ),
     0
)</f>
        <v>0</v>
      </c>
      <c r="Y1882" s="279" t="str">
        <f>VLOOKUP(Transactions[[#This Row],[Symbol]],Symbols[], COLUMN(Symbols[Currency])-COLUMN(Symbols[])+1,FALSE)</f>
        <v>USD</v>
      </c>
    </row>
    <row r="1883" spans="1:25">
      <c r="A1883" s="266" t="s">
        <v>65</v>
      </c>
      <c r="B1883" s="267">
        <v>43207</v>
      </c>
      <c r="C1883" s="266" t="s">
        <v>113</v>
      </c>
      <c r="D1883" s="266"/>
      <c r="E1883" s="266" t="s">
        <v>7</v>
      </c>
      <c r="F1883" s="268">
        <v>30</v>
      </c>
      <c r="G1883" s="269">
        <v>1077.56</v>
      </c>
      <c r="H1883" s="268">
        <v>1</v>
      </c>
      <c r="I1883" s="268"/>
      <c r="J1883" s="270">
        <v>32327.8</v>
      </c>
      <c r="K1883" s="6"/>
      <c r="L1883" s="20">
        <f>IF(ISNA(MATCH(Transactions[[#This Row],[TransType]],TransTypes[TransType],0)),1,MATCH(Transactions[[#This Row],[TransType]],TransTypes[TransType],0))</f>
        <v>2</v>
      </c>
      <c r="M1883" s="271">
        <f>IF( AND( INDEX(TransTypes[],Transactions[[#This Row],[TTR]],TT_COL_GLFlag)=1, INDEX(TransTypes[],Transactions[[#This Row],[TTR]],TT_COL_LONGORSHORT)="S" ),
      Transactions[[#This Row],[PL]],
      IF(INDEX(TransTypes[],Transactions[[#This Row],[TTR]],TT_COL_LONGORSHORT)="S",0,Transactions[[#This Row],[CalCashImpact]])
)</f>
        <v>-32327.8</v>
      </c>
      <c r="N1883" s="272">
        <f>IF(VLOOKUP(Transactions[[#This Row],[Symbol]],Symbols[],COLUMN(Symbols[Currency])-COLUMN(Symbols[])+1,FALSE)=
       VLOOKUP(Transactions[[#This Row],[Account]],Accounts[],COLUMN(Accounts[Currency])-COLUMN(Accounts[])+1,FALSE),
     Transactions[[#This Row],[OrigCashImpact]],
     0
)</f>
        <v>-32327.8</v>
      </c>
      <c r="O1883"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-4074.8295303240302</v>
      </c>
      <c r="P1883"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v>
      </c>
      <c r="Q1883"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230</v>
      </c>
      <c r="R1883" s="41">
        <f>ROW()</f>
        <v>1883</v>
      </c>
      <c r="S188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32327.8</v>
      </c>
      <c r="T188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245626.82044444443</v>
      </c>
      <c r="U1883"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230</v>
      </c>
      <c r="V1883" s="277">
        <f>IF(INDEX(TransTypes[],Transactions[[#This Row],[TTR]],TT_COL_GLFlag)=1,Transactions[[#This Row],[CalCashImpact]]+Transactions[[#This Row],[CostImpact]],0)</f>
        <v>0</v>
      </c>
      <c r="W1883" s="278">
        <f>Transactions[[#This Row],[Amount]]*INDEX(TransTypes[],Transactions[[#This Row],[TTR]],TT_COL_AmntSign)</f>
        <v>-32327.8</v>
      </c>
      <c r="X1883" s="278">
        <f>IF(INDEX(TransTypes[],Transactions[[#This Row],[TTR]],TT_COL_LONGORSHORT)="S",
      IF( OR(INDEX(TransTypes[],Transactions[[#This Row],[TTR]],TT_COL_GLFlag)=1, INDEX(TransTypes[], Transactions[[#This Row],[TTR]], TT_COL_ShareTransferFlag)=1),
            Transactions[[#This Row],[CostImpact]]*-1,
            Transactions[[#This Row],[CalCashImpact]]
      ),
     0
)</f>
        <v>0</v>
      </c>
      <c r="Y1883" s="279" t="str">
        <f>VLOOKUP(Transactions[[#This Row],[Symbol]],Symbols[], COLUMN(Symbols[Currency])-COLUMN(Symbols[])+1,FALSE)</f>
        <v>USD</v>
      </c>
    </row>
    <row r="1884" spans="1:25">
      <c r="A1884" s="266" t="s">
        <v>65</v>
      </c>
      <c r="B1884" s="267">
        <v>43207</v>
      </c>
      <c r="C1884" s="266" t="s">
        <v>115</v>
      </c>
      <c r="D1884" s="266"/>
      <c r="E1884" s="266" t="s">
        <v>298</v>
      </c>
      <c r="F1884" s="268">
        <v>1500</v>
      </c>
      <c r="G1884" s="269">
        <v>39.940800000000003</v>
      </c>
      <c r="H1884" s="268">
        <v>7.5624487199999999</v>
      </c>
      <c r="I1884" s="268"/>
      <c r="J1884" s="270">
        <v>59903.63755128</v>
      </c>
      <c r="K1884" s="6"/>
      <c r="L1884" s="20">
        <f>IF(ISNA(MATCH(Transactions[[#This Row],[TransType]],TransTypes[TransType],0)),1,MATCH(Transactions[[#This Row],[TransType]],TransTypes[TransType],0))</f>
        <v>3</v>
      </c>
      <c r="M1884" s="271">
        <f>IF( AND( INDEX(TransTypes[],Transactions[[#This Row],[TTR]],TT_COL_GLFlag)=1, INDEX(TransTypes[],Transactions[[#This Row],[TTR]],TT_COL_LONGORSHORT)="S" ),
      Transactions[[#This Row],[PL]],
      IF(INDEX(TransTypes[],Transactions[[#This Row],[TTR]],TT_COL_LONGORSHORT)="S",0,Transactions[[#This Row],[CalCashImpact]])
)</f>
        <v>59903.63755128</v>
      </c>
      <c r="N1884" s="272">
        <f>IF(VLOOKUP(Transactions[[#This Row],[Symbol]],Symbols[],COLUMN(Symbols[Currency])-COLUMN(Symbols[])+1,FALSE)=
       VLOOKUP(Transactions[[#This Row],[Account]],Accounts[],COLUMN(Accounts[Currency])-COLUMN(Accounts[])+1,FALSE),
     Transactions[[#This Row],[OrigCashImpact]],
     0
)</f>
        <v>59903.63755128</v>
      </c>
      <c r="O1884"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55828.80802095597</v>
      </c>
      <c r="P1884"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-1500</v>
      </c>
      <c r="Q1884"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84" s="41">
        <f>ROW()</f>
        <v>1884</v>
      </c>
      <c r="S188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-68190.42</v>
      </c>
      <c r="T188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84"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1500</v>
      </c>
      <c r="V1884" s="277">
        <f>IF(INDEX(TransTypes[],Transactions[[#This Row],[TTR]],TT_COL_GLFlag)=1,Transactions[[#This Row],[CalCashImpact]]+Transactions[[#This Row],[CostImpact]],0)</f>
        <v>-8286.7824487199978</v>
      </c>
      <c r="W1884" s="278">
        <f>Transactions[[#This Row],[Amount]]*INDEX(TransTypes[],Transactions[[#This Row],[TTR]],TT_COL_AmntSign)</f>
        <v>59903.63755128</v>
      </c>
      <c r="X1884" s="278">
        <f>IF(INDEX(TransTypes[],Transactions[[#This Row],[TTR]],TT_COL_LONGORSHORT)="S",
      IF( OR(INDEX(TransTypes[],Transactions[[#This Row],[TTR]],TT_COL_GLFlag)=1, INDEX(TransTypes[], Transactions[[#This Row],[TTR]], TT_COL_ShareTransferFlag)=1),
            Transactions[[#This Row],[CostImpact]]*-1,
            Transactions[[#This Row],[CalCashImpact]]
      ),
     0
)</f>
        <v>0</v>
      </c>
      <c r="Y1884" s="279" t="str">
        <f>VLOOKUP(Transactions[[#This Row],[Symbol]],Symbols[], COLUMN(Symbols[Currency])-COLUMN(Symbols[])+1,FALSE)</f>
        <v>USD</v>
      </c>
    </row>
    <row r="1885" spans="1:25">
      <c r="A1885" s="266" t="s">
        <v>65</v>
      </c>
      <c r="B1885" s="267">
        <v>43207</v>
      </c>
      <c r="C1885" s="266" t="s">
        <v>113</v>
      </c>
      <c r="D1885" s="266"/>
      <c r="E1885" s="266" t="s">
        <v>305</v>
      </c>
      <c r="F1885" s="268">
        <v>200</v>
      </c>
      <c r="G1885" s="269">
        <v>129.82</v>
      </c>
      <c r="H1885" s="268">
        <v>1</v>
      </c>
      <c r="I1885" s="268"/>
      <c r="J1885" s="270">
        <v>25965</v>
      </c>
      <c r="K1885" s="6"/>
      <c r="L1885" s="20">
        <f>IF(ISNA(MATCH(Transactions[[#This Row],[TransType]],TransTypes[TransType],0)),1,MATCH(Transactions[[#This Row],[TransType]],TransTypes[TransType],0))</f>
        <v>2</v>
      </c>
      <c r="M1885" s="271">
        <f>IF( AND( INDEX(TransTypes[],Transactions[[#This Row],[TTR]],TT_COL_GLFlag)=1, INDEX(TransTypes[],Transactions[[#This Row],[TTR]],TT_COL_LONGORSHORT)="S" ),
      Transactions[[#This Row],[PL]],
      IF(INDEX(TransTypes[],Transactions[[#This Row],[TTR]],TT_COL_LONGORSHORT)="S",0,Transactions[[#This Row],[CalCashImpact]])
)</f>
        <v>-25965</v>
      </c>
      <c r="N1885" s="272">
        <f>IF(VLOOKUP(Transactions[[#This Row],[Symbol]],Symbols[],COLUMN(Symbols[Currency])-COLUMN(Symbols[])+1,FALSE)=
       VLOOKUP(Transactions[[#This Row],[Account]],Accounts[],COLUMN(Accounts[Currency])-COLUMN(Accounts[])+1,FALSE),
     Transactions[[#This Row],[OrigCashImpact]],
     0
)</f>
        <v>-25965</v>
      </c>
      <c r="O1885"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29863.80802095597</v>
      </c>
      <c r="P1885"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v>
      </c>
      <c r="Q1885"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574</v>
      </c>
      <c r="R1885" s="41">
        <f>ROW()</f>
        <v>1885</v>
      </c>
      <c r="S1885"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25965</v>
      </c>
      <c r="T1885"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76934.523589473683</v>
      </c>
      <c r="U1885"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574</v>
      </c>
      <c r="V1885" s="277">
        <f>IF(INDEX(TransTypes[],Transactions[[#This Row],[TTR]],TT_COL_GLFlag)=1,Transactions[[#This Row],[CalCashImpact]]+Transactions[[#This Row],[CostImpact]],0)</f>
        <v>0</v>
      </c>
      <c r="W1885" s="278">
        <f>Transactions[[#This Row],[Amount]]*INDEX(TransTypes[],Transactions[[#This Row],[TTR]],TT_COL_AmntSign)</f>
        <v>-25965</v>
      </c>
      <c r="X1885" s="278">
        <f>IF(INDEX(TransTypes[],Transactions[[#This Row],[TTR]],TT_COL_LONGORSHORT)="S",
      IF( OR(INDEX(TransTypes[],Transactions[[#This Row],[TTR]],TT_COL_GLFlag)=1, INDEX(TransTypes[], Transactions[[#This Row],[TTR]], TT_COL_ShareTransferFlag)=1),
            Transactions[[#This Row],[CostImpact]]*-1,
            Transactions[[#This Row],[CalCashImpact]]
      ),
     0
)</f>
        <v>0</v>
      </c>
      <c r="Y1885" s="279" t="str">
        <f>VLOOKUP(Transactions[[#This Row],[Symbol]],Symbols[], COLUMN(Symbols[Currency])-COLUMN(Symbols[])+1,FALSE)</f>
        <v>USD</v>
      </c>
    </row>
    <row r="1886" spans="1:25">
      <c r="A1886" s="266" t="s">
        <v>65</v>
      </c>
      <c r="B1886" s="267">
        <v>43207</v>
      </c>
      <c r="C1886" s="266" t="s">
        <v>113</v>
      </c>
      <c r="D1886" s="266"/>
      <c r="E1886" s="266" t="s">
        <v>986</v>
      </c>
      <c r="F1886" s="268">
        <v>500</v>
      </c>
      <c r="G1886" s="269">
        <v>332.84</v>
      </c>
      <c r="H1886" s="268">
        <v>2</v>
      </c>
      <c r="I1886" s="268"/>
      <c r="J1886" s="270">
        <v>166422</v>
      </c>
      <c r="K1886" s="6"/>
      <c r="L1886" s="20">
        <f>IF(ISNA(MATCH(Transactions[[#This Row],[TransType]],TransTypes[TransType],0)),1,MATCH(Transactions[[#This Row],[TransType]],TransTypes[TransType],0))</f>
        <v>2</v>
      </c>
      <c r="M1886" s="271">
        <f>IF( AND( INDEX(TransTypes[],Transactions[[#This Row],[TTR]],TT_COL_GLFlag)=1, INDEX(TransTypes[],Transactions[[#This Row],[TTR]],TT_COL_LONGORSHORT)="S" ),
      Transactions[[#This Row],[PL]],
      IF(INDEX(TransTypes[],Transactions[[#This Row],[TTR]],TT_COL_LONGORSHORT)="S",0,Transactions[[#This Row],[CalCashImpact]])
)</f>
        <v>-166422</v>
      </c>
      <c r="N1886" s="272">
        <f>IF(VLOOKUP(Transactions[[#This Row],[Symbol]],Symbols[],COLUMN(Symbols[Currency])-COLUMN(Symbols[])+1,FALSE)=
       VLOOKUP(Transactions[[#This Row],[Account]],Accounts[],COLUMN(Accounts[Currency])-COLUMN(Accounts[])+1,FALSE),
     Transactions[[#This Row],[OrigCashImpact]],
     0
)</f>
        <v>-166422</v>
      </c>
      <c r="O1886"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-136558.19197904403</v>
      </c>
      <c r="P1886"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500</v>
      </c>
      <c r="Q1886"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500</v>
      </c>
      <c r="R1886" s="41">
        <f>ROW()</f>
        <v>1886</v>
      </c>
      <c r="S1886"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166422</v>
      </c>
      <c r="T1886"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166422</v>
      </c>
      <c r="U1886"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886" s="277">
        <f>IF(INDEX(TransTypes[],Transactions[[#This Row],[TTR]],TT_COL_GLFlag)=1,Transactions[[#This Row],[CalCashImpact]]+Transactions[[#This Row],[CostImpact]],0)</f>
        <v>0</v>
      </c>
      <c r="W1886" s="278">
        <f>Transactions[[#This Row],[Amount]]*INDEX(TransTypes[],Transactions[[#This Row],[TTR]],TT_COL_AmntSign)</f>
        <v>-166422</v>
      </c>
      <c r="X1886" s="278">
        <f>IF(INDEX(TransTypes[],Transactions[[#This Row],[TTR]],TT_COL_LONGORSHORT)="S",
      IF( OR(INDEX(TransTypes[],Transactions[[#This Row],[TTR]],TT_COL_GLFlag)=1, INDEX(TransTypes[], Transactions[[#This Row],[TTR]], TT_COL_ShareTransferFlag)=1),
            Transactions[[#This Row],[CostImpact]]*-1,
            Transactions[[#This Row],[CalCashImpact]]
      ),
     0
)</f>
        <v>0</v>
      </c>
      <c r="Y1886" s="279" t="str">
        <f>VLOOKUP(Transactions[[#This Row],[Symbol]],Symbols[], COLUMN(Symbols[Currency])-COLUMN(Symbols[])+1,FALSE)</f>
        <v>USD</v>
      </c>
    </row>
    <row r="1887" spans="1:25">
      <c r="A1887" s="266" t="s">
        <v>65</v>
      </c>
      <c r="B1887" s="267">
        <v>43207</v>
      </c>
      <c r="C1887" s="266" t="s">
        <v>113</v>
      </c>
      <c r="D1887" s="266"/>
      <c r="E1887" s="266" t="s">
        <v>313</v>
      </c>
      <c r="F1887" s="268">
        <v>1050</v>
      </c>
      <c r="G1887" s="269">
        <v>26.764380952</v>
      </c>
      <c r="H1887" s="268">
        <v>4.3</v>
      </c>
      <c r="I1887" s="268"/>
      <c r="J1887" s="270">
        <v>28106.8999999999</v>
      </c>
      <c r="K1887" s="6"/>
      <c r="L1887" s="20">
        <f>IF(ISNA(MATCH(Transactions[[#This Row],[TransType]],TransTypes[TransType],0)),1,MATCH(Transactions[[#This Row],[TransType]],TransTypes[TransType],0))</f>
        <v>2</v>
      </c>
      <c r="M1887" s="271">
        <f>IF( AND( INDEX(TransTypes[],Transactions[[#This Row],[TTR]],TT_COL_GLFlag)=1, INDEX(TransTypes[],Transactions[[#This Row],[TTR]],TT_COL_LONGORSHORT)="S" ),
      Transactions[[#This Row],[PL]],
      IF(INDEX(TransTypes[],Transactions[[#This Row],[TTR]],TT_COL_LONGORSHORT)="S",0,Transactions[[#This Row],[CalCashImpact]])
)</f>
        <v>-28106.8999999999</v>
      </c>
      <c r="N1887" s="272">
        <f>IF(VLOOKUP(Transactions[[#This Row],[Symbol]],Symbols[],COLUMN(Symbols[Currency])-COLUMN(Symbols[])+1,FALSE)=
       VLOOKUP(Transactions[[#This Row],[Account]],Accounts[],COLUMN(Accounts[Currency])-COLUMN(Accounts[])+1,FALSE),
     Transactions[[#This Row],[OrigCashImpact]],
     0
)</f>
        <v>-28106.8999999999</v>
      </c>
      <c r="O1887"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-164665.09197904394</v>
      </c>
      <c r="P1887"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1050</v>
      </c>
      <c r="Q1887"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4536</v>
      </c>
      <c r="R1887" s="41">
        <f>ROW()</f>
        <v>1887</v>
      </c>
      <c r="S1887"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28106.8999999999</v>
      </c>
      <c r="T1887"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118653.55696238545</v>
      </c>
      <c r="U1887"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4536</v>
      </c>
      <c r="V1887" s="277">
        <f>IF(INDEX(TransTypes[],Transactions[[#This Row],[TTR]],TT_COL_GLFlag)=1,Transactions[[#This Row],[CalCashImpact]]+Transactions[[#This Row],[CostImpact]],0)</f>
        <v>0</v>
      </c>
      <c r="W1887" s="278">
        <f>Transactions[[#This Row],[Amount]]*INDEX(TransTypes[],Transactions[[#This Row],[TTR]],TT_COL_AmntSign)</f>
        <v>-28106.8999999999</v>
      </c>
      <c r="X1887" s="278">
        <f>IF(INDEX(TransTypes[],Transactions[[#This Row],[TTR]],TT_COL_LONGORSHORT)="S",
      IF( OR(INDEX(TransTypes[],Transactions[[#This Row],[TTR]],TT_COL_GLFlag)=1, INDEX(TransTypes[], Transactions[[#This Row],[TTR]], TT_COL_ShareTransferFlag)=1),
            Transactions[[#This Row],[CostImpact]]*-1,
            Transactions[[#This Row],[CalCashImpact]]
      ),
     0
)</f>
        <v>0</v>
      </c>
      <c r="Y1887" s="279" t="str">
        <f>VLOOKUP(Transactions[[#This Row],[Symbol]],Symbols[], COLUMN(Symbols[Currency])-COLUMN(Symbols[])+1,FALSE)</f>
        <v>USD</v>
      </c>
    </row>
    <row r="1888" spans="1:25">
      <c r="A1888" s="266" t="s">
        <v>65</v>
      </c>
      <c r="B1888" s="267">
        <v>43207</v>
      </c>
      <c r="C1888" s="266" t="s">
        <v>115</v>
      </c>
      <c r="D1888" s="266"/>
      <c r="E1888" s="266" t="s">
        <v>20</v>
      </c>
      <c r="F1888" s="268">
        <v>1648</v>
      </c>
      <c r="G1888" s="269">
        <v>120.89</v>
      </c>
      <c r="H1888" s="268">
        <v>11.838249232000001</v>
      </c>
      <c r="I1888" s="268"/>
      <c r="J1888" s="270">
        <v>199214.88175076799</v>
      </c>
      <c r="K1888" s="6"/>
      <c r="L1888" s="20">
        <f>IF(ISNA(MATCH(Transactions[[#This Row],[TransType]],TransTypes[TransType],0)),1,MATCH(Transactions[[#This Row],[TransType]],TransTypes[TransType],0))</f>
        <v>3</v>
      </c>
      <c r="M1888" s="271">
        <f>IF( AND( INDEX(TransTypes[],Transactions[[#This Row],[TTR]],TT_COL_GLFlag)=1, INDEX(TransTypes[],Transactions[[#This Row],[TTR]],TT_COL_LONGORSHORT)="S" ),
      Transactions[[#This Row],[PL]],
      IF(INDEX(TransTypes[],Transactions[[#This Row],[TTR]],TT_COL_LONGORSHORT)="S",0,Transactions[[#This Row],[CalCashImpact]])
)</f>
        <v>199214.88175076799</v>
      </c>
      <c r="N1888" s="272">
        <f>IF(VLOOKUP(Transactions[[#This Row],[Symbol]],Symbols[],COLUMN(Symbols[Currency])-COLUMN(Symbols[])+1,FALSE)=
       VLOOKUP(Transactions[[#This Row],[Account]],Accounts[],COLUMN(Accounts[Currency])-COLUMN(Accounts[])+1,FALSE),
     Transactions[[#This Row],[OrigCashImpact]],
     0
)</f>
        <v>199214.88175076799</v>
      </c>
      <c r="O1888"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34549.789771724056</v>
      </c>
      <c r="P1888"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-1648</v>
      </c>
      <c r="Q1888"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88" s="41">
        <f>ROW()</f>
        <v>1888</v>
      </c>
      <c r="S1888"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-202634.50785052881</v>
      </c>
      <c r="T1888"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88"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1648</v>
      </c>
      <c r="V1888" s="277">
        <f>IF(INDEX(TransTypes[],Transactions[[#This Row],[TTR]],TT_COL_GLFlag)=1,Transactions[[#This Row],[CalCashImpact]]+Transactions[[#This Row],[CostImpact]],0)</f>
        <v>-3419.6260997608188</v>
      </c>
      <c r="W1888" s="278">
        <f>Transactions[[#This Row],[Amount]]*INDEX(TransTypes[],Transactions[[#This Row],[TTR]],TT_COL_AmntSign)</f>
        <v>199214.88175076799</v>
      </c>
      <c r="X1888" s="278">
        <f>IF(INDEX(TransTypes[],Transactions[[#This Row],[TTR]],TT_COL_LONGORSHORT)="S",
      IF( OR(INDEX(TransTypes[],Transactions[[#This Row],[TTR]],TT_COL_GLFlag)=1, INDEX(TransTypes[], Transactions[[#This Row],[TTR]], TT_COL_ShareTransferFlag)=1),
            Transactions[[#This Row],[CostImpact]]*-1,
            Transactions[[#This Row],[CalCashImpact]]
      ),
     0
)</f>
        <v>0</v>
      </c>
      <c r="Y1888" s="279" t="str">
        <f>VLOOKUP(Transactions[[#This Row],[Symbol]],Symbols[], COLUMN(Symbols[Currency])-COLUMN(Symbols[])+1,FALSE)</f>
        <v>USD</v>
      </c>
    </row>
    <row r="1889" spans="1:25">
      <c r="A1889" s="266" t="s">
        <v>65</v>
      </c>
      <c r="B1889" s="267">
        <v>43207</v>
      </c>
      <c r="C1889" s="266" t="s">
        <v>115</v>
      </c>
      <c r="D1889" s="266"/>
      <c r="E1889" s="266" t="s">
        <v>316</v>
      </c>
      <c r="F1889" s="268">
        <v>100</v>
      </c>
      <c r="G1889" s="269">
        <v>288.00110000000001</v>
      </c>
      <c r="H1889" s="268">
        <v>1.6771825410000001</v>
      </c>
      <c r="I1889" s="268"/>
      <c r="J1889" s="270">
        <v>28798.432817459001</v>
      </c>
      <c r="K1889" s="6"/>
      <c r="L1889" s="20">
        <f>IF(ISNA(MATCH(Transactions[[#This Row],[TransType]],TransTypes[TransType],0)),1,MATCH(Transactions[[#This Row],[TransType]],TransTypes[TransType],0))</f>
        <v>3</v>
      </c>
      <c r="M1889" s="271">
        <f>IF( AND( INDEX(TransTypes[],Transactions[[#This Row],[TTR]],TT_COL_GLFlag)=1, INDEX(TransTypes[],Transactions[[#This Row],[TTR]],TT_COL_LONGORSHORT)="S" ),
      Transactions[[#This Row],[PL]],
      IF(INDEX(TransTypes[],Transactions[[#This Row],[TTR]],TT_COL_LONGORSHORT)="S",0,Transactions[[#This Row],[CalCashImpact]])
)</f>
        <v>28798.432817459001</v>
      </c>
      <c r="N1889" s="272">
        <f>IF(VLOOKUP(Transactions[[#This Row],[Symbol]],Symbols[],COLUMN(Symbols[Currency])-COLUMN(Symbols[])+1,FALSE)=
       VLOOKUP(Transactions[[#This Row],[Account]],Accounts[],COLUMN(Accounts[Currency])-COLUMN(Accounts[])+1,FALSE),
     Transactions[[#This Row],[OrigCashImpact]],
     0
)</f>
        <v>28798.432817459001</v>
      </c>
      <c r="O1889"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63348.222589183046</v>
      </c>
      <c r="P1889"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-100</v>
      </c>
      <c r="Q1889"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89" s="41">
        <f>ROW()</f>
        <v>1889</v>
      </c>
      <c r="S1889"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-31106.844036697243</v>
      </c>
      <c r="T1889"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89"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100</v>
      </c>
      <c r="V1889" s="277">
        <f>IF(INDEX(TransTypes[],Transactions[[#This Row],[TTR]],TT_COL_GLFlag)=1,Transactions[[#This Row],[CalCashImpact]]+Transactions[[#This Row],[CostImpact]],0)</f>
        <v>-2308.4112192382418</v>
      </c>
      <c r="W1889" s="278">
        <f>Transactions[[#This Row],[Amount]]*INDEX(TransTypes[],Transactions[[#This Row],[TTR]],TT_COL_AmntSign)</f>
        <v>28798.432817459001</v>
      </c>
      <c r="X1889" s="278">
        <f>IF(INDEX(TransTypes[],Transactions[[#This Row],[TTR]],TT_COL_LONGORSHORT)="S",
      IF( OR(INDEX(TransTypes[],Transactions[[#This Row],[TTR]],TT_COL_GLFlag)=1, INDEX(TransTypes[], Transactions[[#This Row],[TTR]], TT_COL_ShareTransferFlag)=1),
            Transactions[[#This Row],[CostImpact]]*-1,
            Transactions[[#This Row],[CalCashImpact]]
      ),
     0
)</f>
        <v>0</v>
      </c>
      <c r="Y1889" s="279" t="str">
        <f>VLOOKUP(Transactions[[#This Row],[Symbol]],Symbols[], COLUMN(Symbols[Currency])-COLUMN(Symbols[])+1,FALSE)</f>
        <v>USD</v>
      </c>
    </row>
    <row r="1890" spans="1:25">
      <c r="A1890" s="266" t="s">
        <v>65</v>
      </c>
      <c r="B1890" s="267">
        <v>43207</v>
      </c>
      <c r="C1890" s="266" t="s">
        <v>113</v>
      </c>
      <c r="D1890" s="266"/>
      <c r="E1890" s="266" t="s">
        <v>990</v>
      </c>
      <c r="F1890" s="268">
        <v>2000</v>
      </c>
      <c r="G1890" s="269">
        <v>31.23921</v>
      </c>
      <c r="H1890" s="268">
        <v>8.8000000000000007</v>
      </c>
      <c r="I1890" s="268"/>
      <c r="J1890" s="270">
        <v>62487.22</v>
      </c>
      <c r="K1890" s="6"/>
      <c r="L1890" s="20">
        <f>IF(ISNA(MATCH(Transactions[[#This Row],[TransType]],TransTypes[TransType],0)),1,MATCH(Transactions[[#This Row],[TransType]],TransTypes[TransType],0))</f>
        <v>2</v>
      </c>
      <c r="M1890" s="271">
        <f>IF( AND( INDEX(TransTypes[],Transactions[[#This Row],[TTR]],TT_COL_GLFlag)=1, INDEX(TransTypes[],Transactions[[#This Row],[TTR]],TT_COL_LONGORSHORT)="S" ),
      Transactions[[#This Row],[PL]],
      IF(INDEX(TransTypes[],Transactions[[#This Row],[TTR]],TT_COL_LONGORSHORT)="S",0,Transactions[[#This Row],[CalCashImpact]])
)</f>
        <v>-62487.22</v>
      </c>
      <c r="N1890" s="272">
        <f>IF(VLOOKUP(Transactions[[#This Row],[Symbol]],Symbols[],COLUMN(Symbols[Currency])-COLUMN(Symbols[])+1,FALSE)=
       VLOOKUP(Transactions[[#This Row],[Account]],Accounts[],COLUMN(Accounts[Currency])-COLUMN(Accounts[])+1,FALSE),
     Transactions[[#This Row],[OrigCashImpact]],
     0
)</f>
        <v>-62487.22</v>
      </c>
      <c r="O1890"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861.00258918304462</v>
      </c>
      <c r="P1890"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2000</v>
      </c>
      <c r="Q1890"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2000</v>
      </c>
      <c r="R1890" s="41">
        <f>ROW()</f>
        <v>1890</v>
      </c>
      <c r="S1890"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62487.22</v>
      </c>
      <c r="T1890"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62487.22</v>
      </c>
      <c r="U1890"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2000</v>
      </c>
      <c r="V1890" s="277">
        <f>IF(INDEX(TransTypes[],Transactions[[#This Row],[TTR]],TT_COL_GLFlag)=1,Transactions[[#This Row],[CalCashImpact]]+Transactions[[#This Row],[CostImpact]],0)</f>
        <v>0</v>
      </c>
      <c r="W1890" s="278">
        <f>Transactions[[#This Row],[Amount]]*INDEX(TransTypes[],Transactions[[#This Row],[TTR]],TT_COL_AmntSign)</f>
        <v>-62487.22</v>
      </c>
      <c r="X1890" s="278">
        <f>IF(INDEX(TransTypes[],Transactions[[#This Row],[TTR]],TT_COL_LONGORSHORT)="S",
      IF( OR(INDEX(TransTypes[],Transactions[[#This Row],[TTR]],TT_COL_GLFlag)=1, INDEX(TransTypes[], Transactions[[#This Row],[TTR]], TT_COL_ShareTransferFlag)=1),
            Transactions[[#This Row],[CostImpact]]*-1,
            Transactions[[#This Row],[CalCashImpact]]
      ),
     0
)</f>
        <v>0</v>
      </c>
      <c r="Y1890" s="279" t="str">
        <f>VLOOKUP(Transactions[[#This Row],[Symbol]],Symbols[], COLUMN(Symbols[Currency])-COLUMN(Symbols[])+1,FALSE)</f>
        <v>USD</v>
      </c>
    </row>
    <row r="1891" spans="1:25">
      <c r="A1891" s="266" t="s">
        <v>65</v>
      </c>
      <c r="B1891" s="267">
        <v>43210</v>
      </c>
      <c r="C1891" s="266" t="s">
        <v>115</v>
      </c>
      <c r="D1891" s="266"/>
      <c r="E1891" s="266" t="s">
        <v>986</v>
      </c>
      <c r="F1891" s="268">
        <v>300</v>
      </c>
      <c r="G1891" s="269">
        <v>328.18</v>
      </c>
      <c r="H1891" s="268">
        <v>3.8099873999999998</v>
      </c>
      <c r="I1891" s="268"/>
      <c r="J1891" s="270">
        <v>98450.190012599996</v>
      </c>
      <c r="K1891" s="6"/>
      <c r="L1891" s="20">
        <f>IF(ISNA(MATCH(Transactions[[#This Row],[TransType]],TransTypes[TransType],0)),1,MATCH(Transactions[[#This Row],[TransType]],TransTypes[TransType],0))</f>
        <v>3</v>
      </c>
      <c r="M1891" s="271">
        <f>IF( AND( INDEX(TransTypes[],Transactions[[#This Row],[TTR]],TT_COL_GLFlag)=1, INDEX(TransTypes[],Transactions[[#This Row],[TTR]],TT_COL_LONGORSHORT)="S" ),
      Transactions[[#This Row],[PL]],
      IF(INDEX(TransTypes[],Transactions[[#This Row],[TTR]],TT_COL_LONGORSHORT)="S",0,Transactions[[#This Row],[CalCashImpact]])
)</f>
        <v>98450.190012599996</v>
      </c>
      <c r="N1891" s="272">
        <f>IF(VLOOKUP(Transactions[[#This Row],[Symbol]],Symbols[],COLUMN(Symbols[Currency])-COLUMN(Symbols[])+1,FALSE)=
       VLOOKUP(Transactions[[#This Row],[Account]],Accounts[],COLUMN(Accounts[Currency])-COLUMN(Accounts[])+1,FALSE),
     Transactions[[#This Row],[OrigCashImpact]],
     0
)</f>
        <v>98450.190012599996</v>
      </c>
      <c r="O1891"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99311.192601783026</v>
      </c>
      <c r="P1891"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-300</v>
      </c>
      <c r="Q1891"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200</v>
      </c>
      <c r="R1891" s="41">
        <f>ROW()</f>
        <v>1891</v>
      </c>
      <c r="S1891"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-99853.2</v>
      </c>
      <c r="T1891"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66568.800000000003</v>
      </c>
      <c r="U1891"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500</v>
      </c>
      <c r="V1891" s="277">
        <f>IF(INDEX(TransTypes[],Transactions[[#This Row],[TTR]],TT_COL_GLFlag)=1,Transactions[[#This Row],[CalCashImpact]]+Transactions[[#This Row],[CostImpact]],0)</f>
        <v>-1403.0099874000007</v>
      </c>
      <c r="W1891" s="278">
        <f>Transactions[[#This Row],[Amount]]*INDEX(TransTypes[],Transactions[[#This Row],[TTR]],TT_COL_AmntSign)</f>
        <v>98450.190012599996</v>
      </c>
      <c r="X1891" s="278">
        <f>IF(INDEX(TransTypes[],Transactions[[#This Row],[TTR]],TT_COL_LONGORSHORT)="S",
      IF( OR(INDEX(TransTypes[],Transactions[[#This Row],[TTR]],TT_COL_GLFlag)=1, INDEX(TransTypes[], Transactions[[#This Row],[TTR]], TT_COL_ShareTransferFlag)=1),
            Transactions[[#This Row],[CostImpact]]*-1,
            Transactions[[#This Row],[CalCashImpact]]
      ),
     0
)</f>
        <v>0</v>
      </c>
      <c r="Y1891" s="279" t="str">
        <f>VLOOKUP(Transactions[[#This Row],[Symbol]],Symbols[], COLUMN(Symbols[Currency])-COLUMN(Symbols[])+1,FALSE)</f>
        <v>USD</v>
      </c>
    </row>
    <row r="1892" spans="1:25">
      <c r="A1892" s="266" t="s">
        <v>77</v>
      </c>
      <c r="B1892" s="267">
        <v>43207</v>
      </c>
      <c r="C1892" s="266" t="s">
        <v>115</v>
      </c>
      <c r="D1892" s="266"/>
      <c r="E1892" s="266" t="s">
        <v>505</v>
      </c>
      <c r="F1892" s="268">
        <v>469</v>
      </c>
      <c r="G1892" s="269">
        <v>102.485095948827</v>
      </c>
      <c r="H1892" s="268">
        <v>9.99</v>
      </c>
      <c r="I1892" s="268"/>
      <c r="J1892" s="270">
        <v>48055.519999999997</v>
      </c>
      <c r="K1892" s="6" t="s">
        <v>993</v>
      </c>
      <c r="L1892" s="20">
        <f>IF(ISNA(MATCH(Transactions[[#This Row],[TransType]],TransTypes[TransType],0)),1,MATCH(Transactions[[#This Row],[TransType]],TransTypes[TransType],0))</f>
        <v>3</v>
      </c>
      <c r="M1892" s="271">
        <f>IF( AND( INDEX(TransTypes[],Transactions[[#This Row],[TTR]],TT_COL_GLFlag)=1, INDEX(TransTypes[],Transactions[[#This Row],[TTR]],TT_COL_LONGORSHORT)="S" ),
      Transactions[[#This Row],[PL]],
      IF(INDEX(TransTypes[],Transactions[[#This Row],[TTR]],TT_COL_LONGORSHORT)="S",0,Transactions[[#This Row],[CalCashImpact]])
)</f>
        <v>48055.519999999997</v>
      </c>
      <c r="N1892" s="272">
        <f>IF(VLOOKUP(Transactions[[#This Row],[Symbol]],Symbols[],COLUMN(Symbols[Currency])-COLUMN(Symbols[])+1,FALSE)=
       VLOOKUP(Transactions[[#This Row],[Account]],Accounts[],COLUMN(Accounts[Currency])-COLUMN(Accounts[])+1,FALSE),
     Transactions[[#This Row],[OrigCashImpact]],
     0
)</f>
        <v>48055.519999999997</v>
      </c>
      <c r="O1892"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48185.779999999831</v>
      </c>
      <c r="P1892"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-469</v>
      </c>
      <c r="Q1892"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92" s="41">
        <f>ROW()</f>
        <v>1892</v>
      </c>
      <c r="S1892"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-49942.07</v>
      </c>
      <c r="T1892"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92"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469</v>
      </c>
      <c r="V1892" s="277">
        <f>IF(INDEX(TransTypes[],Transactions[[#This Row],[TTR]],TT_COL_GLFlag)=1,Transactions[[#This Row],[CalCashImpact]]+Transactions[[#This Row],[CostImpact]],0)</f>
        <v>-1886.5500000000029</v>
      </c>
      <c r="W1892" s="278">
        <f>Transactions[[#This Row],[Amount]]*INDEX(TransTypes[],Transactions[[#This Row],[TTR]],TT_COL_AmntSign)</f>
        <v>48055.519999999997</v>
      </c>
      <c r="X1892" s="278">
        <f>IF(INDEX(TransTypes[],Transactions[[#This Row],[TTR]],TT_COL_LONGORSHORT)="S",
      IF( OR(INDEX(TransTypes[],Transactions[[#This Row],[TTR]],TT_COL_GLFlag)=1, INDEX(TransTypes[], Transactions[[#This Row],[TTR]], TT_COL_ShareTransferFlag)=1),
            Transactions[[#This Row],[CostImpact]]*-1,
            Transactions[[#This Row],[CalCashImpact]]
      ),
     0
)</f>
        <v>0</v>
      </c>
      <c r="Y1892" s="279" t="str">
        <f>VLOOKUP(Transactions[[#This Row],[Symbol]],Symbols[], COLUMN(Symbols[Currency])-COLUMN(Symbols[])+1,FALSE)</f>
        <v>USD</v>
      </c>
    </row>
    <row r="1893" spans="1:25">
      <c r="A1893" s="266" t="s">
        <v>77</v>
      </c>
      <c r="B1893" s="267">
        <v>43207</v>
      </c>
      <c r="C1893" s="266" t="s">
        <v>113</v>
      </c>
      <c r="D1893" s="266"/>
      <c r="E1893" s="266" t="s">
        <v>994</v>
      </c>
      <c r="F1893" s="268">
        <v>4400</v>
      </c>
      <c r="G1893" s="269">
        <v>10.799225</v>
      </c>
      <c r="H1893" s="268">
        <v>9.99</v>
      </c>
      <c r="I1893" s="268"/>
      <c r="J1893" s="270">
        <v>47526.58</v>
      </c>
      <c r="K1893" s="6" t="s">
        <v>995</v>
      </c>
      <c r="L1893" s="20">
        <f>IF(ISNA(MATCH(Transactions[[#This Row],[TransType]],TransTypes[TransType],0)),1,MATCH(Transactions[[#This Row],[TransType]],TransTypes[TransType],0))</f>
        <v>2</v>
      </c>
      <c r="M1893" s="271">
        <f>IF( AND( INDEX(TransTypes[],Transactions[[#This Row],[TTR]],TT_COL_GLFlag)=1, INDEX(TransTypes[],Transactions[[#This Row],[TTR]],TT_COL_LONGORSHORT)="S" ),
      Transactions[[#This Row],[PL]],
      IF(INDEX(TransTypes[],Transactions[[#This Row],[TTR]],TT_COL_LONGORSHORT)="S",0,Transactions[[#This Row],[CalCashImpact]])
)</f>
        <v>-47526.58</v>
      </c>
      <c r="N1893" s="272">
        <f>IF(VLOOKUP(Transactions[[#This Row],[Symbol]],Symbols[],COLUMN(Symbols[Currency])-COLUMN(Symbols[])+1,FALSE)=
       VLOOKUP(Transactions[[#This Row],[Account]],Accounts[],COLUMN(Accounts[Currency])-COLUMN(Accounts[])+1,FALSE),
     Transactions[[#This Row],[OrigCashImpact]],
     0
)</f>
        <v>-47526.58</v>
      </c>
      <c r="O1893"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659.19999999982974</v>
      </c>
      <c r="P1893"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4400</v>
      </c>
      <c r="Q1893"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4400</v>
      </c>
      <c r="R1893" s="41">
        <f>ROW()</f>
        <v>1893</v>
      </c>
      <c r="S1893"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47526.58</v>
      </c>
      <c r="T1893"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47526.58</v>
      </c>
      <c r="U1893"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4400</v>
      </c>
      <c r="V1893" s="277">
        <f>IF(INDEX(TransTypes[],Transactions[[#This Row],[TTR]],TT_COL_GLFlag)=1,Transactions[[#This Row],[CalCashImpact]]+Transactions[[#This Row],[CostImpact]],0)</f>
        <v>0</v>
      </c>
      <c r="W1893" s="278">
        <f>Transactions[[#This Row],[Amount]]*INDEX(TransTypes[],Transactions[[#This Row],[TTR]],TT_COL_AmntSign)</f>
        <v>-47526.58</v>
      </c>
      <c r="X1893" s="278">
        <f>IF(INDEX(TransTypes[],Transactions[[#This Row],[TTR]],TT_COL_LONGORSHORT)="S",
      IF( OR(INDEX(TransTypes[],Transactions[[#This Row],[TTR]],TT_COL_GLFlag)=1, INDEX(TransTypes[], Transactions[[#This Row],[TTR]], TT_COL_ShareTransferFlag)=1),
            Transactions[[#This Row],[CostImpact]]*-1,
            Transactions[[#This Row],[CalCashImpact]]
      ),
     0
)</f>
        <v>0</v>
      </c>
      <c r="Y1893" s="279" t="str">
        <f>VLOOKUP(Transactions[[#This Row],[Symbol]],Symbols[], COLUMN(Symbols[Currency])-COLUMN(Symbols[])+1,FALSE)</f>
        <v>USD</v>
      </c>
    </row>
    <row r="1894" spans="1:25">
      <c r="A1894" s="266" t="s">
        <v>77</v>
      </c>
      <c r="B1894" s="267">
        <v>43207</v>
      </c>
      <c r="C1894" s="266" t="s">
        <v>121</v>
      </c>
      <c r="D1894" s="266"/>
      <c r="E1894" s="266" t="s">
        <v>208</v>
      </c>
      <c r="F1894" s="268"/>
      <c r="G1894" s="269"/>
      <c r="H1894" s="268"/>
      <c r="I1894" s="268"/>
      <c r="J1894" s="270">
        <v>1.1200000000000001</v>
      </c>
      <c r="K1894" s="6" t="s">
        <v>530</v>
      </c>
      <c r="L1894" s="20">
        <f>IF(ISNA(MATCH(Transactions[[#This Row],[TransType]],TransTypes[TransType],0)),1,MATCH(Transactions[[#This Row],[TransType]],TransTypes[TransType],0))</f>
        <v>6</v>
      </c>
      <c r="M1894" s="271">
        <f>IF( AND( INDEX(TransTypes[],Transactions[[#This Row],[TTR]],TT_COL_GLFlag)=1, INDEX(TransTypes[],Transactions[[#This Row],[TTR]],TT_COL_LONGORSHORT)="S" ),
      Transactions[[#This Row],[PL]],
      IF(INDEX(TransTypes[],Transactions[[#This Row],[TTR]],TT_COL_LONGORSHORT)="S",0,Transactions[[#This Row],[CalCashImpact]])
)</f>
        <v>-1.1200000000000001</v>
      </c>
      <c r="N1894" s="272">
        <f>IF(VLOOKUP(Transactions[[#This Row],[Symbol]],Symbols[],COLUMN(Symbols[Currency])-COLUMN(Symbols[])+1,FALSE)=
       VLOOKUP(Transactions[[#This Row],[Account]],Accounts[],COLUMN(Accounts[Currency])-COLUMN(Accounts[])+1,FALSE),
     Transactions[[#This Row],[OrigCashImpact]],
     0
)</f>
        <v>-1.1200000000000001</v>
      </c>
      <c r="O1894" s="273">
        <f>SUMIFS(Transactions[BaseCashImpact],Transactions[Account],"="&amp;Transactions[[#This Row],[Account]],Transactions[Date],"&lt;"&amp;Transactions[[#This Row],[Date]])+SUMIFS(Transactions[BaseCashImpact],Transactions[Account],"="&amp;Transactions[[#This Row],[Account]],Transactions[Date],"="&amp;Transactions[[#This Row],[Date]],Transactions[TransID],"&lt;="&amp;Transactions[[#This Row],[TransID]])</f>
        <v>658.07999999982974</v>
      </c>
      <c r="P1894" s="274">
        <f>IF(INDEX(TransTypes[],Transactions[[#This Row],[TTR]],TT_COL_QtySign)=0,
    0,
    IF(INDEX(TransTypes[],Transactions[[#This Row],[TTR]],TT_COL_ForexTradeFlag)=1,0,
       Transactions[[#This Row],[Qty]]*INDEX(TransTypes[],Transactions[[#This Row],[TTR]],TT_COL_QtySign)*IF(AND(Transactions[[#This Row],[Qty]]&lt;0,INDEX(TransTypes[],Transactions[[#This Row],[TTR]],TT_COL_BookValueSign)=-1),-1,1)
    )
)</f>
        <v>0</v>
      </c>
      <c r="Q1894" s="275">
        <f>SUMIFS(Transactions[QtyChange],Transactions[Account],"="&amp;Transactions[[#This Row],[Account]],Transactions[Date],"&lt;"&amp;Transactions[[#This Row],[Date]],Transactions[Symbol],"="&amp;Transactions[[#This Row],[Symbol]]) +
   SUMIFS(Transactions[QtyChange],Transactions[Account],"="&amp;Transactions[[#This Row],[Account]],Transactions[Date],"="&amp;Transactions[[#This Row],[Date]],Transactions[Symbol],"="&amp;Transactions[[#This Row],[Symbol]],Transactions[TransID],"&lt;="&amp;Transactions[[#This Row],[TransID]])</f>
        <v>0</v>
      </c>
      <c r="R1894" s="41">
        <f>ROW()</f>
        <v>1894</v>
      </c>
      <c r="S1894" s="29">
        <f>IF(INDEX(TransTypes[],Transactions[[#This Row],[TTR]],TT_COL_BookValueSign)=0,0,
   IF(INDEX(TransTypes[],Transactions[[#This Row],[TTR]],TT_COL_BookValueSign)=1,
        IF( INDEX(TransTypes[],Transactions[[#This Row],[TTR]],TT_COL_IgnoreQty)=1,
            Transactions[[#This Row],[Amount]],
            (Transactions[[#This Row],[QtyChange]]/ABS(Transactions[[#This Row],[QtyChange]]))*Transactions[[#This Row],[Amount]]
         ),
        IF( INDEX(TransTypes[], Transactions[[#This Row],[TTR]], TT_COL_ReturnOfCaptialFlag)=1, Transactions[[#This Row],[Amount]]*-1,
            ((SUMIFS(Transactions[CostImpact],Transactions[Account],"="&amp;Transactions[[#This Row],[Account]],Transactions[Date],"&lt;"&amp;Transactions[[#This Row],[Date]],Transactions[Symbol],"="&amp;Transactions[[#This Row],[Symbol]])+
                    SUMIFS(Transactions[CostImpact],Transactions[Account],"="&amp;Transactions[[#This Row],[Account]],Transactions[Date],"="&amp;Transactions[[#This Row],[Date]],Transactions[Symbol],"="&amp;Transactions[[#This Row],[Symbol]],Transactions[TransID],"&lt;"&amp;Transactions[[#This Row],[TransID]]))/Transactions[[#This Row],[QHBC]])*Transactions[[#This Row],[QtyChange]]
        )
   )
)</f>
        <v>0</v>
      </c>
      <c r="T1894" s="34">
        <f>SUMIFS(Transactions[CostImpact],Transactions[Account],"="&amp;Transactions[[#This Row],[Account]],Transactions[Date],"&lt;"&amp;Transactions[[#This Row],[Date]],Transactions[Symbol],"="&amp;Transactions[[#This Row],[Symbol]]) +
       SUMIFS(Transactions[CostImpact],Transactions[Account],"="&amp;Transactions[[#This Row],[Account]],Transactions[Date],"="&amp;Transactions[[#This Row],[Date]],Transactions[Symbol],"="&amp;Transactions[[#This Row],[Symbol]],Transactions[TransID],"&lt;="&amp;Transactions[[#This Row],[TransID]])</f>
        <v>0</v>
      </c>
      <c r="U1894" s="276">
        <f xml:space="preserve"> IF(INDEX(TransTypes[],Transactions[[#This Row],[TTR]],TT_COL_BookValueSign)=-1,
          SUMIFS(Transactions[QtyChange],Transactions[Account],Transactions[[#This Row],[Account]],Transactions[Symbol],Transactions[[#This Row],[Symbol]],Transactions[Date],"&lt;"&amp;Transactions[[#This Row],[Date]])+
                    SUMIFS(Transactions[QtyChange],Transactions[Account],Transactions[[#This Row],[Account]],Transactions[Symbol],Transactions[[#This Row],[Symbol]],Transactions[Date],Transactions[[#This Row],[Date]],Transactions[TransID],"&lt;"&amp;Transactions[[#This Row],[TransID]]),
          SUMIFS(Transactions[QtyChange],Transactions[Account],Transactions[[#This Row],[Account]],Transactions[Symbol],Transactions[[#This Row],[Symbol]],Transactions[Date],"&lt;="&amp;Transactions[[#This Row],[Date]],Transactions[TransID],"&lt;="&amp;Transactions[[#This Row],[TransID]])
      )</f>
        <v>0</v>
      </c>
      <c r="V1894" s="277">
        <f>IF(INDEX(TransTypes[],Transactions[[#This Row],[TTR]],TT_COL_GLFlag)=1,Transactions[[#This Row],[CalCashImpact]]+Transactions[[#This Row],[CostImpact]],0)</f>
        <v>0</v>
      </c>
      <c r="W1894" s="278">
        <f>Transactions[[#This Row],[Amount]]*INDEX(TransTypes[],Transactions[[#This Row],[TTR]],TT_COL_AmntSign)</f>
        <v>-1.1200000000000001</v>
      </c>
      <c r="X1894" s="278">
        <f>IF(INDEX(TransTypes[],Transactions[[#This Row],[TTR]],TT_COL_LONGORSHORT)="S",
      IF( OR(INDEX(TransTypes[],Transactions[[#This Row],[TTR]],TT_COL_GLFlag)=1, INDEX(TransTypes[], Transactions[[#This Row],[TTR]], TT_COL_ShareTransferFlag)=1),
            Transactions[[#This Row],[CostImpact]]*-1,
            Transactions[[#This Row],[CalCashImpact]]
      ),
     0
)</f>
        <v>0</v>
      </c>
      <c r="Y1894" s="279" t="str">
        <f>VLOOKUP(Transactions[[#This Row],[Symbol]],Symbols[], COLUMN(Symbols[Currency])-COLUMN(Symbols[])+1,FALSE)</f>
        <v>USD</v>
      </c>
    </row>
  </sheetData>
  <conditionalFormatting sqref="C2:C1894">
    <cfRule type="expression" dxfId="91" priority="52">
      <formula>AND(VLOOKUP(C2,INDIRECT("transtypes"),3,FALSE)="S",VLOOKUP(C2,INDIRECT("Transtypes"),11,FALSE)="O",Q2&gt;P2)</formula>
    </cfRule>
    <cfRule type="expression" dxfId="90" priority="53">
      <formula>AND(VLOOKUP(C2,INDIRECT("transtypes"),3,FALSE)="L",VLOOKUP(C2,INDIRECT("Transtypes"),11,FALSE)="O",Q2&lt;P2)</formula>
    </cfRule>
    <cfRule type="expression" dxfId="89" priority="54">
      <formula>AND(VLOOKUP(C2,INDIRECT("transtypes"),3,FALSE)="S",VLOOKUP(C2,INDIRECT("Transtypes"),11,FALSE)="C",Q2&gt;0)</formula>
    </cfRule>
    <cfRule type="expression" dxfId="88" priority="55">
      <formula>AND(VLOOKUP(C2,INDIRECT("transtypes"),3,FALSE)="L",VLOOKUP(C2,INDIRECT("Transtypes"),11,FALSE)="C",Q2&lt;0)</formula>
    </cfRule>
  </conditionalFormatting>
  <conditionalFormatting sqref="D2:D1894">
    <cfRule type="cellIs" dxfId="87" priority="40" operator="equal">
      <formula>"system"</formula>
    </cfRule>
  </conditionalFormatting>
  <conditionalFormatting sqref="J2:J1894">
    <cfRule type="expression" dxfId="86" priority="132">
      <formula>AND(VLOOKUP(C2,INDIRECT("TransTypes"),5,FALSE)=0,ROUND(J2,2)&lt;&gt;ROUND(F2*G2*VLOOKUP(E2,INDIRECT("Symbols"),4,FALSE)+IF(VLOOKUP(C2,INDIRECT("TransTypes"),13,FALSE)=1,0,VLOOKUP(C2,INDIRECT("TransTypes"),6,FALSE))*H2,2))</formula>
    </cfRule>
  </conditionalFormatting>
  <conditionalFormatting sqref="F2:F1894">
    <cfRule type="expression" dxfId="85" priority="57">
      <formula>VLOOKUP(C2,INDIRECT("TransTypes"),TT_COL_IgnoreQty,FALSE)</formula>
    </cfRule>
  </conditionalFormatting>
  <conditionalFormatting sqref="E2:E1894">
    <cfRule type="expression" dxfId="84" priority="67">
      <formula>LEFT(E2,1)="*"</formula>
    </cfRule>
    <cfRule type="expression" dxfId="83" priority="7">
      <formula>OR(ISBLANK(E2),COUNTIF(INDIRECT("Symbols[symbol]"),E2)=0)</formula>
    </cfRule>
  </conditionalFormatting>
  <conditionalFormatting sqref="A2:A1894">
    <cfRule type="expression" dxfId="82" priority="4">
      <formula>OR(ISBLANK(A2),COUNTIF(INDIRECT("Accounts[AccountName]"),A2)=0)</formula>
    </cfRule>
  </conditionalFormatting>
  <conditionalFormatting sqref="B2:B1894">
    <cfRule type="expression" dxfId="81" priority="3">
      <formula>ISBLANK(B2)</formula>
    </cfRule>
  </conditionalFormatting>
  <conditionalFormatting sqref="G2:G1894">
    <cfRule type="expression" dxfId="80" priority="2">
      <formula>VLOOKUP(C2,INDIRECT("Transtypes"),TT_COL_IGNOREPRICE,FALSE)=1</formula>
    </cfRule>
  </conditionalFormatting>
  <conditionalFormatting sqref="H2:H1894">
    <cfRule type="expression" dxfId="79" priority="1">
      <formula>VLOOKUP(C2,INDIRECT("Transtypes"),TT_COL_FeeSign,FALSE)=0</formula>
    </cfRule>
  </conditionalFormatting>
  <dataValidations count="3">
    <dataValidation type="list" allowBlank="1" showInputMessage="1" showErrorMessage="1" sqref="A2:A1894" xr:uid="{00000000-0002-0000-0000-000000000000}">
      <formula1>ACCOUNTLIST</formula1>
    </dataValidation>
    <dataValidation type="list" allowBlank="1" showInputMessage="1" showErrorMessage="1" sqref="C2:C1894" xr:uid="{00000000-0002-0000-0000-000001000000}">
      <formula1>TRANSTYPELIST</formula1>
    </dataValidation>
    <dataValidation type="list" allowBlank="1" showInputMessage="1" showErrorMessage="1" sqref="E2:E1894" xr:uid="{00000000-0002-0000-0000-000002000000}">
      <formula1>SYMBOLLIST</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date" operator="greaterThanOrEqual" showInputMessage="1" showErrorMessage="1" promptTitle="Transaction Date" prompt="Can not early than MinDate( in MiscSettings Table)" xr:uid="{9A752548-A7D6-4EC3-885D-156F28B6688E}">
          <x14:formula1>
            <xm:f>Settings!E2</xm:f>
          </x14:formula1>
          <xm:sqref>B2:B1894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77"/>
  <sheetViews>
    <sheetView workbookViewId="0">
      <pane xSplit="1" topLeftCell="E1" activePane="topRight" state="frozen"/>
      <selection activeCell="A2" sqref="A2"/>
      <selection pane="topRight" activeCell="A169" sqref="A169"/>
    </sheetView>
  </sheetViews>
  <sheetFormatPr defaultColWidth="11" defaultRowHeight="14.25"/>
  <cols>
    <col min="1" max="1" width="22" style="8" customWidth="1"/>
    <col min="2" max="2" width="19.8125" style="7" customWidth="1"/>
    <col min="3" max="3" width="10.6875" style="7" customWidth="1"/>
    <col min="4" max="4" width="13.125" style="7" customWidth="1"/>
    <col min="5" max="5" width="10.6875" style="7" customWidth="1"/>
    <col min="6" max="6" width="11.3125" style="7" customWidth="1"/>
    <col min="7" max="7" width="11" style="7"/>
    <col min="8" max="8" width="15.1875" style="7" customWidth="1"/>
    <col min="9" max="9" width="11.3125" style="7" customWidth="1"/>
    <col min="10" max="10" width="13.8125" style="7" customWidth="1"/>
    <col min="11" max="11" width="10.4375" style="7" customWidth="1"/>
    <col min="12" max="12" width="14.6875" style="7" customWidth="1"/>
    <col min="13" max="13" width="11" style="7" customWidth="1"/>
    <col min="14" max="14" width="11" style="7"/>
    <col min="15" max="15" width="11.3125" style="9" customWidth="1"/>
    <col min="16" max="16" width="10" style="7" customWidth="1"/>
    <col min="17" max="17" width="8.3125" style="7" customWidth="1"/>
    <col min="18" max="16384" width="11" style="7"/>
  </cols>
  <sheetData>
    <row r="1" spans="1:19">
      <c r="A1" s="8" t="s">
        <v>0</v>
      </c>
      <c r="B1" s="7" t="s">
        <v>1</v>
      </c>
      <c r="C1" s="7" t="s">
        <v>37</v>
      </c>
      <c r="D1" s="53" t="s">
        <v>31</v>
      </c>
      <c r="E1" s="19" t="s">
        <v>201</v>
      </c>
      <c r="F1" s="19" t="s">
        <v>202</v>
      </c>
      <c r="G1" s="7" t="s">
        <v>2</v>
      </c>
      <c r="H1" s="7" t="s">
        <v>3</v>
      </c>
      <c r="I1" s="7" t="s">
        <v>4</v>
      </c>
      <c r="J1" s="7" t="s">
        <v>5</v>
      </c>
      <c r="K1" s="186" t="s">
        <v>864</v>
      </c>
      <c r="L1" s="7" t="s">
        <v>6</v>
      </c>
      <c r="M1" s="7" t="s">
        <v>13</v>
      </c>
      <c r="N1" s="7" t="s">
        <v>14</v>
      </c>
      <c r="O1" s="7" t="s">
        <v>25</v>
      </c>
      <c r="P1" s="7" t="s">
        <v>45</v>
      </c>
      <c r="Q1" s="9" t="s">
        <v>53</v>
      </c>
      <c r="R1" s="7" t="s">
        <v>46</v>
      </c>
      <c r="S1" s="7" t="s">
        <v>47</v>
      </c>
    </row>
    <row r="2" spans="1:19">
      <c r="A2" s="43" t="s">
        <v>208</v>
      </c>
      <c r="B2" s="22" t="s">
        <v>55</v>
      </c>
      <c r="C2" s="22" t="s">
        <v>38</v>
      </c>
      <c r="D2" s="22">
        <v>1</v>
      </c>
      <c r="E2" s="22"/>
      <c r="F2" s="137"/>
      <c r="G2" s="22" t="s">
        <v>55</v>
      </c>
      <c r="H2" s="46" t="s">
        <v>55</v>
      </c>
      <c r="I2" s="22"/>
      <c r="J2" s="22"/>
      <c r="K2" s="22">
        <v>1</v>
      </c>
      <c r="L2" s="22"/>
      <c r="M2" s="22"/>
      <c r="N2" s="22"/>
      <c r="O2" s="22"/>
      <c r="P2" s="73"/>
      <c r="Q2" s="72"/>
      <c r="R2" s="22"/>
      <c r="S2" s="22"/>
    </row>
    <row r="3" spans="1:19">
      <c r="A3" s="69" t="s">
        <v>209</v>
      </c>
      <c r="B3" s="70" t="s">
        <v>55</v>
      </c>
      <c r="C3" s="70" t="s">
        <v>56</v>
      </c>
      <c r="D3" s="70">
        <v>1</v>
      </c>
      <c r="E3" s="70"/>
      <c r="F3" s="70"/>
      <c r="G3" s="70" t="s">
        <v>55</v>
      </c>
      <c r="H3" s="70" t="s">
        <v>55</v>
      </c>
      <c r="I3" s="70"/>
      <c r="J3" s="70"/>
      <c r="K3" s="70">
        <v>1</v>
      </c>
      <c r="L3" s="70"/>
      <c r="M3" s="70"/>
      <c r="N3" s="70"/>
      <c r="O3" s="70"/>
      <c r="P3" s="74"/>
      <c r="Q3" s="71"/>
      <c r="R3" s="70"/>
      <c r="S3" s="70"/>
    </row>
    <row r="4" spans="1:19">
      <c r="A4" s="69" t="s">
        <v>210</v>
      </c>
      <c r="B4" s="70" t="s">
        <v>55</v>
      </c>
      <c r="C4" s="70" t="s">
        <v>39</v>
      </c>
      <c r="D4" s="70">
        <v>1</v>
      </c>
      <c r="E4" s="70"/>
      <c r="F4" s="70"/>
      <c r="G4" s="70" t="s">
        <v>55</v>
      </c>
      <c r="H4" s="70" t="s">
        <v>55</v>
      </c>
      <c r="I4" s="70"/>
      <c r="J4" s="70"/>
      <c r="K4" s="70">
        <v>1</v>
      </c>
      <c r="L4" s="70"/>
      <c r="M4" s="70"/>
      <c r="N4" s="70"/>
      <c r="O4" s="70"/>
      <c r="P4" s="74"/>
      <c r="Q4" s="71"/>
      <c r="R4" s="70"/>
      <c r="S4" s="70"/>
    </row>
    <row r="5" spans="1:19">
      <c r="A5" s="69" t="s">
        <v>211</v>
      </c>
      <c r="B5" s="70" t="s">
        <v>55</v>
      </c>
      <c r="C5" s="70" t="s">
        <v>57</v>
      </c>
      <c r="D5" s="70">
        <v>1</v>
      </c>
      <c r="E5" s="70"/>
      <c r="F5" s="70"/>
      <c r="G5" s="70" t="s">
        <v>55</v>
      </c>
      <c r="H5" s="70" t="s">
        <v>55</v>
      </c>
      <c r="I5" s="70"/>
      <c r="J5" s="70"/>
      <c r="K5" s="70">
        <v>1</v>
      </c>
      <c r="L5" s="70"/>
      <c r="M5" s="70"/>
      <c r="N5" s="70"/>
      <c r="O5" s="70"/>
      <c r="P5" s="74"/>
      <c r="Q5" s="71"/>
      <c r="R5" s="70"/>
      <c r="S5" s="70"/>
    </row>
    <row r="6" spans="1:19">
      <c r="A6" s="69" t="s">
        <v>242</v>
      </c>
      <c r="B6" s="70" t="s">
        <v>243</v>
      </c>
      <c r="C6" s="70" t="s">
        <v>38</v>
      </c>
      <c r="D6" s="70">
        <v>1</v>
      </c>
      <c r="E6" s="259" t="s">
        <v>924</v>
      </c>
      <c r="F6" s="259" t="s">
        <v>980</v>
      </c>
      <c r="G6" s="70" t="s">
        <v>244</v>
      </c>
      <c r="H6" s="70"/>
      <c r="I6" s="70"/>
      <c r="J6" s="70" t="s">
        <v>247</v>
      </c>
      <c r="K6" s="70">
        <v>1</v>
      </c>
      <c r="L6" s="280" t="s">
        <v>1002</v>
      </c>
      <c r="M6" s="70" t="s">
        <v>15</v>
      </c>
      <c r="N6" s="70"/>
      <c r="O6" s="70"/>
      <c r="P6" s="74"/>
      <c r="Q6" s="71"/>
      <c r="R6" s="70"/>
      <c r="S6" s="70"/>
    </row>
    <row r="7" spans="1:19">
      <c r="A7" s="69" t="s">
        <v>245</v>
      </c>
      <c r="B7" s="70" t="s">
        <v>246</v>
      </c>
      <c r="C7" s="70" t="s">
        <v>56</v>
      </c>
      <c r="D7" s="70">
        <v>1</v>
      </c>
      <c r="E7" s="259" t="s">
        <v>924</v>
      </c>
      <c r="F7" s="259" t="s">
        <v>981</v>
      </c>
      <c r="G7" s="70" t="s">
        <v>244</v>
      </c>
      <c r="H7" s="70"/>
      <c r="I7" s="70"/>
      <c r="J7" s="70" t="s">
        <v>165</v>
      </c>
      <c r="K7" s="70">
        <v>1</v>
      </c>
      <c r="L7" s="70" t="s">
        <v>1002</v>
      </c>
      <c r="M7" s="70" t="s">
        <v>166</v>
      </c>
      <c r="N7" s="70"/>
      <c r="O7" s="70"/>
      <c r="P7" s="74"/>
      <c r="Q7" s="71"/>
      <c r="R7" s="70"/>
      <c r="S7" s="70"/>
    </row>
    <row r="8" spans="1:19">
      <c r="A8" s="69" t="s">
        <v>248</v>
      </c>
      <c r="B8" s="70" t="s">
        <v>249</v>
      </c>
      <c r="C8" s="70" t="s">
        <v>38</v>
      </c>
      <c r="D8" s="70">
        <v>1</v>
      </c>
      <c r="E8" s="259" t="s">
        <v>924</v>
      </c>
      <c r="F8" s="259" t="s">
        <v>982</v>
      </c>
      <c r="G8" s="70" t="s">
        <v>244</v>
      </c>
      <c r="H8" s="70"/>
      <c r="I8" s="70"/>
      <c r="J8" s="70" t="s">
        <v>12</v>
      </c>
      <c r="K8" s="70">
        <v>1</v>
      </c>
      <c r="L8" s="70" t="s">
        <v>1002</v>
      </c>
      <c r="M8" s="70" t="s">
        <v>15</v>
      </c>
      <c r="N8" s="70"/>
      <c r="O8" s="70"/>
      <c r="P8" s="74"/>
      <c r="Q8" s="71"/>
      <c r="R8" s="70"/>
      <c r="S8" s="70"/>
    </row>
    <row r="9" spans="1:19">
      <c r="A9" s="237" t="s">
        <v>884</v>
      </c>
      <c r="B9" s="238" t="s">
        <v>885</v>
      </c>
      <c r="C9" s="238" t="s">
        <v>57</v>
      </c>
      <c r="D9" s="238">
        <v>1</v>
      </c>
      <c r="E9" s="280" t="s">
        <v>1000</v>
      </c>
      <c r="F9" s="281" t="s">
        <v>1001</v>
      </c>
      <c r="G9" s="238" t="s">
        <v>244</v>
      </c>
      <c r="H9" s="238"/>
      <c r="I9" s="238"/>
      <c r="J9" s="238" t="s">
        <v>194</v>
      </c>
      <c r="K9" s="238">
        <v>1</v>
      </c>
      <c r="L9" s="238" t="s">
        <v>42</v>
      </c>
      <c r="M9" s="238" t="s">
        <v>43</v>
      </c>
      <c r="N9" s="238"/>
      <c r="O9" s="238"/>
      <c r="P9" s="239"/>
      <c r="Q9" s="240"/>
      <c r="R9" s="238"/>
      <c r="S9" s="238"/>
    </row>
    <row r="10" spans="1:19">
      <c r="A10" s="69" t="s">
        <v>7</v>
      </c>
      <c r="B10" s="70" t="s">
        <v>8</v>
      </c>
      <c r="C10" s="70" t="s">
        <v>38</v>
      </c>
      <c r="D10" s="70">
        <v>1</v>
      </c>
      <c r="E10" s="256" t="s">
        <v>924</v>
      </c>
      <c r="F10" s="255" t="s">
        <v>892</v>
      </c>
      <c r="G10" s="70" t="s">
        <v>9</v>
      </c>
      <c r="H10" s="70" t="s">
        <v>10</v>
      </c>
      <c r="I10" s="70" t="s">
        <v>11</v>
      </c>
      <c r="J10" s="70" t="s">
        <v>12</v>
      </c>
      <c r="K10" s="70">
        <v>1</v>
      </c>
      <c r="L10" s="70" t="s">
        <v>1002</v>
      </c>
      <c r="M10" s="70" t="s">
        <v>15</v>
      </c>
      <c r="N10" s="70"/>
      <c r="O10" s="70"/>
      <c r="P10" s="74"/>
      <c r="Q10" s="71"/>
      <c r="R10" s="70"/>
      <c r="S10" s="70"/>
    </row>
    <row r="11" spans="1:19">
      <c r="A11" s="69" t="s">
        <v>16</v>
      </c>
      <c r="B11" s="70" t="s">
        <v>17</v>
      </c>
      <c r="C11" s="70" t="s">
        <v>38</v>
      </c>
      <c r="D11" s="70">
        <v>1</v>
      </c>
      <c r="E11" s="256" t="s">
        <v>924</v>
      </c>
      <c r="F11" s="255" t="s">
        <v>893</v>
      </c>
      <c r="G11" s="70" t="s">
        <v>18</v>
      </c>
      <c r="H11" s="70" t="s">
        <v>228</v>
      </c>
      <c r="I11" s="70" t="s">
        <v>216</v>
      </c>
      <c r="J11" s="70" t="s">
        <v>19</v>
      </c>
      <c r="K11" s="70">
        <v>1</v>
      </c>
      <c r="L11" s="70" t="s">
        <v>1002</v>
      </c>
      <c r="M11" s="70" t="s">
        <v>15</v>
      </c>
      <c r="N11" s="70"/>
      <c r="O11" s="70"/>
      <c r="P11" s="74"/>
      <c r="Q11" s="71"/>
      <c r="R11" s="70"/>
      <c r="S11" s="70"/>
    </row>
    <row r="12" spans="1:19">
      <c r="A12" s="69" t="s">
        <v>20</v>
      </c>
      <c r="B12" s="70" t="s">
        <v>21</v>
      </c>
      <c r="C12" s="70" t="s">
        <v>38</v>
      </c>
      <c r="D12" s="70">
        <v>1</v>
      </c>
      <c r="E12" s="256" t="s">
        <v>924</v>
      </c>
      <c r="F12" s="255" t="s">
        <v>894</v>
      </c>
      <c r="G12" s="70" t="s">
        <v>18</v>
      </c>
      <c r="H12" s="70" t="s">
        <v>23</v>
      </c>
      <c r="I12" s="70" t="s">
        <v>24</v>
      </c>
      <c r="J12" s="70" t="s">
        <v>12</v>
      </c>
      <c r="K12" s="70">
        <v>1</v>
      </c>
      <c r="L12" s="70" t="s">
        <v>1002</v>
      </c>
      <c r="M12" s="70" t="s">
        <v>15</v>
      </c>
      <c r="N12" s="70"/>
      <c r="O12" s="70" t="s">
        <v>26</v>
      </c>
      <c r="P12" s="74"/>
      <c r="Q12" s="71"/>
      <c r="R12" s="70"/>
      <c r="S12" s="70"/>
    </row>
    <row r="13" spans="1:19">
      <c r="A13" s="69" t="s">
        <v>27</v>
      </c>
      <c r="B13" s="70" t="s">
        <v>28</v>
      </c>
      <c r="C13" s="70" t="s">
        <v>38</v>
      </c>
      <c r="D13" s="70">
        <v>1</v>
      </c>
      <c r="E13" s="256" t="s">
        <v>924</v>
      </c>
      <c r="F13" s="255" t="s">
        <v>895</v>
      </c>
      <c r="G13" s="70" t="s">
        <v>18</v>
      </c>
      <c r="H13" s="70" t="s">
        <v>29</v>
      </c>
      <c r="I13" s="70"/>
      <c r="J13" s="96" t="s">
        <v>19</v>
      </c>
      <c r="K13" s="96">
        <v>1</v>
      </c>
      <c r="L13" s="70" t="s">
        <v>1002</v>
      </c>
      <c r="M13" s="70" t="s">
        <v>15</v>
      </c>
      <c r="N13" s="70"/>
      <c r="O13" s="70"/>
      <c r="P13" s="74"/>
      <c r="Q13" s="71"/>
      <c r="R13" s="70"/>
      <c r="S13" s="70"/>
    </row>
    <row r="14" spans="1:19">
      <c r="A14" s="69" t="s">
        <v>32</v>
      </c>
      <c r="B14" s="70" t="s">
        <v>33</v>
      </c>
      <c r="C14" s="70" t="s">
        <v>38</v>
      </c>
      <c r="D14" s="70">
        <v>1</v>
      </c>
      <c r="E14" s="256" t="s">
        <v>924</v>
      </c>
      <c r="F14" s="255" t="s">
        <v>896</v>
      </c>
      <c r="G14" s="70" t="s">
        <v>18</v>
      </c>
      <c r="H14" s="70" t="s">
        <v>35</v>
      </c>
      <c r="I14" s="70" t="s">
        <v>34</v>
      </c>
      <c r="J14" s="70" t="s">
        <v>19</v>
      </c>
      <c r="K14" s="70">
        <v>1</v>
      </c>
      <c r="L14" s="70" t="s">
        <v>1002</v>
      </c>
      <c r="M14" s="70" t="s">
        <v>15</v>
      </c>
      <c r="N14" s="70"/>
      <c r="O14" s="70"/>
      <c r="P14" s="74"/>
      <c r="Q14" s="71"/>
      <c r="R14" s="70"/>
      <c r="S14" s="70"/>
    </row>
    <row r="15" spans="1:19">
      <c r="A15" s="69" t="s">
        <v>199</v>
      </c>
      <c r="B15" s="70" t="s">
        <v>36</v>
      </c>
      <c r="C15" s="70" t="s">
        <v>39</v>
      </c>
      <c r="D15" s="70">
        <v>1</v>
      </c>
      <c r="E15" s="256" t="s">
        <v>924</v>
      </c>
      <c r="F15" s="258" t="s">
        <v>199</v>
      </c>
      <c r="G15" s="70" t="s">
        <v>9</v>
      </c>
      <c r="H15" s="70" t="s">
        <v>10</v>
      </c>
      <c r="I15" s="70" t="s">
        <v>40</v>
      </c>
      <c r="J15" s="70" t="s">
        <v>41</v>
      </c>
      <c r="K15" s="70">
        <v>1</v>
      </c>
      <c r="L15" s="70" t="s">
        <v>42</v>
      </c>
      <c r="M15" s="70" t="s">
        <v>43</v>
      </c>
      <c r="N15" s="70"/>
      <c r="O15" s="70"/>
      <c r="P15" s="74"/>
      <c r="Q15" s="71"/>
      <c r="R15" s="70"/>
      <c r="S15" s="70"/>
    </row>
    <row r="16" spans="1:19">
      <c r="A16" s="97" t="s">
        <v>501</v>
      </c>
      <c r="B16" s="96" t="s">
        <v>501</v>
      </c>
      <c r="C16" s="70" t="s">
        <v>38</v>
      </c>
      <c r="D16" s="70">
        <v>100</v>
      </c>
      <c r="E16" s="70"/>
      <c r="F16" s="70"/>
      <c r="G16" s="70" t="s">
        <v>44</v>
      </c>
      <c r="H16" s="70"/>
      <c r="I16" s="70"/>
      <c r="J16" s="96" t="s">
        <v>52</v>
      </c>
      <c r="K16" s="96">
        <v>0</v>
      </c>
      <c r="L16" s="70" t="s">
        <v>1002</v>
      </c>
      <c r="M16" s="70" t="s">
        <v>15</v>
      </c>
      <c r="N16" s="70"/>
      <c r="O16" s="70"/>
      <c r="P16" s="74">
        <v>43068</v>
      </c>
      <c r="Q16" s="71">
        <v>43068</v>
      </c>
      <c r="R16" s="70" t="s">
        <v>48</v>
      </c>
      <c r="S16" s="70">
        <v>260</v>
      </c>
    </row>
    <row r="17" spans="1:19">
      <c r="A17" s="69" t="s">
        <v>49</v>
      </c>
      <c r="B17" s="70" t="s">
        <v>50</v>
      </c>
      <c r="C17" s="70" t="s">
        <v>38</v>
      </c>
      <c r="D17" s="70">
        <v>20</v>
      </c>
      <c r="E17" s="70"/>
      <c r="F17" s="70"/>
      <c r="G17" s="70" t="s">
        <v>51</v>
      </c>
      <c r="H17" s="70" t="s">
        <v>51</v>
      </c>
      <c r="I17" s="70"/>
      <c r="J17" s="70" t="s">
        <v>52</v>
      </c>
      <c r="K17" s="70">
        <v>0</v>
      </c>
      <c r="L17" s="70" t="s">
        <v>1002</v>
      </c>
      <c r="M17" s="70" t="s">
        <v>15</v>
      </c>
      <c r="N17" s="70"/>
      <c r="O17" s="70"/>
      <c r="P17" s="74">
        <v>43084</v>
      </c>
      <c r="Q17" s="71">
        <v>43070</v>
      </c>
      <c r="R17" s="70"/>
      <c r="S17" s="70"/>
    </row>
    <row r="18" spans="1:19">
      <c r="A18" s="207" t="s">
        <v>870</v>
      </c>
      <c r="B18" s="208" t="s">
        <v>871</v>
      </c>
      <c r="C18" s="70" t="s">
        <v>38</v>
      </c>
      <c r="D18" s="70">
        <v>20</v>
      </c>
      <c r="E18" s="70"/>
      <c r="F18" s="70"/>
      <c r="G18" s="70" t="s">
        <v>51</v>
      </c>
      <c r="H18" s="70" t="s">
        <v>51</v>
      </c>
      <c r="I18" s="70"/>
      <c r="J18" s="70" t="s">
        <v>52</v>
      </c>
      <c r="K18" s="70">
        <v>0</v>
      </c>
      <c r="L18" s="70" t="s">
        <v>1002</v>
      </c>
      <c r="M18" s="70" t="s">
        <v>15</v>
      </c>
      <c r="N18" s="70"/>
      <c r="O18" s="70"/>
      <c r="P18" s="74">
        <v>43266</v>
      </c>
      <c r="Q18" s="71">
        <v>43252</v>
      </c>
      <c r="R18" s="70"/>
      <c r="S18" s="70"/>
    </row>
    <row r="19" spans="1:19">
      <c r="A19" s="69" t="s">
        <v>162</v>
      </c>
      <c r="B19" s="70" t="s">
        <v>163</v>
      </c>
      <c r="C19" s="70" t="s">
        <v>56</v>
      </c>
      <c r="D19" s="70">
        <v>1</v>
      </c>
      <c r="E19" s="256" t="s">
        <v>924</v>
      </c>
      <c r="F19" s="70" t="s">
        <v>162</v>
      </c>
      <c r="G19" s="70" t="s">
        <v>9</v>
      </c>
      <c r="H19" s="70" t="s">
        <v>35</v>
      </c>
      <c r="I19" s="70" t="s">
        <v>164</v>
      </c>
      <c r="J19" s="70" t="s">
        <v>165</v>
      </c>
      <c r="K19" s="70">
        <v>0</v>
      </c>
      <c r="L19" s="70" t="s">
        <v>1002</v>
      </c>
      <c r="M19" s="70" t="s">
        <v>166</v>
      </c>
      <c r="N19" s="70"/>
      <c r="O19" s="70"/>
      <c r="P19" s="74"/>
      <c r="Q19" s="71"/>
      <c r="R19" s="70"/>
      <c r="S19" s="70"/>
    </row>
    <row r="20" spans="1:19">
      <c r="A20" s="89" t="s">
        <v>463</v>
      </c>
      <c r="B20" s="70" t="s">
        <v>192</v>
      </c>
      <c r="C20" s="70" t="s">
        <v>57</v>
      </c>
      <c r="D20" s="70">
        <v>1</v>
      </c>
      <c r="E20" s="256" t="s">
        <v>924</v>
      </c>
      <c r="F20" s="256" t="s">
        <v>925</v>
      </c>
      <c r="G20" s="70" t="s">
        <v>193</v>
      </c>
      <c r="H20" s="70" t="s">
        <v>35</v>
      </c>
      <c r="I20" s="70" t="s">
        <v>164</v>
      </c>
      <c r="J20" s="70" t="s">
        <v>194</v>
      </c>
      <c r="K20" s="70">
        <v>0</v>
      </c>
      <c r="L20" s="70" t="s">
        <v>42</v>
      </c>
      <c r="M20" s="70" t="s">
        <v>43</v>
      </c>
      <c r="N20" s="70"/>
      <c r="O20" s="70"/>
      <c r="P20" s="74"/>
      <c r="Q20" s="71"/>
      <c r="R20" s="70"/>
      <c r="S20" s="70"/>
    </row>
    <row r="21" spans="1:19">
      <c r="A21" s="89" t="s">
        <v>464</v>
      </c>
      <c r="B21" s="70" t="s">
        <v>255</v>
      </c>
      <c r="C21" s="70" t="s">
        <v>57</v>
      </c>
      <c r="D21" s="70">
        <v>1</v>
      </c>
      <c r="E21" s="256" t="s">
        <v>924</v>
      </c>
      <c r="F21" s="256" t="s">
        <v>926</v>
      </c>
      <c r="G21" s="70" t="s">
        <v>9</v>
      </c>
      <c r="H21" s="70" t="s">
        <v>220</v>
      </c>
      <c r="I21" s="70" t="s">
        <v>256</v>
      </c>
      <c r="J21" s="70" t="s">
        <v>194</v>
      </c>
      <c r="K21" s="70">
        <v>1</v>
      </c>
      <c r="L21" s="70" t="s">
        <v>42</v>
      </c>
      <c r="M21" s="70" t="s">
        <v>43</v>
      </c>
      <c r="N21" s="70"/>
      <c r="O21" s="70"/>
      <c r="P21" s="74"/>
      <c r="Q21" s="71"/>
      <c r="R21" s="70"/>
      <c r="S21" s="70"/>
    </row>
    <row r="22" spans="1:19">
      <c r="A22" s="89" t="s">
        <v>465</v>
      </c>
      <c r="B22" s="70" t="s">
        <v>257</v>
      </c>
      <c r="C22" s="70" t="s">
        <v>57</v>
      </c>
      <c r="D22" s="70">
        <v>1</v>
      </c>
      <c r="E22" s="256" t="s">
        <v>924</v>
      </c>
      <c r="F22" s="256" t="s">
        <v>927</v>
      </c>
      <c r="G22" s="70" t="s">
        <v>9</v>
      </c>
      <c r="H22" s="70" t="s">
        <v>35</v>
      </c>
      <c r="I22" s="70" t="s">
        <v>164</v>
      </c>
      <c r="J22" s="70" t="s">
        <v>194</v>
      </c>
      <c r="K22" s="70">
        <v>1</v>
      </c>
      <c r="L22" s="70" t="s">
        <v>42</v>
      </c>
      <c r="M22" s="70" t="s">
        <v>43</v>
      </c>
      <c r="N22" s="70"/>
      <c r="O22" s="70"/>
      <c r="P22" s="74"/>
      <c r="Q22" s="71"/>
      <c r="R22" s="70"/>
      <c r="S22" s="70"/>
    </row>
    <row r="23" spans="1:19">
      <c r="A23" s="188" t="s">
        <v>866</v>
      </c>
      <c r="B23" s="189" t="s">
        <v>867</v>
      </c>
      <c r="C23" s="189" t="s">
        <v>56</v>
      </c>
      <c r="D23" s="189">
        <v>1</v>
      </c>
      <c r="E23" s="189"/>
      <c r="F23" s="189"/>
      <c r="G23" s="189" t="s">
        <v>54</v>
      </c>
      <c r="H23" s="189" t="s">
        <v>23</v>
      </c>
      <c r="I23" s="189"/>
      <c r="J23" s="189"/>
      <c r="K23" s="189">
        <v>1</v>
      </c>
      <c r="L23" s="189" t="s">
        <v>1002</v>
      </c>
      <c r="M23" s="189" t="s">
        <v>166</v>
      </c>
      <c r="N23" s="189"/>
      <c r="O23" s="189"/>
      <c r="P23" s="190"/>
      <c r="Q23" s="191"/>
      <c r="R23" s="189"/>
      <c r="S23" s="189"/>
    </row>
    <row r="24" spans="1:19">
      <c r="A24" s="69" t="s">
        <v>258</v>
      </c>
      <c r="B24" s="70" t="s">
        <v>259</v>
      </c>
      <c r="C24" s="70" t="s">
        <v>39</v>
      </c>
      <c r="D24" s="70">
        <v>1</v>
      </c>
      <c r="E24" s="256" t="s">
        <v>924</v>
      </c>
      <c r="F24" s="70" t="s">
        <v>258</v>
      </c>
      <c r="G24" s="70" t="s">
        <v>9</v>
      </c>
      <c r="H24" s="70" t="s">
        <v>35</v>
      </c>
      <c r="I24" s="70" t="s">
        <v>260</v>
      </c>
      <c r="J24" s="70" t="s">
        <v>41</v>
      </c>
      <c r="K24" s="70">
        <v>1</v>
      </c>
      <c r="L24" s="70" t="s">
        <v>42</v>
      </c>
      <c r="M24" s="70" t="s">
        <v>43</v>
      </c>
      <c r="N24" s="70"/>
      <c r="O24" s="70"/>
      <c r="P24" s="74"/>
      <c r="Q24" s="71"/>
      <c r="R24" s="70"/>
      <c r="S24" s="70"/>
    </row>
    <row r="25" spans="1:19">
      <c r="A25" s="69" t="s">
        <v>261</v>
      </c>
      <c r="B25" s="70" t="s">
        <v>262</v>
      </c>
      <c r="C25" s="70" t="s">
        <v>39</v>
      </c>
      <c r="D25" s="70">
        <v>1</v>
      </c>
      <c r="E25" s="256" t="s">
        <v>924</v>
      </c>
      <c r="F25" s="70" t="s">
        <v>261</v>
      </c>
      <c r="G25" s="70" t="s">
        <v>9</v>
      </c>
      <c r="H25" s="70" t="s">
        <v>35</v>
      </c>
      <c r="I25" s="70" t="s">
        <v>260</v>
      </c>
      <c r="J25" s="70" t="s">
        <v>41</v>
      </c>
      <c r="K25" s="70">
        <v>1</v>
      </c>
      <c r="L25" s="70" t="s">
        <v>42</v>
      </c>
      <c r="M25" s="70" t="s">
        <v>43</v>
      </c>
      <c r="N25" s="70"/>
      <c r="O25" s="70"/>
      <c r="P25" s="74"/>
      <c r="Q25" s="71"/>
      <c r="R25" s="70"/>
      <c r="S25" s="70"/>
    </row>
    <row r="26" spans="1:19">
      <c r="A26" s="69" t="s">
        <v>263</v>
      </c>
      <c r="B26" s="70" t="s">
        <v>264</v>
      </c>
      <c r="C26" s="70" t="s">
        <v>39</v>
      </c>
      <c r="D26" s="70">
        <v>1</v>
      </c>
      <c r="E26" s="256" t="s">
        <v>924</v>
      </c>
      <c r="F26" s="70" t="s">
        <v>263</v>
      </c>
      <c r="G26" s="70" t="s">
        <v>9</v>
      </c>
      <c r="H26" s="70" t="s">
        <v>35</v>
      </c>
      <c r="I26" s="70" t="s">
        <v>265</v>
      </c>
      <c r="J26" s="70" t="s">
        <v>41</v>
      </c>
      <c r="K26" s="70">
        <v>1</v>
      </c>
      <c r="L26" s="70" t="s">
        <v>42</v>
      </c>
      <c r="M26" s="70" t="s">
        <v>43</v>
      </c>
      <c r="N26" s="70"/>
      <c r="O26" s="70"/>
      <c r="P26" s="74"/>
      <c r="Q26" s="71"/>
      <c r="R26" s="70"/>
      <c r="S26" s="70"/>
    </row>
    <row r="27" spans="1:19">
      <c r="A27" s="69" t="s">
        <v>266</v>
      </c>
      <c r="B27" s="70" t="s">
        <v>267</v>
      </c>
      <c r="C27" s="70" t="s">
        <v>39</v>
      </c>
      <c r="D27" s="70">
        <v>1</v>
      </c>
      <c r="E27" s="256" t="s">
        <v>924</v>
      </c>
      <c r="F27" s="70" t="s">
        <v>266</v>
      </c>
      <c r="G27" s="70" t="s">
        <v>9</v>
      </c>
      <c r="H27" s="70" t="s">
        <v>35</v>
      </c>
      <c r="I27" s="70" t="s">
        <v>265</v>
      </c>
      <c r="J27" s="70" t="s">
        <v>41</v>
      </c>
      <c r="K27" s="70">
        <v>1</v>
      </c>
      <c r="L27" s="70" t="s">
        <v>42</v>
      </c>
      <c r="M27" s="70" t="s">
        <v>43</v>
      </c>
      <c r="N27" s="70"/>
      <c r="O27" s="70"/>
      <c r="P27" s="74"/>
      <c r="Q27" s="71"/>
      <c r="R27" s="70"/>
      <c r="S27" s="70"/>
    </row>
    <row r="28" spans="1:19">
      <c r="A28" s="69" t="s">
        <v>268</v>
      </c>
      <c r="B28" s="70" t="s">
        <v>269</v>
      </c>
      <c r="C28" s="70" t="s">
        <v>39</v>
      </c>
      <c r="D28" s="70">
        <v>1</v>
      </c>
      <c r="E28" s="256" t="s">
        <v>924</v>
      </c>
      <c r="F28" s="70" t="s">
        <v>268</v>
      </c>
      <c r="G28" s="70" t="s">
        <v>9</v>
      </c>
      <c r="H28" s="70" t="s">
        <v>35</v>
      </c>
      <c r="I28" s="70" t="s">
        <v>260</v>
      </c>
      <c r="J28" s="70" t="s">
        <v>41</v>
      </c>
      <c r="K28" s="70">
        <v>1</v>
      </c>
      <c r="L28" s="70" t="s">
        <v>42</v>
      </c>
      <c r="M28" s="70" t="s">
        <v>43</v>
      </c>
      <c r="N28" s="70"/>
      <c r="O28" s="70"/>
      <c r="P28" s="74"/>
      <c r="Q28" s="71"/>
      <c r="R28" s="70"/>
      <c r="S28" s="70"/>
    </row>
    <row r="29" spans="1:19">
      <c r="A29" s="69" t="s">
        <v>270</v>
      </c>
      <c r="B29" s="70" t="s">
        <v>271</v>
      </c>
      <c r="C29" s="70" t="s">
        <v>39</v>
      </c>
      <c r="D29" s="70">
        <v>1</v>
      </c>
      <c r="E29" s="256" t="s">
        <v>924</v>
      </c>
      <c r="F29" s="256" t="s">
        <v>270</v>
      </c>
      <c r="G29" s="70" t="s">
        <v>9</v>
      </c>
      <c r="H29" s="70" t="s">
        <v>223</v>
      </c>
      <c r="I29" s="70" t="s">
        <v>272</v>
      </c>
      <c r="J29" s="70" t="s">
        <v>41</v>
      </c>
      <c r="K29" s="70">
        <v>1</v>
      </c>
      <c r="L29" s="70" t="s">
        <v>42</v>
      </c>
      <c r="M29" s="70" t="s">
        <v>43</v>
      </c>
      <c r="N29" s="70"/>
      <c r="O29" s="70"/>
      <c r="P29" s="74"/>
      <c r="Q29" s="71"/>
      <c r="R29" s="70"/>
      <c r="S29" s="70"/>
    </row>
    <row r="30" spans="1:19">
      <c r="A30" s="69" t="s">
        <v>273</v>
      </c>
      <c r="B30" s="70" t="s">
        <v>274</v>
      </c>
      <c r="C30" s="70" t="s">
        <v>39</v>
      </c>
      <c r="D30" s="70">
        <v>1</v>
      </c>
      <c r="E30" s="256" t="s">
        <v>924</v>
      </c>
      <c r="F30" s="256" t="s">
        <v>273</v>
      </c>
      <c r="G30" s="70" t="s">
        <v>9</v>
      </c>
      <c r="H30" s="70" t="s">
        <v>35</v>
      </c>
      <c r="I30" s="70" t="s">
        <v>265</v>
      </c>
      <c r="J30" s="70" t="s">
        <v>41</v>
      </c>
      <c r="K30" s="70">
        <v>1</v>
      </c>
      <c r="L30" s="70" t="s">
        <v>42</v>
      </c>
      <c r="M30" s="70" t="s">
        <v>43</v>
      </c>
      <c r="N30" s="70"/>
      <c r="O30" s="70"/>
      <c r="P30" s="74"/>
      <c r="Q30" s="71"/>
      <c r="R30" s="70"/>
      <c r="S30" s="70"/>
    </row>
    <row r="31" spans="1:19">
      <c r="A31" s="69" t="s">
        <v>275</v>
      </c>
      <c r="B31" s="70" t="s">
        <v>276</v>
      </c>
      <c r="C31" s="70" t="s">
        <v>38</v>
      </c>
      <c r="D31" s="70">
        <v>1</v>
      </c>
      <c r="E31" s="256" t="s">
        <v>924</v>
      </c>
      <c r="F31" s="256" t="s">
        <v>897</v>
      </c>
      <c r="G31" s="70" t="s">
        <v>9</v>
      </c>
      <c r="H31" s="70" t="s">
        <v>10</v>
      </c>
      <c r="I31" s="70" t="s">
        <v>277</v>
      </c>
      <c r="J31" s="70" t="s">
        <v>12</v>
      </c>
      <c r="K31" s="70">
        <v>1</v>
      </c>
      <c r="L31" s="70" t="s">
        <v>1002</v>
      </c>
      <c r="M31" s="70" t="s">
        <v>15</v>
      </c>
      <c r="N31" s="70"/>
      <c r="O31" s="70"/>
      <c r="P31" s="74"/>
      <c r="Q31" s="71"/>
      <c r="R31" s="70"/>
      <c r="S31" s="70"/>
    </row>
    <row r="32" spans="1:19">
      <c r="A32" s="69" t="s">
        <v>278</v>
      </c>
      <c r="B32" s="70" t="s">
        <v>279</v>
      </c>
      <c r="C32" s="70" t="s">
        <v>38</v>
      </c>
      <c r="D32" s="70">
        <v>1</v>
      </c>
      <c r="E32" s="256" t="s">
        <v>924</v>
      </c>
      <c r="F32" s="255" t="s">
        <v>898</v>
      </c>
      <c r="G32" s="70" t="s">
        <v>9</v>
      </c>
      <c r="H32" s="70" t="s">
        <v>10</v>
      </c>
      <c r="I32" s="70" t="s">
        <v>280</v>
      </c>
      <c r="J32" s="70" t="s">
        <v>12</v>
      </c>
      <c r="K32" s="70">
        <v>1</v>
      </c>
      <c r="L32" s="70" t="s">
        <v>1002</v>
      </c>
      <c r="M32" s="70" t="s">
        <v>15</v>
      </c>
      <c r="N32" s="70"/>
      <c r="O32" s="70"/>
      <c r="P32" s="74"/>
      <c r="Q32" s="71"/>
      <c r="R32" s="70"/>
      <c r="S32" s="70"/>
    </row>
    <row r="33" spans="1:19">
      <c r="A33" s="69" t="s">
        <v>281</v>
      </c>
      <c r="B33" s="70" t="s">
        <v>282</v>
      </c>
      <c r="C33" s="70" t="s">
        <v>38</v>
      </c>
      <c r="D33" s="70">
        <v>1</v>
      </c>
      <c r="E33" s="256" t="s">
        <v>924</v>
      </c>
      <c r="F33" s="255" t="s">
        <v>899</v>
      </c>
      <c r="G33" s="70" t="s">
        <v>9</v>
      </c>
      <c r="H33" s="70" t="s">
        <v>10</v>
      </c>
      <c r="I33" s="70" t="s">
        <v>280</v>
      </c>
      <c r="J33" s="70" t="s">
        <v>12</v>
      </c>
      <c r="K33" s="70">
        <v>1</v>
      </c>
      <c r="L33" s="70" t="s">
        <v>42</v>
      </c>
      <c r="M33" s="70" t="s">
        <v>43</v>
      </c>
      <c r="N33" s="70"/>
      <c r="O33" s="70"/>
      <c r="P33" s="74"/>
      <c r="Q33" s="71"/>
      <c r="R33" s="70"/>
      <c r="S33" s="70"/>
    </row>
    <row r="34" spans="1:19">
      <c r="A34" s="69" t="s">
        <v>283</v>
      </c>
      <c r="B34" s="70" t="s">
        <v>284</v>
      </c>
      <c r="C34" s="70" t="s">
        <v>38</v>
      </c>
      <c r="D34" s="70">
        <v>1</v>
      </c>
      <c r="E34" s="256" t="s">
        <v>924</v>
      </c>
      <c r="F34" s="255" t="s">
        <v>900</v>
      </c>
      <c r="G34" s="70" t="s">
        <v>9</v>
      </c>
      <c r="H34" s="70" t="s">
        <v>35</v>
      </c>
      <c r="I34" s="70" t="s">
        <v>265</v>
      </c>
      <c r="J34" s="70" t="s">
        <v>247</v>
      </c>
      <c r="K34" s="70">
        <v>1</v>
      </c>
      <c r="L34" s="70" t="s">
        <v>1002</v>
      </c>
      <c r="M34" s="70" t="s">
        <v>15</v>
      </c>
      <c r="N34" s="70"/>
      <c r="O34" s="70"/>
      <c r="P34" s="74"/>
      <c r="Q34" s="71"/>
      <c r="R34" s="70"/>
      <c r="S34" s="70"/>
    </row>
    <row r="35" spans="1:19">
      <c r="A35" s="69" t="s">
        <v>285</v>
      </c>
      <c r="B35" s="70" t="s">
        <v>286</v>
      </c>
      <c r="C35" s="70" t="s">
        <v>38</v>
      </c>
      <c r="D35" s="70">
        <v>1</v>
      </c>
      <c r="E35" s="256" t="s">
        <v>924</v>
      </c>
      <c r="F35" s="255" t="s">
        <v>901</v>
      </c>
      <c r="G35" s="70" t="s">
        <v>18</v>
      </c>
      <c r="H35" s="70" t="s">
        <v>23</v>
      </c>
      <c r="I35" s="70" t="s">
        <v>24</v>
      </c>
      <c r="J35" s="70" t="s">
        <v>12</v>
      </c>
      <c r="K35" s="70">
        <v>1</v>
      </c>
      <c r="L35" s="70" t="s">
        <v>1002</v>
      </c>
      <c r="M35" s="70" t="s">
        <v>15</v>
      </c>
      <c r="N35" s="70"/>
      <c r="O35" s="70"/>
      <c r="P35" s="74"/>
      <c r="Q35" s="71"/>
      <c r="R35" s="70"/>
      <c r="S35" s="70"/>
    </row>
    <row r="36" spans="1:19">
      <c r="A36" s="69" t="s">
        <v>287</v>
      </c>
      <c r="B36" s="70" t="s">
        <v>288</v>
      </c>
      <c r="C36" s="70" t="s">
        <v>38</v>
      </c>
      <c r="D36" s="70">
        <v>1</v>
      </c>
      <c r="E36" s="256" t="s">
        <v>924</v>
      </c>
      <c r="F36" s="255" t="s">
        <v>902</v>
      </c>
      <c r="G36" s="70" t="s">
        <v>9</v>
      </c>
      <c r="H36" s="70" t="s">
        <v>10</v>
      </c>
      <c r="I36" s="70" t="s">
        <v>280</v>
      </c>
      <c r="J36" s="70" t="s">
        <v>12</v>
      </c>
      <c r="K36" s="70">
        <v>1</v>
      </c>
      <c r="L36" s="70" t="s">
        <v>1002</v>
      </c>
      <c r="M36" s="70" t="s">
        <v>15</v>
      </c>
      <c r="N36" s="70"/>
      <c r="O36" s="70"/>
      <c r="P36" s="74"/>
      <c r="Q36" s="71"/>
      <c r="R36" s="70"/>
      <c r="S36" s="70"/>
    </row>
    <row r="37" spans="1:19">
      <c r="A37" s="69" t="s">
        <v>289</v>
      </c>
      <c r="B37" s="70" t="s">
        <v>290</v>
      </c>
      <c r="C37" s="70" t="s">
        <v>38</v>
      </c>
      <c r="D37" s="70">
        <v>1</v>
      </c>
      <c r="E37" s="256" t="s">
        <v>924</v>
      </c>
      <c r="F37" s="255" t="s">
        <v>903</v>
      </c>
      <c r="G37" s="70" t="s">
        <v>9</v>
      </c>
      <c r="H37" s="70" t="s">
        <v>219</v>
      </c>
      <c r="I37" s="70" t="s">
        <v>291</v>
      </c>
      <c r="J37" s="70" t="s">
        <v>247</v>
      </c>
      <c r="K37" s="70">
        <v>1</v>
      </c>
      <c r="L37" s="70" t="s">
        <v>1002</v>
      </c>
      <c r="M37" s="70" t="s">
        <v>15</v>
      </c>
      <c r="N37" s="70"/>
      <c r="O37" s="70"/>
      <c r="P37" s="74"/>
      <c r="Q37" s="71"/>
      <c r="R37" s="70"/>
      <c r="S37" s="70"/>
    </row>
    <row r="38" spans="1:19">
      <c r="A38" s="69" t="s">
        <v>292</v>
      </c>
      <c r="B38" s="70" t="s">
        <v>293</v>
      </c>
      <c r="C38" s="70" t="s">
        <v>38</v>
      </c>
      <c r="D38" s="70">
        <v>1</v>
      </c>
      <c r="E38" s="256" t="s">
        <v>924</v>
      </c>
      <c r="F38" s="255" t="s">
        <v>904</v>
      </c>
      <c r="G38" s="70" t="s">
        <v>18</v>
      </c>
      <c r="H38" s="70" t="s">
        <v>23</v>
      </c>
      <c r="I38" s="70" t="s">
        <v>294</v>
      </c>
      <c r="J38" s="70" t="s">
        <v>19</v>
      </c>
      <c r="K38" s="70">
        <v>1</v>
      </c>
      <c r="L38" s="70" t="s">
        <v>1002</v>
      </c>
      <c r="M38" s="70" t="s">
        <v>15</v>
      </c>
      <c r="N38" s="70"/>
      <c r="O38" s="70"/>
      <c r="P38" s="74"/>
      <c r="Q38" s="71"/>
      <c r="R38" s="70"/>
      <c r="S38" s="70"/>
    </row>
    <row r="39" spans="1:19">
      <c r="A39" s="69" t="s">
        <v>295</v>
      </c>
      <c r="B39" s="70" t="s">
        <v>296</v>
      </c>
      <c r="C39" s="70" t="s">
        <v>38</v>
      </c>
      <c r="D39" s="70">
        <v>1</v>
      </c>
      <c r="E39" s="256" t="s">
        <v>924</v>
      </c>
      <c r="F39" s="255" t="s">
        <v>905</v>
      </c>
      <c r="G39" s="70" t="s">
        <v>9</v>
      </c>
      <c r="H39" s="70" t="s">
        <v>222</v>
      </c>
      <c r="I39" s="70" t="s">
        <v>297</v>
      </c>
      <c r="J39" s="70" t="s">
        <v>12</v>
      </c>
      <c r="K39" s="70">
        <v>1</v>
      </c>
      <c r="L39" s="96" t="s">
        <v>1002</v>
      </c>
      <c r="M39" s="70" t="s">
        <v>15</v>
      </c>
      <c r="N39" s="70"/>
      <c r="O39" s="70"/>
      <c r="P39" s="74"/>
      <c r="Q39" s="71"/>
      <c r="R39" s="70"/>
      <c r="S39" s="70"/>
    </row>
    <row r="40" spans="1:19">
      <c r="A40" s="69" t="s">
        <v>298</v>
      </c>
      <c r="B40" s="70" t="s">
        <v>299</v>
      </c>
      <c r="C40" s="70" t="s">
        <v>38</v>
      </c>
      <c r="D40" s="70">
        <v>1</v>
      </c>
      <c r="E40" s="256" t="s">
        <v>924</v>
      </c>
      <c r="F40" s="255" t="s">
        <v>906</v>
      </c>
      <c r="G40" s="70" t="s">
        <v>9</v>
      </c>
      <c r="H40" s="70" t="s">
        <v>10</v>
      </c>
      <c r="I40" s="70" t="s">
        <v>280</v>
      </c>
      <c r="J40" s="70" t="s">
        <v>12</v>
      </c>
      <c r="K40" s="70">
        <v>1</v>
      </c>
      <c r="L40" s="70" t="s">
        <v>42</v>
      </c>
      <c r="M40" s="70" t="s">
        <v>43</v>
      </c>
      <c r="N40" s="70"/>
      <c r="O40" s="70"/>
      <c r="P40" s="74"/>
      <c r="Q40" s="71"/>
      <c r="R40" s="70"/>
      <c r="S40" s="70"/>
    </row>
    <row r="41" spans="1:19">
      <c r="A41" s="69" t="s">
        <v>300</v>
      </c>
      <c r="B41" s="70" t="s">
        <v>301</v>
      </c>
      <c r="C41" s="70" t="s">
        <v>38</v>
      </c>
      <c r="D41" s="70">
        <v>1</v>
      </c>
      <c r="E41" s="256" t="s">
        <v>924</v>
      </c>
      <c r="F41" s="255" t="s">
        <v>907</v>
      </c>
      <c r="G41" s="70" t="s">
        <v>9</v>
      </c>
      <c r="H41" s="70" t="s">
        <v>221</v>
      </c>
      <c r="I41" s="70" t="s">
        <v>302</v>
      </c>
      <c r="J41" s="70" t="s">
        <v>247</v>
      </c>
      <c r="K41" s="70">
        <v>1</v>
      </c>
      <c r="L41" s="70" t="s">
        <v>42</v>
      </c>
      <c r="M41" s="70" t="s">
        <v>43</v>
      </c>
      <c r="N41" s="70"/>
      <c r="O41" s="70"/>
      <c r="P41" s="74"/>
      <c r="Q41" s="71"/>
      <c r="R41" s="70"/>
      <c r="S41" s="70"/>
    </row>
    <row r="42" spans="1:19">
      <c r="A42" s="69" t="s">
        <v>303</v>
      </c>
      <c r="B42" s="70" t="s">
        <v>304</v>
      </c>
      <c r="C42" s="70" t="s">
        <v>38</v>
      </c>
      <c r="D42" s="70">
        <v>1</v>
      </c>
      <c r="E42" s="256" t="s">
        <v>924</v>
      </c>
      <c r="F42" s="255" t="s">
        <v>908</v>
      </c>
      <c r="G42" s="70" t="s">
        <v>9</v>
      </c>
      <c r="H42" s="70" t="s">
        <v>10</v>
      </c>
      <c r="I42" s="70" t="s">
        <v>280</v>
      </c>
      <c r="J42" s="70" t="s">
        <v>247</v>
      </c>
      <c r="K42" s="70">
        <v>1</v>
      </c>
      <c r="L42" s="70" t="s">
        <v>42</v>
      </c>
      <c r="M42" s="70" t="s">
        <v>43</v>
      </c>
      <c r="N42" s="70"/>
      <c r="O42" s="70"/>
      <c r="P42" s="74"/>
      <c r="Q42" s="71"/>
      <c r="R42" s="70"/>
      <c r="S42" s="70"/>
    </row>
    <row r="43" spans="1:19">
      <c r="A43" s="69" t="s">
        <v>305</v>
      </c>
      <c r="B43" s="70" t="s">
        <v>306</v>
      </c>
      <c r="C43" s="70" t="s">
        <v>38</v>
      </c>
      <c r="D43" s="70">
        <v>1</v>
      </c>
      <c r="E43" s="256" t="s">
        <v>924</v>
      </c>
      <c r="F43" s="255" t="s">
        <v>909</v>
      </c>
      <c r="G43" s="70" t="s">
        <v>9</v>
      </c>
      <c r="H43" s="70" t="s">
        <v>222</v>
      </c>
      <c r="I43" s="70" t="s">
        <v>307</v>
      </c>
      <c r="J43" s="70" t="s">
        <v>247</v>
      </c>
      <c r="K43" s="70">
        <v>1</v>
      </c>
      <c r="L43" s="96" t="s">
        <v>1002</v>
      </c>
      <c r="M43" s="70" t="s">
        <v>15</v>
      </c>
      <c r="N43" s="70"/>
      <c r="O43" s="70"/>
      <c r="P43" s="74"/>
      <c r="Q43" s="71"/>
      <c r="R43" s="70"/>
      <c r="S43" s="70"/>
    </row>
    <row r="44" spans="1:19">
      <c r="A44" s="69" t="s">
        <v>308</v>
      </c>
      <c r="B44" s="70" t="s">
        <v>309</v>
      </c>
      <c r="C44" s="70" t="s">
        <v>38</v>
      </c>
      <c r="D44" s="70">
        <v>1</v>
      </c>
      <c r="E44" s="256" t="s">
        <v>924</v>
      </c>
      <c r="F44" s="255" t="s">
        <v>910</v>
      </c>
      <c r="G44" s="70" t="s">
        <v>9</v>
      </c>
      <c r="H44" s="70" t="s">
        <v>35</v>
      </c>
      <c r="I44" s="70" t="s">
        <v>310</v>
      </c>
      <c r="J44" s="70" t="s">
        <v>247</v>
      </c>
      <c r="K44" s="70">
        <v>1</v>
      </c>
      <c r="L44" s="96" t="s">
        <v>1002</v>
      </c>
      <c r="M44" s="70" t="s">
        <v>15</v>
      </c>
      <c r="N44" s="70"/>
      <c r="O44" s="70"/>
      <c r="P44" s="74"/>
      <c r="Q44" s="71"/>
      <c r="R44" s="70"/>
      <c r="S44" s="70"/>
    </row>
    <row r="45" spans="1:19">
      <c r="A45" s="69" t="s">
        <v>311</v>
      </c>
      <c r="B45" s="70" t="s">
        <v>312</v>
      </c>
      <c r="C45" s="70" t="s">
        <v>38</v>
      </c>
      <c r="D45" s="70">
        <v>1</v>
      </c>
      <c r="E45" s="256" t="s">
        <v>924</v>
      </c>
      <c r="F45" s="255" t="s">
        <v>911</v>
      </c>
      <c r="G45" s="70" t="s">
        <v>9</v>
      </c>
      <c r="H45" s="70" t="s">
        <v>10</v>
      </c>
      <c r="I45" s="70" t="s">
        <v>280</v>
      </c>
      <c r="J45" s="70" t="s">
        <v>12</v>
      </c>
      <c r="K45" s="70">
        <v>1</v>
      </c>
      <c r="L45" s="70" t="s">
        <v>42</v>
      </c>
      <c r="M45" s="70" t="s">
        <v>43</v>
      </c>
      <c r="N45" s="70"/>
      <c r="O45" s="70"/>
      <c r="P45" s="74"/>
      <c r="Q45" s="71"/>
      <c r="R45" s="70"/>
      <c r="S45" s="70"/>
    </row>
    <row r="46" spans="1:19">
      <c r="A46" s="69" t="s">
        <v>313</v>
      </c>
      <c r="B46" s="70" t="s">
        <v>314</v>
      </c>
      <c r="C46" s="70" t="s">
        <v>38</v>
      </c>
      <c r="D46" s="70">
        <v>1</v>
      </c>
      <c r="E46" s="256" t="s">
        <v>924</v>
      </c>
      <c r="F46" s="255" t="s">
        <v>912</v>
      </c>
      <c r="G46" s="70" t="s">
        <v>18</v>
      </c>
      <c r="H46" s="70" t="s">
        <v>23</v>
      </c>
      <c r="I46" s="70" t="s">
        <v>315</v>
      </c>
      <c r="J46" s="70" t="s">
        <v>247</v>
      </c>
      <c r="K46" s="70">
        <v>1</v>
      </c>
      <c r="L46" s="96" t="s">
        <v>1002</v>
      </c>
      <c r="M46" s="70" t="s">
        <v>15</v>
      </c>
      <c r="N46" s="70"/>
      <c r="O46" s="70"/>
      <c r="P46" s="74"/>
      <c r="Q46" s="71"/>
      <c r="R46" s="70"/>
      <c r="S46" s="70"/>
    </row>
    <row r="47" spans="1:19">
      <c r="A47" s="69" t="s">
        <v>316</v>
      </c>
      <c r="B47" s="70" t="s">
        <v>317</v>
      </c>
      <c r="C47" s="70" t="s">
        <v>38</v>
      </c>
      <c r="D47" s="70">
        <v>1</v>
      </c>
      <c r="E47" s="256" t="s">
        <v>924</v>
      </c>
      <c r="F47" s="255" t="s">
        <v>913</v>
      </c>
      <c r="G47" s="70" t="s">
        <v>9</v>
      </c>
      <c r="H47" s="70" t="s">
        <v>219</v>
      </c>
      <c r="I47" s="70" t="s">
        <v>318</v>
      </c>
      <c r="J47" s="70" t="s">
        <v>12</v>
      </c>
      <c r="K47" s="70">
        <v>1</v>
      </c>
      <c r="L47" s="70" t="s">
        <v>1002</v>
      </c>
      <c r="M47" s="70" t="s">
        <v>15</v>
      </c>
      <c r="N47" s="70"/>
      <c r="O47" s="70"/>
      <c r="P47" s="74"/>
      <c r="Q47" s="71"/>
      <c r="R47" s="70"/>
      <c r="S47" s="70"/>
    </row>
    <row r="48" spans="1:19">
      <c r="A48" s="69" t="s">
        <v>319</v>
      </c>
      <c r="B48" s="70" t="s">
        <v>320</v>
      </c>
      <c r="C48" s="70" t="s">
        <v>38</v>
      </c>
      <c r="D48" s="70">
        <v>1</v>
      </c>
      <c r="E48" s="256" t="s">
        <v>924</v>
      </c>
      <c r="F48" s="255" t="s">
        <v>914</v>
      </c>
      <c r="G48" s="70" t="s">
        <v>9</v>
      </c>
      <c r="H48" s="70" t="s">
        <v>35</v>
      </c>
      <c r="I48" s="70" t="s">
        <v>321</v>
      </c>
      <c r="J48" s="70" t="s">
        <v>247</v>
      </c>
      <c r="K48" s="70">
        <v>1</v>
      </c>
      <c r="L48" s="70" t="s">
        <v>1002</v>
      </c>
      <c r="M48" s="70" t="s">
        <v>15</v>
      </c>
      <c r="N48" s="70"/>
      <c r="O48" s="70"/>
      <c r="P48" s="74"/>
      <c r="Q48" s="71"/>
      <c r="R48" s="70"/>
      <c r="S48" s="70"/>
    </row>
    <row r="49" spans="1:19">
      <c r="A49" s="69" t="s">
        <v>322</v>
      </c>
      <c r="B49" s="70" t="s">
        <v>323</v>
      </c>
      <c r="C49" s="70" t="s">
        <v>38</v>
      </c>
      <c r="D49" s="70">
        <v>1</v>
      </c>
      <c r="E49" s="256" t="s">
        <v>924</v>
      </c>
      <c r="F49" s="70" t="s">
        <v>322</v>
      </c>
      <c r="G49" s="70" t="s">
        <v>18</v>
      </c>
      <c r="H49" s="70" t="s">
        <v>35</v>
      </c>
      <c r="I49" s="70" t="s">
        <v>324</v>
      </c>
      <c r="J49" s="70"/>
      <c r="K49" s="70">
        <v>1</v>
      </c>
      <c r="L49" s="70"/>
      <c r="M49" s="70"/>
      <c r="N49" s="70"/>
      <c r="O49" s="70"/>
      <c r="P49" s="74"/>
      <c r="Q49" s="71"/>
      <c r="R49" s="70"/>
      <c r="S49" s="70"/>
    </row>
    <row r="50" spans="1:19">
      <c r="A50" s="69" t="s">
        <v>325</v>
      </c>
      <c r="B50" s="70" t="s">
        <v>326</v>
      </c>
      <c r="C50" s="70" t="s">
        <v>38</v>
      </c>
      <c r="D50" s="70">
        <v>1</v>
      </c>
      <c r="E50" s="256" t="s">
        <v>924</v>
      </c>
      <c r="F50" s="255" t="s">
        <v>915</v>
      </c>
      <c r="G50" s="70" t="s">
        <v>9</v>
      </c>
      <c r="H50" s="70" t="s">
        <v>10</v>
      </c>
      <c r="I50" s="70" t="s">
        <v>280</v>
      </c>
      <c r="J50" s="70" t="s">
        <v>12</v>
      </c>
      <c r="K50" s="70">
        <v>1</v>
      </c>
      <c r="L50" s="70" t="s">
        <v>42</v>
      </c>
      <c r="M50" s="70" t="s">
        <v>43</v>
      </c>
      <c r="N50" s="70"/>
      <c r="O50" s="70"/>
      <c r="P50" s="74"/>
      <c r="Q50" s="71"/>
      <c r="R50" s="70"/>
      <c r="S50" s="70"/>
    </row>
    <row r="51" spans="1:19">
      <c r="A51" s="69" t="s">
        <v>327</v>
      </c>
      <c r="B51" s="70" t="s">
        <v>327</v>
      </c>
      <c r="C51" s="70" t="s">
        <v>38</v>
      </c>
      <c r="D51" s="70">
        <v>100</v>
      </c>
      <c r="E51" s="70"/>
      <c r="F51" s="70"/>
      <c r="G51" s="70" t="s">
        <v>44</v>
      </c>
      <c r="H51" s="96" t="s">
        <v>10</v>
      </c>
      <c r="I51" s="96" t="s">
        <v>280</v>
      </c>
      <c r="J51" s="96" t="s">
        <v>52</v>
      </c>
      <c r="K51" s="96">
        <v>1</v>
      </c>
      <c r="L51" s="70" t="s">
        <v>1002</v>
      </c>
      <c r="M51" s="70" t="s">
        <v>15</v>
      </c>
      <c r="N51" s="70"/>
      <c r="O51" s="70"/>
      <c r="P51" s="74">
        <v>43077</v>
      </c>
      <c r="Q51" s="71"/>
      <c r="R51" s="70" t="s">
        <v>330</v>
      </c>
      <c r="S51" s="70">
        <v>172.5</v>
      </c>
    </row>
    <row r="52" spans="1:19">
      <c r="A52" s="69" t="s">
        <v>328</v>
      </c>
      <c r="B52" s="70" t="s">
        <v>328</v>
      </c>
      <c r="C52" s="70" t="s">
        <v>38</v>
      </c>
      <c r="D52" s="70">
        <v>100</v>
      </c>
      <c r="E52" s="70"/>
      <c r="F52" s="70"/>
      <c r="G52" s="70" t="s">
        <v>44</v>
      </c>
      <c r="H52" s="96" t="s">
        <v>10</v>
      </c>
      <c r="I52" s="96" t="s">
        <v>280</v>
      </c>
      <c r="J52" s="96" t="s">
        <v>52</v>
      </c>
      <c r="K52" s="96">
        <v>1</v>
      </c>
      <c r="L52" s="70" t="s">
        <v>1002</v>
      </c>
      <c r="M52" s="70" t="s">
        <v>15</v>
      </c>
      <c r="N52" s="70"/>
      <c r="O52" s="70"/>
      <c r="P52" s="74">
        <v>43077</v>
      </c>
      <c r="Q52" s="71"/>
      <c r="R52" s="70" t="s">
        <v>330</v>
      </c>
      <c r="S52" s="70">
        <v>1035</v>
      </c>
    </row>
    <row r="53" spans="1:19">
      <c r="A53" s="69" t="s">
        <v>329</v>
      </c>
      <c r="B53" s="70" t="s">
        <v>329</v>
      </c>
      <c r="C53" s="70" t="s">
        <v>38</v>
      </c>
      <c r="D53" s="70">
        <v>100</v>
      </c>
      <c r="E53" s="70"/>
      <c r="F53" s="70"/>
      <c r="G53" s="70" t="s">
        <v>44</v>
      </c>
      <c r="H53" s="96" t="s">
        <v>219</v>
      </c>
      <c r="I53" s="96" t="s">
        <v>291</v>
      </c>
      <c r="J53" s="96" t="s">
        <v>52</v>
      </c>
      <c r="K53" s="96">
        <v>1</v>
      </c>
      <c r="L53" s="70" t="s">
        <v>1002</v>
      </c>
      <c r="M53" s="70" t="s">
        <v>15</v>
      </c>
      <c r="N53" s="70"/>
      <c r="O53" s="70"/>
      <c r="P53" s="74">
        <v>43091</v>
      </c>
      <c r="Q53" s="71"/>
      <c r="R53" s="70" t="s">
        <v>48</v>
      </c>
      <c r="S53" s="70">
        <v>185</v>
      </c>
    </row>
    <row r="54" spans="1:19">
      <c r="A54" s="69" t="s">
        <v>331</v>
      </c>
      <c r="B54" s="70" t="s">
        <v>331</v>
      </c>
      <c r="C54" s="70" t="s">
        <v>38</v>
      </c>
      <c r="D54" s="70">
        <v>100</v>
      </c>
      <c r="E54" s="70"/>
      <c r="F54" s="70"/>
      <c r="G54" s="70" t="s">
        <v>44</v>
      </c>
      <c r="H54" s="96" t="s">
        <v>219</v>
      </c>
      <c r="I54" s="96" t="s">
        <v>291</v>
      </c>
      <c r="J54" s="96" t="s">
        <v>52</v>
      </c>
      <c r="K54" s="96">
        <v>1</v>
      </c>
      <c r="L54" s="70" t="s">
        <v>1002</v>
      </c>
      <c r="M54" s="70" t="s">
        <v>15</v>
      </c>
      <c r="N54" s="70"/>
      <c r="O54" s="70"/>
      <c r="P54" s="74">
        <v>43115</v>
      </c>
      <c r="Q54" s="71"/>
      <c r="R54" s="70" t="s">
        <v>48</v>
      </c>
      <c r="S54" s="70">
        <v>182.5</v>
      </c>
    </row>
    <row r="55" spans="1:19">
      <c r="A55" s="69" t="s">
        <v>332</v>
      </c>
      <c r="B55" s="70" t="s">
        <v>332</v>
      </c>
      <c r="C55" s="70" t="s">
        <v>38</v>
      </c>
      <c r="D55" s="70">
        <v>100</v>
      </c>
      <c r="E55" s="70"/>
      <c r="F55" s="70"/>
      <c r="G55" s="70" t="s">
        <v>44</v>
      </c>
      <c r="H55" s="96" t="s">
        <v>219</v>
      </c>
      <c r="I55" s="96" t="s">
        <v>291</v>
      </c>
      <c r="J55" s="96" t="s">
        <v>52</v>
      </c>
      <c r="K55" s="96">
        <v>1</v>
      </c>
      <c r="L55" s="70" t="s">
        <v>1002</v>
      </c>
      <c r="M55" s="70" t="s">
        <v>15</v>
      </c>
      <c r="N55" s="70"/>
      <c r="O55" s="70"/>
      <c r="P55" s="74">
        <v>43105</v>
      </c>
      <c r="Q55" s="71"/>
      <c r="R55" s="70" t="s">
        <v>330</v>
      </c>
      <c r="S55" s="70">
        <v>180</v>
      </c>
    </row>
    <row r="56" spans="1:19">
      <c r="A56" s="69" t="s">
        <v>333</v>
      </c>
      <c r="B56" s="70" t="s">
        <v>333</v>
      </c>
      <c r="C56" s="70" t="s">
        <v>38</v>
      </c>
      <c r="D56" s="70">
        <v>100</v>
      </c>
      <c r="E56" s="70"/>
      <c r="F56" s="70"/>
      <c r="G56" s="70" t="s">
        <v>44</v>
      </c>
      <c r="H56" s="70"/>
      <c r="I56" s="70"/>
      <c r="J56" s="70"/>
      <c r="K56" s="70">
        <v>1</v>
      </c>
      <c r="L56" s="70" t="s">
        <v>1002</v>
      </c>
      <c r="M56" s="70" t="s">
        <v>15</v>
      </c>
      <c r="N56" s="70"/>
      <c r="O56" s="70"/>
      <c r="P56" s="74">
        <v>43119</v>
      </c>
      <c r="Q56" s="71"/>
      <c r="R56" s="70" t="s">
        <v>48</v>
      </c>
      <c r="S56" s="70">
        <v>129</v>
      </c>
    </row>
    <row r="57" spans="1:19">
      <c r="A57" s="69" t="s">
        <v>334</v>
      </c>
      <c r="B57" s="70" t="s">
        <v>335</v>
      </c>
      <c r="C57" s="70" t="s">
        <v>39</v>
      </c>
      <c r="D57" s="70">
        <v>50</v>
      </c>
      <c r="E57" s="70"/>
      <c r="F57" s="70"/>
      <c r="G57" s="70" t="s">
        <v>51</v>
      </c>
      <c r="H57" s="70"/>
      <c r="I57" s="70"/>
      <c r="J57" s="70"/>
      <c r="K57" s="70">
        <v>1</v>
      </c>
      <c r="L57" s="70" t="s">
        <v>42</v>
      </c>
      <c r="M57" s="70" t="s">
        <v>336</v>
      </c>
      <c r="N57" s="70"/>
      <c r="O57" s="70"/>
      <c r="P57" s="74">
        <v>43097</v>
      </c>
      <c r="Q57" s="71"/>
      <c r="R57" s="70"/>
      <c r="S57" s="70"/>
    </row>
    <row r="58" spans="1:19">
      <c r="A58" s="69" t="s">
        <v>403</v>
      </c>
      <c r="B58" s="70" t="s">
        <v>404</v>
      </c>
      <c r="C58" s="70" t="s">
        <v>39</v>
      </c>
      <c r="D58" s="70">
        <v>1</v>
      </c>
      <c r="E58" s="256" t="s">
        <v>924</v>
      </c>
      <c r="F58" s="256" t="s">
        <v>403</v>
      </c>
      <c r="G58" s="70" t="s">
        <v>9</v>
      </c>
      <c r="H58" s="70" t="s">
        <v>35</v>
      </c>
      <c r="I58" s="70" t="s">
        <v>164</v>
      </c>
      <c r="J58" s="70" t="s">
        <v>41</v>
      </c>
      <c r="K58" s="70">
        <v>1</v>
      </c>
      <c r="L58" s="70" t="s">
        <v>42</v>
      </c>
      <c r="M58" s="70" t="s">
        <v>43</v>
      </c>
      <c r="N58" s="70"/>
      <c r="O58" s="70"/>
      <c r="P58" s="74"/>
      <c r="Q58" s="71"/>
      <c r="R58" s="70"/>
      <c r="S58" s="70"/>
    </row>
    <row r="59" spans="1:19">
      <c r="A59" s="69" t="s">
        <v>405</v>
      </c>
      <c r="B59" s="70" t="s">
        <v>406</v>
      </c>
      <c r="C59" s="70" t="s">
        <v>38</v>
      </c>
      <c r="D59" s="70">
        <v>1</v>
      </c>
      <c r="E59" s="256" t="s">
        <v>924</v>
      </c>
      <c r="F59" s="255" t="s">
        <v>916</v>
      </c>
      <c r="G59" s="70" t="s">
        <v>9</v>
      </c>
      <c r="H59" s="70" t="s">
        <v>10</v>
      </c>
      <c r="I59" s="70" t="s">
        <v>302</v>
      </c>
      <c r="J59" s="70" t="s">
        <v>12</v>
      </c>
      <c r="K59" s="70">
        <v>1</v>
      </c>
      <c r="L59" s="70" t="s">
        <v>1002</v>
      </c>
      <c r="M59" s="70" t="s">
        <v>15</v>
      </c>
      <c r="N59" s="70"/>
      <c r="O59" s="70"/>
      <c r="P59" s="74"/>
      <c r="Q59" s="71"/>
      <c r="R59" s="70"/>
      <c r="S59" s="70"/>
    </row>
    <row r="60" spans="1:19">
      <c r="A60" s="69" t="s">
        <v>407</v>
      </c>
      <c r="B60" s="70" t="s">
        <v>407</v>
      </c>
      <c r="C60" s="70" t="s">
        <v>38</v>
      </c>
      <c r="D60" s="70">
        <v>100</v>
      </c>
      <c r="E60" s="70"/>
      <c r="F60" s="70"/>
      <c r="G60" s="70" t="s">
        <v>44</v>
      </c>
      <c r="H60" s="70"/>
      <c r="I60" s="70"/>
      <c r="J60" s="70"/>
      <c r="K60" s="70">
        <v>1</v>
      </c>
      <c r="L60" s="96" t="s">
        <v>1002</v>
      </c>
      <c r="M60" s="96" t="s">
        <v>15</v>
      </c>
      <c r="N60" s="70"/>
      <c r="O60" s="70"/>
      <c r="P60" s="74">
        <v>43147</v>
      </c>
      <c r="Q60" s="71"/>
      <c r="R60" s="70" t="s">
        <v>330</v>
      </c>
      <c r="S60" s="70">
        <v>1265</v>
      </c>
    </row>
    <row r="61" spans="1:19">
      <c r="A61" s="69" t="s">
        <v>408</v>
      </c>
      <c r="B61" s="70" t="s">
        <v>408</v>
      </c>
      <c r="C61" s="70" t="s">
        <v>38</v>
      </c>
      <c r="D61" s="70">
        <v>100</v>
      </c>
      <c r="E61" s="70"/>
      <c r="F61" s="70"/>
      <c r="G61" s="70" t="s">
        <v>44</v>
      </c>
      <c r="H61" s="70"/>
      <c r="I61" s="70"/>
      <c r="J61" s="70"/>
      <c r="K61" s="70">
        <v>1</v>
      </c>
      <c r="L61" s="70" t="s">
        <v>1002</v>
      </c>
      <c r="M61" s="70" t="s">
        <v>15</v>
      </c>
      <c r="N61" s="70"/>
      <c r="O61" s="70"/>
      <c r="P61" s="74">
        <v>43161</v>
      </c>
      <c r="Q61" s="71"/>
      <c r="R61" s="70" t="s">
        <v>330</v>
      </c>
      <c r="S61" s="70">
        <v>1422.5</v>
      </c>
    </row>
    <row r="62" spans="1:19">
      <c r="A62" s="69" t="s">
        <v>409</v>
      </c>
      <c r="B62" s="70" t="s">
        <v>409</v>
      </c>
      <c r="C62" s="70" t="s">
        <v>38</v>
      </c>
      <c r="D62" s="70">
        <v>100</v>
      </c>
      <c r="E62" s="70"/>
      <c r="F62" s="70"/>
      <c r="G62" s="70" t="s">
        <v>44</v>
      </c>
      <c r="H62" s="70"/>
      <c r="I62" s="70"/>
      <c r="J62" s="70"/>
      <c r="K62" s="70">
        <v>1</v>
      </c>
      <c r="L62" s="70" t="s">
        <v>1002</v>
      </c>
      <c r="M62" s="70" t="s">
        <v>15</v>
      </c>
      <c r="N62" s="70"/>
      <c r="O62" s="70"/>
      <c r="P62" s="74">
        <v>43161</v>
      </c>
      <c r="Q62" s="71"/>
      <c r="R62" s="70" t="s">
        <v>330</v>
      </c>
      <c r="S62" s="70">
        <v>1425</v>
      </c>
    </row>
    <row r="63" spans="1:19">
      <c r="A63" s="69" t="s">
        <v>410</v>
      </c>
      <c r="B63" s="70" t="s">
        <v>410</v>
      </c>
      <c r="C63" s="70" t="s">
        <v>38</v>
      </c>
      <c r="D63" s="70">
        <v>100</v>
      </c>
      <c r="E63" s="70"/>
      <c r="F63" s="70"/>
      <c r="G63" s="70" t="s">
        <v>44</v>
      </c>
      <c r="H63" s="70"/>
      <c r="I63" s="70"/>
      <c r="J63" s="70"/>
      <c r="K63" s="70">
        <v>1</v>
      </c>
      <c r="L63" s="70" t="s">
        <v>1002</v>
      </c>
      <c r="M63" s="70" t="s">
        <v>15</v>
      </c>
      <c r="N63" s="70"/>
      <c r="O63" s="70"/>
      <c r="P63" s="74">
        <v>43147</v>
      </c>
      <c r="Q63" s="71"/>
      <c r="R63" s="70" t="s">
        <v>330</v>
      </c>
      <c r="S63" s="70">
        <v>165</v>
      </c>
    </row>
    <row r="64" spans="1:19">
      <c r="A64" s="69" t="s">
        <v>411</v>
      </c>
      <c r="B64" s="70" t="s">
        <v>411</v>
      </c>
      <c r="C64" s="70" t="s">
        <v>38</v>
      </c>
      <c r="D64" s="70">
        <v>100</v>
      </c>
      <c r="E64" s="70"/>
      <c r="F64" s="70"/>
      <c r="G64" s="70" t="s">
        <v>44</v>
      </c>
      <c r="H64" s="70"/>
      <c r="I64" s="70"/>
      <c r="J64" s="70"/>
      <c r="K64" s="70">
        <v>1</v>
      </c>
      <c r="L64" s="70" t="s">
        <v>1002</v>
      </c>
      <c r="M64" s="70" t="s">
        <v>15</v>
      </c>
      <c r="N64" s="70"/>
      <c r="O64" s="70"/>
      <c r="P64" s="74">
        <v>43119</v>
      </c>
      <c r="Q64" s="71"/>
      <c r="R64" s="70" t="s">
        <v>48</v>
      </c>
      <c r="S64" s="70">
        <v>192.5</v>
      </c>
    </row>
    <row r="65" spans="1:19">
      <c r="A65" s="69" t="s">
        <v>412</v>
      </c>
      <c r="B65" s="70" t="s">
        <v>412</v>
      </c>
      <c r="C65" s="70" t="s">
        <v>38</v>
      </c>
      <c r="D65" s="70">
        <v>100</v>
      </c>
      <c r="E65" s="70"/>
      <c r="F65" s="70"/>
      <c r="G65" s="70" t="s">
        <v>44</v>
      </c>
      <c r="H65" s="70"/>
      <c r="I65" s="70"/>
      <c r="J65" s="70"/>
      <c r="K65" s="70">
        <v>1</v>
      </c>
      <c r="L65" s="70" t="s">
        <v>1002</v>
      </c>
      <c r="M65" s="70" t="s">
        <v>15</v>
      </c>
      <c r="N65" s="70"/>
      <c r="O65" s="70"/>
      <c r="P65" s="74">
        <v>43119</v>
      </c>
      <c r="Q65" s="71"/>
      <c r="R65" s="70" t="s">
        <v>330</v>
      </c>
      <c r="S65" s="70">
        <v>182.5</v>
      </c>
    </row>
    <row r="66" spans="1:19">
      <c r="A66" s="69" t="s">
        <v>413</v>
      </c>
      <c r="B66" s="70" t="s">
        <v>413</v>
      </c>
      <c r="C66" s="70" t="s">
        <v>38</v>
      </c>
      <c r="D66" s="70">
        <v>100</v>
      </c>
      <c r="E66" s="70"/>
      <c r="F66" s="70"/>
      <c r="G66" s="70" t="s">
        <v>44</v>
      </c>
      <c r="H66" s="70"/>
      <c r="I66" s="70"/>
      <c r="J66" s="70"/>
      <c r="K66" s="70">
        <v>1</v>
      </c>
      <c r="L66" s="70" t="s">
        <v>1002</v>
      </c>
      <c r="M66" s="70" t="s">
        <v>15</v>
      </c>
      <c r="N66" s="70"/>
      <c r="O66" s="70"/>
      <c r="P66" s="74">
        <v>43119</v>
      </c>
      <c r="Q66" s="71"/>
      <c r="R66" s="70" t="s">
        <v>330</v>
      </c>
      <c r="S66" s="70">
        <v>185</v>
      </c>
    </row>
    <row r="67" spans="1:19">
      <c r="A67" s="69" t="s">
        <v>414</v>
      </c>
      <c r="B67" s="70" t="s">
        <v>414</v>
      </c>
      <c r="C67" s="70" t="s">
        <v>38</v>
      </c>
      <c r="D67" s="70">
        <v>100</v>
      </c>
      <c r="E67" s="70"/>
      <c r="F67" s="70"/>
      <c r="G67" s="70" t="s">
        <v>44</v>
      </c>
      <c r="H67" s="70"/>
      <c r="I67" s="70"/>
      <c r="J67" s="70"/>
      <c r="K67" s="70">
        <v>1</v>
      </c>
      <c r="L67" s="70" t="s">
        <v>1002</v>
      </c>
      <c r="M67" s="70" t="s">
        <v>15</v>
      </c>
      <c r="N67" s="70"/>
      <c r="O67" s="70"/>
      <c r="P67" s="74">
        <v>43122</v>
      </c>
      <c r="Q67" s="71"/>
      <c r="R67" s="70" t="s">
        <v>330</v>
      </c>
      <c r="S67" s="70">
        <v>122.5</v>
      </c>
    </row>
    <row r="68" spans="1:19">
      <c r="A68" s="69" t="s">
        <v>415</v>
      </c>
      <c r="B68" s="70" t="s">
        <v>415</v>
      </c>
      <c r="C68" s="70" t="s">
        <v>38</v>
      </c>
      <c r="D68" s="70">
        <v>100</v>
      </c>
      <c r="E68" s="70"/>
      <c r="F68" s="70"/>
      <c r="G68" s="70" t="s">
        <v>44</v>
      </c>
      <c r="H68" s="70"/>
      <c r="I68" s="70"/>
      <c r="J68" s="70"/>
      <c r="K68" s="70">
        <v>1</v>
      </c>
      <c r="L68" s="70" t="s">
        <v>1002</v>
      </c>
      <c r="M68" s="70" t="s">
        <v>15</v>
      </c>
      <c r="N68" s="70"/>
      <c r="O68" s="70"/>
      <c r="P68" s="74">
        <v>43175</v>
      </c>
      <c r="Q68" s="71"/>
      <c r="R68" s="70" t="s">
        <v>330</v>
      </c>
      <c r="S68" s="70">
        <v>310</v>
      </c>
    </row>
    <row r="69" spans="1:19">
      <c r="A69" s="69" t="s">
        <v>416</v>
      </c>
      <c r="B69" s="70" t="s">
        <v>417</v>
      </c>
      <c r="C69" s="70" t="s">
        <v>39</v>
      </c>
      <c r="D69" s="70">
        <v>50</v>
      </c>
      <c r="E69" s="70"/>
      <c r="F69" s="69"/>
      <c r="G69" s="70" t="s">
        <v>51</v>
      </c>
      <c r="H69" s="70"/>
      <c r="I69" s="70"/>
      <c r="J69" s="70"/>
      <c r="K69" s="70">
        <v>1</v>
      </c>
      <c r="L69" s="70" t="s">
        <v>42</v>
      </c>
      <c r="M69" s="70" t="s">
        <v>336</v>
      </c>
      <c r="N69" s="70"/>
      <c r="O69" s="70"/>
      <c r="P69" s="74">
        <v>43158</v>
      </c>
      <c r="Q69" s="71"/>
      <c r="R69" s="70"/>
      <c r="S69" s="70"/>
    </row>
    <row r="70" spans="1:19">
      <c r="A70" s="69" t="s">
        <v>418</v>
      </c>
      <c r="B70" s="70" t="s">
        <v>419</v>
      </c>
      <c r="C70" s="70" t="s">
        <v>38</v>
      </c>
      <c r="D70" s="70">
        <v>20</v>
      </c>
      <c r="E70" s="70"/>
      <c r="F70" s="70"/>
      <c r="G70" s="70" t="s">
        <v>51</v>
      </c>
      <c r="H70" s="70"/>
      <c r="I70" s="70"/>
      <c r="J70" s="70"/>
      <c r="K70" s="70">
        <v>1</v>
      </c>
      <c r="L70" s="70" t="s">
        <v>1002</v>
      </c>
      <c r="M70" s="70" t="s">
        <v>15</v>
      </c>
      <c r="N70" s="70"/>
      <c r="O70" s="70"/>
      <c r="P70" s="74">
        <v>43175</v>
      </c>
      <c r="Q70" s="71"/>
      <c r="R70" s="70"/>
      <c r="S70" s="70"/>
    </row>
    <row r="71" spans="1:19">
      <c r="A71" s="91" t="s">
        <v>467</v>
      </c>
      <c r="B71" s="92" t="s">
        <v>466</v>
      </c>
      <c r="C71" s="92" t="s">
        <v>57</v>
      </c>
      <c r="D71" s="92">
        <v>1</v>
      </c>
      <c r="E71" s="256" t="s">
        <v>924</v>
      </c>
      <c r="F71" s="256" t="s">
        <v>928</v>
      </c>
      <c r="G71" s="92" t="s">
        <v>9</v>
      </c>
      <c r="H71" s="92" t="s">
        <v>10</v>
      </c>
      <c r="I71" s="92" t="s">
        <v>280</v>
      </c>
      <c r="J71" s="92" t="s">
        <v>470</v>
      </c>
      <c r="K71" s="92">
        <v>1</v>
      </c>
      <c r="L71" s="92" t="s">
        <v>42</v>
      </c>
      <c r="M71" s="92" t="s">
        <v>43</v>
      </c>
      <c r="N71" s="92"/>
      <c r="O71" s="92"/>
      <c r="P71" s="93"/>
      <c r="Q71" s="94"/>
      <c r="R71" s="92"/>
      <c r="S71" s="92"/>
    </row>
    <row r="72" spans="1:19">
      <c r="A72" s="91" t="s">
        <v>468</v>
      </c>
      <c r="B72" s="92" t="s">
        <v>469</v>
      </c>
      <c r="C72" s="92" t="s">
        <v>57</v>
      </c>
      <c r="D72" s="92">
        <v>1</v>
      </c>
      <c r="E72" s="256" t="s">
        <v>924</v>
      </c>
      <c r="F72" s="257" t="s">
        <v>929</v>
      </c>
      <c r="G72" s="92" t="s">
        <v>9</v>
      </c>
      <c r="H72" s="92" t="s">
        <v>35</v>
      </c>
      <c r="I72" s="92" t="s">
        <v>265</v>
      </c>
      <c r="J72" s="92" t="s">
        <v>194</v>
      </c>
      <c r="K72" s="92">
        <v>1</v>
      </c>
      <c r="L72" s="92" t="s">
        <v>42</v>
      </c>
      <c r="M72" s="92" t="s">
        <v>43</v>
      </c>
      <c r="N72" s="92"/>
      <c r="O72" s="92"/>
      <c r="P72" s="93"/>
      <c r="Q72" s="94"/>
      <c r="R72" s="92"/>
      <c r="S72" s="92"/>
    </row>
    <row r="73" spans="1:19">
      <c r="A73" s="91" t="s">
        <v>471</v>
      </c>
      <c r="B73" s="92" t="s">
        <v>472</v>
      </c>
      <c r="C73" s="92" t="s">
        <v>57</v>
      </c>
      <c r="D73" s="92">
        <v>1</v>
      </c>
      <c r="E73" s="256" t="s">
        <v>924</v>
      </c>
      <c r="F73" s="256" t="s">
        <v>930</v>
      </c>
      <c r="G73" s="92" t="s">
        <v>9</v>
      </c>
      <c r="H73" s="92" t="s">
        <v>219</v>
      </c>
      <c r="I73" s="92" t="s">
        <v>473</v>
      </c>
      <c r="J73" s="92" t="s">
        <v>470</v>
      </c>
      <c r="K73" s="92">
        <v>1</v>
      </c>
      <c r="L73" s="92" t="s">
        <v>42</v>
      </c>
      <c r="M73" s="92" t="s">
        <v>43</v>
      </c>
      <c r="N73" s="92"/>
      <c r="O73" s="92"/>
      <c r="P73" s="93"/>
      <c r="Q73" s="94"/>
      <c r="R73" s="92"/>
      <c r="S73" s="92"/>
    </row>
    <row r="74" spans="1:19">
      <c r="A74" s="91" t="s">
        <v>474</v>
      </c>
      <c r="B74" s="92" t="s">
        <v>475</v>
      </c>
      <c r="C74" s="92" t="s">
        <v>57</v>
      </c>
      <c r="D74" s="92">
        <v>1</v>
      </c>
      <c r="E74" s="256" t="s">
        <v>924</v>
      </c>
      <c r="F74" s="256" t="s">
        <v>931</v>
      </c>
      <c r="G74" s="92" t="s">
        <v>9</v>
      </c>
      <c r="H74" s="92" t="s">
        <v>10</v>
      </c>
      <c r="I74" s="92" t="s">
        <v>476</v>
      </c>
      <c r="J74" s="92" t="s">
        <v>470</v>
      </c>
      <c r="K74" s="92">
        <v>1</v>
      </c>
      <c r="L74" s="92" t="s">
        <v>42</v>
      </c>
      <c r="M74" s="92" t="s">
        <v>43</v>
      </c>
      <c r="N74" s="92"/>
      <c r="O74" s="92"/>
      <c r="P74" s="93"/>
      <c r="Q74" s="94"/>
      <c r="R74" s="92"/>
      <c r="S74" s="92"/>
    </row>
    <row r="75" spans="1:19">
      <c r="A75" s="91" t="s">
        <v>477</v>
      </c>
      <c r="B75" s="92" t="s">
        <v>478</v>
      </c>
      <c r="C75" s="92" t="s">
        <v>57</v>
      </c>
      <c r="D75" s="92">
        <v>1</v>
      </c>
      <c r="E75" s="256" t="s">
        <v>924</v>
      </c>
      <c r="F75" s="256" t="s">
        <v>932</v>
      </c>
      <c r="G75" s="92" t="s">
        <v>9</v>
      </c>
      <c r="H75" s="92" t="s">
        <v>225</v>
      </c>
      <c r="I75" s="92" t="s">
        <v>479</v>
      </c>
      <c r="J75" s="92" t="s">
        <v>470</v>
      </c>
      <c r="K75" s="92">
        <v>1</v>
      </c>
      <c r="L75" s="92" t="s">
        <v>42</v>
      </c>
      <c r="M75" s="92" t="s">
        <v>43</v>
      </c>
      <c r="N75" s="92"/>
      <c r="O75" s="92"/>
      <c r="P75" s="93"/>
      <c r="Q75" s="94"/>
      <c r="R75" s="92"/>
      <c r="S75" s="92"/>
    </row>
    <row r="76" spans="1:19">
      <c r="A76" s="91" t="s">
        <v>480</v>
      </c>
      <c r="B76" s="92" t="s">
        <v>481</v>
      </c>
      <c r="C76" s="92" t="s">
        <v>57</v>
      </c>
      <c r="D76" s="92">
        <v>1</v>
      </c>
      <c r="E76" s="256" t="s">
        <v>924</v>
      </c>
      <c r="F76" s="256" t="s">
        <v>933</v>
      </c>
      <c r="G76" s="92" t="s">
        <v>9</v>
      </c>
      <c r="H76" s="92" t="s">
        <v>222</v>
      </c>
      <c r="I76" s="92" t="s">
        <v>307</v>
      </c>
      <c r="J76" s="92" t="s">
        <v>194</v>
      </c>
      <c r="K76" s="92">
        <v>1</v>
      </c>
      <c r="L76" s="92" t="s">
        <v>42</v>
      </c>
      <c r="M76" s="92" t="s">
        <v>43</v>
      </c>
      <c r="N76" s="92"/>
      <c r="O76" s="92"/>
      <c r="P76" s="93"/>
      <c r="Q76" s="94"/>
      <c r="R76" s="92"/>
      <c r="S76" s="92"/>
    </row>
    <row r="77" spans="1:19">
      <c r="A77" s="91" t="s">
        <v>482</v>
      </c>
      <c r="B77" s="92" t="s">
        <v>483</v>
      </c>
      <c r="C77" s="92" t="s">
        <v>57</v>
      </c>
      <c r="D77" s="92">
        <v>1</v>
      </c>
      <c r="E77" s="256" t="s">
        <v>924</v>
      </c>
      <c r="F77" s="256" t="s">
        <v>934</v>
      </c>
      <c r="G77" s="92" t="s">
        <v>9</v>
      </c>
      <c r="H77" s="92" t="s">
        <v>219</v>
      </c>
      <c r="I77" s="92" t="s">
        <v>484</v>
      </c>
      <c r="J77" s="92" t="s">
        <v>470</v>
      </c>
      <c r="K77" s="92">
        <v>1</v>
      </c>
      <c r="L77" s="92" t="s">
        <v>42</v>
      </c>
      <c r="M77" s="92" t="s">
        <v>43</v>
      </c>
      <c r="N77" s="92"/>
      <c r="O77" s="92"/>
      <c r="P77" s="93"/>
      <c r="Q77" s="94"/>
      <c r="R77" s="92"/>
      <c r="S77" s="92"/>
    </row>
    <row r="78" spans="1:19">
      <c r="A78" s="91" t="s">
        <v>485</v>
      </c>
      <c r="B78" s="92" t="s">
        <v>486</v>
      </c>
      <c r="C78" s="92" t="s">
        <v>57</v>
      </c>
      <c r="D78" s="92">
        <v>1</v>
      </c>
      <c r="E78" s="256" t="s">
        <v>924</v>
      </c>
      <c r="F78" s="256" t="s">
        <v>935</v>
      </c>
      <c r="G78" s="92" t="s">
        <v>9</v>
      </c>
      <c r="H78" s="92" t="s">
        <v>223</v>
      </c>
      <c r="I78" s="92" t="s">
        <v>487</v>
      </c>
      <c r="J78" s="92" t="s">
        <v>194</v>
      </c>
      <c r="K78" s="92">
        <v>1</v>
      </c>
      <c r="L78" s="92" t="s">
        <v>42</v>
      </c>
      <c r="M78" s="92" t="s">
        <v>43</v>
      </c>
      <c r="N78" s="92"/>
      <c r="O78" s="92"/>
      <c r="P78" s="93"/>
      <c r="Q78" s="94"/>
      <c r="R78" s="92"/>
      <c r="S78" s="92"/>
    </row>
    <row r="79" spans="1:19">
      <c r="A79" s="91" t="s">
        <v>488</v>
      </c>
      <c r="B79" s="92" t="s">
        <v>489</v>
      </c>
      <c r="C79" s="92" t="s">
        <v>57</v>
      </c>
      <c r="D79" s="92">
        <v>1</v>
      </c>
      <c r="E79" s="256" t="s">
        <v>924</v>
      </c>
      <c r="F79" s="256" t="s">
        <v>936</v>
      </c>
      <c r="G79" s="92" t="s">
        <v>9</v>
      </c>
      <c r="H79" s="92" t="s">
        <v>219</v>
      </c>
      <c r="I79" s="92" t="s">
        <v>490</v>
      </c>
      <c r="J79" s="92" t="s">
        <v>194</v>
      </c>
      <c r="K79" s="92">
        <v>1</v>
      </c>
      <c r="L79" s="92" t="s">
        <v>42</v>
      </c>
      <c r="M79" s="92" t="s">
        <v>43</v>
      </c>
      <c r="N79" s="92"/>
      <c r="O79" s="92"/>
      <c r="P79" s="93"/>
      <c r="Q79" s="94"/>
      <c r="R79" s="92"/>
      <c r="S79" s="92"/>
    </row>
    <row r="80" spans="1:19">
      <c r="A80" s="91" t="s">
        <v>491</v>
      </c>
      <c r="B80" s="92" t="s">
        <v>492</v>
      </c>
      <c r="C80" s="92" t="s">
        <v>57</v>
      </c>
      <c r="D80" s="92">
        <v>1</v>
      </c>
      <c r="E80" s="256" t="s">
        <v>924</v>
      </c>
      <c r="F80" s="256" t="s">
        <v>937</v>
      </c>
      <c r="G80" s="92" t="s">
        <v>18</v>
      </c>
      <c r="H80" s="92" t="s">
        <v>228</v>
      </c>
      <c r="I80" s="92"/>
      <c r="J80" s="92" t="s">
        <v>194</v>
      </c>
      <c r="K80" s="92">
        <v>1</v>
      </c>
      <c r="L80" s="92" t="s">
        <v>42</v>
      </c>
      <c r="M80" s="92" t="s">
        <v>43</v>
      </c>
      <c r="N80" s="92"/>
      <c r="O80" s="92"/>
      <c r="P80" s="93"/>
      <c r="Q80" s="94"/>
      <c r="R80" s="92"/>
      <c r="S80" s="92"/>
    </row>
    <row r="81" spans="1:19">
      <c r="A81" s="91" t="s">
        <v>493</v>
      </c>
      <c r="B81" s="92" t="s">
        <v>494</v>
      </c>
      <c r="C81" s="92" t="s">
        <v>57</v>
      </c>
      <c r="D81" s="92">
        <v>1</v>
      </c>
      <c r="E81" s="256" t="s">
        <v>924</v>
      </c>
      <c r="F81" s="256" t="s">
        <v>938</v>
      </c>
      <c r="G81" s="92" t="s">
        <v>9</v>
      </c>
      <c r="H81" s="92" t="s">
        <v>219</v>
      </c>
      <c r="I81" s="92" t="s">
        <v>484</v>
      </c>
      <c r="J81" s="92" t="s">
        <v>470</v>
      </c>
      <c r="K81" s="92">
        <v>1</v>
      </c>
      <c r="L81" s="92" t="s">
        <v>42</v>
      </c>
      <c r="M81" s="92" t="s">
        <v>43</v>
      </c>
      <c r="N81" s="92"/>
      <c r="O81" s="92"/>
      <c r="P81" s="93"/>
      <c r="Q81" s="94"/>
      <c r="R81" s="92"/>
      <c r="S81" s="92"/>
    </row>
    <row r="82" spans="1:19">
      <c r="A82" s="91" t="s">
        <v>495</v>
      </c>
      <c r="B82" s="92" t="s">
        <v>496</v>
      </c>
      <c r="C82" s="92" t="s">
        <v>57</v>
      </c>
      <c r="D82" s="92">
        <v>1</v>
      </c>
      <c r="E82" s="256" t="s">
        <v>924</v>
      </c>
      <c r="F82" s="256" t="s">
        <v>939</v>
      </c>
      <c r="G82" s="92" t="s">
        <v>9</v>
      </c>
      <c r="H82" s="92" t="s">
        <v>222</v>
      </c>
      <c r="I82" s="92" t="s">
        <v>497</v>
      </c>
      <c r="J82" s="92" t="s">
        <v>470</v>
      </c>
      <c r="K82" s="92">
        <v>1</v>
      </c>
      <c r="L82" s="92" t="s">
        <v>42</v>
      </c>
      <c r="M82" s="92" t="s">
        <v>43</v>
      </c>
      <c r="N82" s="92"/>
      <c r="O82" s="92"/>
      <c r="P82" s="93"/>
      <c r="Q82" s="94"/>
      <c r="R82" s="92"/>
      <c r="S82" s="92"/>
    </row>
    <row r="83" spans="1:19">
      <c r="A83" s="91" t="s">
        <v>498</v>
      </c>
      <c r="B83" s="92" t="s">
        <v>499</v>
      </c>
      <c r="C83" s="92" t="s">
        <v>57</v>
      </c>
      <c r="D83" s="92">
        <v>1</v>
      </c>
      <c r="E83" s="95" t="s">
        <v>500</v>
      </c>
      <c r="F83" s="91">
        <v>511880</v>
      </c>
      <c r="G83" s="92" t="s">
        <v>18</v>
      </c>
      <c r="H83" s="92" t="s">
        <v>23</v>
      </c>
      <c r="I83" s="92"/>
      <c r="J83" s="92"/>
      <c r="K83" s="92">
        <v>1</v>
      </c>
      <c r="L83" s="92" t="s">
        <v>42</v>
      </c>
      <c r="M83" s="92" t="s">
        <v>43</v>
      </c>
      <c r="N83" s="92"/>
      <c r="O83" s="92"/>
      <c r="P83" s="93"/>
      <c r="Q83" s="94"/>
      <c r="R83" s="92"/>
      <c r="S83" s="92"/>
    </row>
    <row r="84" spans="1:19">
      <c r="A84" s="97" t="s">
        <v>502</v>
      </c>
      <c r="B84" s="96" t="s">
        <v>502</v>
      </c>
      <c r="C84" s="96" t="s">
        <v>38</v>
      </c>
      <c r="D84" s="96">
        <v>100</v>
      </c>
      <c r="E84" s="96"/>
      <c r="F84" s="96"/>
      <c r="G84" s="96" t="s">
        <v>44</v>
      </c>
      <c r="H84" s="96"/>
      <c r="I84" s="96"/>
      <c r="J84" s="96" t="s">
        <v>52</v>
      </c>
      <c r="K84" s="96">
        <v>1</v>
      </c>
      <c r="L84" s="96" t="s">
        <v>1002</v>
      </c>
      <c r="M84" s="96" t="s">
        <v>43</v>
      </c>
      <c r="N84" s="96"/>
      <c r="O84" s="96"/>
      <c r="P84" s="98">
        <v>43147</v>
      </c>
      <c r="Q84" s="99"/>
      <c r="R84" s="96" t="s">
        <v>330</v>
      </c>
      <c r="S84" s="96">
        <v>265</v>
      </c>
    </row>
    <row r="85" spans="1:19">
      <c r="A85" s="97" t="s">
        <v>503</v>
      </c>
      <c r="B85" s="96" t="s">
        <v>504</v>
      </c>
      <c r="C85" s="96" t="s">
        <v>38</v>
      </c>
      <c r="D85" s="96">
        <v>1</v>
      </c>
      <c r="E85" s="256" t="s">
        <v>924</v>
      </c>
      <c r="F85" s="255" t="s">
        <v>917</v>
      </c>
      <c r="G85" s="96" t="s">
        <v>18</v>
      </c>
      <c r="H85" s="96" t="s">
        <v>228</v>
      </c>
      <c r="I85" s="96"/>
      <c r="J85" s="96" t="s">
        <v>19</v>
      </c>
      <c r="K85" s="96">
        <v>1</v>
      </c>
      <c r="L85" s="96" t="s">
        <v>42</v>
      </c>
      <c r="M85" s="96" t="s">
        <v>43</v>
      </c>
      <c r="N85" s="96" t="s">
        <v>504</v>
      </c>
      <c r="O85" s="96"/>
      <c r="P85" s="98"/>
      <c r="Q85" s="99"/>
      <c r="R85" s="96"/>
      <c r="S85" s="96"/>
    </row>
    <row r="86" spans="1:19">
      <c r="A86" s="97" t="s">
        <v>505</v>
      </c>
      <c r="B86" s="96" t="s">
        <v>506</v>
      </c>
      <c r="C86" s="96" t="s">
        <v>38</v>
      </c>
      <c r="D86" s="96">
        <v>1</v>
      </c>
      <c r="E86" s="256" t="s">
        <v>924</v>
      </c>
      <c r="F86" s="255" t="s">
        <v>918</v>
      </c>
      <c r="G86" s="96" t="s">
        <v>18</v>
      </c>
      <c r="H86" s="96" t="s">
        <v>23</v>
      </c>
      <c r="I86" s="96" t="s">
        <v>507</v>
      </c>
      <c r="J86" s="96" t="s">
        <v>19</v>
      </c>
      <c r="K86" s="96">
        <v>1</v>
      </c>
      <c r="L86" s="96" t="s">
        <v>1002</v>
      </c>
      <c r="M86" s="96" t="s">
        <v>15</v>
      </c>
      <c r="N86" s="96"/>
      <c r="O86" s="96"/>
      <c r="P86" s="98"/>
      <c r="Q86" s="99"/>
      <c r="R86" s="96"/>
      <c r="S86" s="96"/>
    </row>
    <row r="87" spans="1:19">
      <c r="A87" s="97" t="s">
        <v>508</v>
      </c>
      <c r="B87" s="96" t="s">
        <v>509</v>
      </c>
      <c r="C87" s="96" t="s">
        <v>38</v>
      </c>
      <c r="D87" s="96">
        <v>1</v>
      </c>
      <c r="E87" s="256" t="s">
        <v>924</v>
      </c>
      <c r="F87" s="255" t="s">
        <v>919</v>
      </c>
      <c r="G87" s="96" t="s">
        <v>18</v>
      </c>
      <c r="H87" s="96" t="s">
        <v>228</v>
      </c>
      <c r="I87" s="96"/>
      <c r="J87" s="96" t="s">
        <v>12</v>
      </c>
      <c r="K87" s="96">
        <v>1</v>
      </c>
      <c r="L87" s="96" t="s">
        <v>1002</v>
      </c>
      <c r="M87" s="96" t="s">
        <v>15</v>
      </c>
      <c r="N87" s="96"/>
      <c r="O87" s="96"/>
      <c r="P87" s="98"/>
      <c r="Q87" s="99"/>
      <c r="R87" s="96"/>
      <c r="S87" s="96"/>
    </row>
    <row r="88" spans="1:19">
      <c r="A88" s="97" t="s">
        <v>510</v>
      </c>
      <c r="B88" s="96" t="s">
        <v>511</v>
      </c>
      <c r="C88" s="96" t="s">
        <v>38</v>
      </c>
      <c r="D88" s="96">
        <v>1</v>
      </c>
      <c r="E88" s="256" t="s">
        <v>924</v>
      </c>
      <c r="F88" s="255" t="s">
        <v>920</v>
      </c>
      <c r="G88" s="96" t="s">
        <v>18</v>
      </c>
      <c r="H88" s="96" t="s">
        <v>228</v>
      </c>
      <c r="I88" s="96"/>
      <c r="J88" s="96" t="s">
        <v>19</v>
      </c>
      <c r="K88" s="96">
        <v>1</v>
      </c>
      <c r="L88" s="96" t="s">
        <v>512</v>
      </c>
      <c r="M88" s="96"/>
      <c r="N88" s="96"/>
      <c r="O88" s="96"/>
      <c r="P88" s="98"/>
      <c r="Q88" s="99"/>
      <c r="R88" s="96"/>
      <c r="S88" s="96"/>
    </row>
    <row r="89" spans="1:19">
      <c r="A89" s="97" t="s">
        <v>513</v>
      </c>
      <c r="B89" s="96" t="s">
        <v>514</v>
      </c>
      <c r="C89" s="96" t="s">
        <v>38</v>
      </c>
      <c r="D89" s="96">
        <v>1</v>
      </c>
      <c r="E89" s="256" t="s">
        <v>924</v>
      </c>
      <c r="F89" s="255" t="s">
        <v>921</v>
      </c>
      <c r="G89" s="96" t="s">
        <v>18</v>
      </c>
      <c r="H89" s="96" t="s">
        <v>217</v>
      </c>
      <c r="I89" s="96"/>
      <c r="J89" s="96" t="s">
        <v>19</v>
      </c>
      <c r="K89" s="96">
        <v>1</v>
      </c>
      <c r="L89" s="96" t="s">
        <v>1002</v>
      </c>
      <c r="M89" s="96" t="s">
        <v>15</v>
      </c>
      <c r="N89" s="96"/>
      <c r="O89" s="96"/>
      <c r="P89" s="98"/>
      <c r="Q89" s="99"/>
      <c r="R89" s="96"/>
      <c r="S89" s="96"/>
    </row>
    <row r="90" spans="1:19">
      <c r="A90" s="97" t="s">
        <v>521</v>
      </c>
      <c r="B90" s="96" t="s">
        <v>592</v>
      </c>
      <c r="C90" s="96" t="s">
        <v>38</v>
      </c>
      <c r="D90" s="96">
        <v>1</v>
      </c>
      <c r="E90" s="256" t="s">
        <v>924</v>
      </c>
      <c r="F90" s="255" t="s">
        <v>922</v>
      </c>
      <c r="G90" s="96" t="s">
        <v>9</v>
      </c>
      <c r="H90" s="96" t="s">
        <v>10</v>
      </c>
      <c r="I90" s="96" t="s">
        <v>280</v>
      </c>
      <c r="J90" s="96" t="s">
        <v>12</v>
      </c>
      <c r="K90" s="96">
        <v>1</v>
      </c>
      <c r="L90" s="96" t="s">
        <v>42</v>
      </c>
      <c r="M90" s="96" t="s">
        <v>43</v>
      </c>
      <c r="N90" s="96" t="s">
        <v>593</v>
      </c>
      <c r="O90" s="96"/>
      <c r="P90" s="98"/>
      <c r="Q90" s="99"/>
      <c r="R90" s="96"/>
      <c r="S90" s="96"/>
    </row>
    <row r="91" spans="1:19">
      <c r="A91" s="97" t="s">
        <v>524</v>
      </c>
      <c r="B91" s="96" t="s">
        <v>594</v>
      </c>
      <c r="C91" s="96" t="s">
        <v>38</v>
      </c>
      <c r="D91" s="96">
        <v>1</v>
      </c>
      <c r="E91" s="256" t="s">
        <v>924</v>
      </c>
      <c r="F91" s="255" t="s">
        <v>923</v>
      </c>
      <c r="G91" s="96" t="s">
        <v>9</v>
      </c>
      <c r="H91" s="96" t="s">
        <v>220</v>
      </c>
      <c r="I91" s="96" t="s">
        <v>595</v>
      </c>
      <c r="J91" s="96" t="s">
        <v>247</v>
      </c>
      <c r="K91" s="96">
        <v>1</v>
      </c>
      <c r="L91" s="96" t="s">
        <v>1002</v>
      </c>
      <c r="M91" s="96" t="s">
        <v>15</v>
      </c>
      <c r="N91" s="96"/>
      <c r="O91" s="96"/>
      <c r="P91" s="98"/>
      <c r="Q91" s="99"/>
      <c r="R91" s="96"/>
      <c r="S91" s="96"/>
    </row>
    <row r="92" spans="1:19">
      <c r="A92" s="115" t="s">
        <v>596</v>
      </c>
      <c r="B92" s="116" t="s">
        <v>596</v>
      </c>
      <c r="C92" s="116" t="s">
        <v>38</v>
      </c>
      <c r="D92" s="116">
        <v>100</v>
      </c>
      <c r="E92" s="116"/>
      <c r="F92" s="116"/>
      <c r="G92" s="116" t="s">
        <v>44</v>
      </c>
      <c r="H92" s="116"/>
      <c r="I92" s="116"/>
      <c r="J92" s="116"/>
      <c r="K92" s="116">
        <v>1</v>
      </c>
      <c r="L92" s="116"/>
      <c r="M92" s="116"/>
      <c r="N92" s="116"/>
      <c r="O92" s="116"/>
      <c r="P92" s="117">
        <v>43070</v>
      </c>
      <c r="Q92" s="118"/>
      <c r="R92" s="116" t="s">
        <v>48</v>
      </c>
      <c r="S92" s="116">
        <v>1220</v>
      </c>
    </row>
    <row r="93" spans="1:19">
      <c r="A93" s="133" t="s">
        <v>602</v>
      </c>
      <c r="B93" s="134" t="s">
        <v>603</v>
      </c>
      <c r="C93" s="134" t="s">
        <v>57</v>
      </c>
      <c r="D93" s="134">
        <v>1</v>
      </c>
      <c r="E93" s="134" t="s">
        <v>500</v>
      </c>
      <c r="F93" s="133" t="s">
        <v>604</v>
      </c>
      <c r="G93" s="134" t="s">
        <v>54</v>
      </c>
      <c r="H93" s="134" t="s">
        <v>228</v>
      </c>
      <c r="I93" s="134"/>
      <c r="J93" s="134" t="s">
        <v>194</v>
      </c>
      <c r="K93" s="134">
        <v>1</v>
      </c>
      <c r="L93" s="134" t="s">
        <v>42</v>
      </c>
      <c r="M93" s="134" t="s">
        <v>43</v>
      </c>
      <c r="N93" s="134"/>
      <c r="O93" s="134"/>
      <c r="P93" s="135"/>
      <c r="Q93" s="136"/>
      <c r="R93" s="134"/>
      <c r="S93" s="134"/>
    </row>
    <row r="94" spans="1:19">
      <c r="A94" s="133" t="s">
        <v>605</v>
      </c>
      <c r="B94" s="134" t="s">
        <v>606</v>
      </c>
      <c r="C94" s="134" t="s">
        <v>57</v>
      </c>
      <c r="D94" s="134">
        <v>1</v>
      </c>
      <c r="E94" s="134" t="s">
        <v>500</v>
      </c>
      <c r="F94" s="133" t="s">
        <v>607</v>
      </c>
      <c r="G94" s="134" t="s">
        <v>54</v>
      </c>
      <c r="H94" s="134" t="s">
        <v>228</v>
      </c>
      <c r="I94" s="134"/>
      <c r="J94" s="134" t="s">
        <v>194</v>
      </c>
      <c r="K94" s="134">
        <v>1</v>
      </c>
      <c r="L94" s="134" t="s">
        <v>42</v>
      </c>
      <c r="M94" s="134" t="s">
        <v>43</v>
      </c>
      <c r="N94" s="134"/>
      <c r="O94" s="134"/>
      <c r="P94" s="135"/>
      <c r="Q94" s="136"/>
      <c r="R94" s="134"/>
      <c r="S94" s="134"/>
    </row>
    <row r="95" spans="1:19">
      <c r="A95" s="133" t="s">
        <v>608</v>
      </c>
      <c r="B95" s="134" t="s">
        <v>609</v>
      </c>
      <c r="C95" s="134" t="s">
        <v>57</v>
      </c>
      <c r="D95" s="134">
        <v>1</v>
      </c>
      <c r="E95" s="134" t="s">
        <v>500</v>
      </c>
      <c r="F95" s="133" t="s">
        <v>610</v>
      </c>
      <c r="G95" s="134" t="s">
        <v>54</v>
      </c>
      <c r="H95" s="134" t="s">
        <v>228</v>
      </c>
      <c r="I95" s="134"/>
      <c r="J95" s="134" t="s">
        <v>194</v>
      </c>
      <c r="K95" s="134">
        <v>1</v>
      </c>
      <c r="L95" s="134" t="s">
        <v>42</v>
      </c>
      <c r="M95" s="134" t="s">
        <v>43</v>
      </c>
      <c r="N95" s="134"/>
      <c r="O95" s="134"/>
      <c r="P95" s="135"/>
      <c r="Q95" s="136"/>
      <c r="R95" s="134"/>
      <c r="S95" s="134"/>
    </row>
    <row r="96" spans="1:19">
      <c r="A96" s="133" t="s">
        <v>611</v>
      </c>
      <c r="B96" s="134" t="s">
        <v>612</v>
      </c>
      <c r="C96" s="134" t="s">
        <v>57</v>
      </c>
      <c r="D96" s="134">
        <v>1</v>
      </c>
      <c r="E96" s="134" t="s">
        <v>500</v>
      </c>
      <c r="F96" s="133" t="s">
        <v>613</v>
      </c>
      <c r="G96" s="134" t="s">
        <v>54</v>
      </c>
      <c r="H96" s="134" t="s">
        <v>228</v>
      </c>
      <c r="I96" s="134"/>
      <c r="J96" s="134" t="s">
        <v>194</v>
      </c>
      <c r="K96" s="134">
        <v>1</v>
      </c>
      <c r="L96" s="134" t="s">
        <v>42</v>
      </c>
      <c r="M96" s="134" t="s">
        <v>43</v>
      </c>
      <c r="N96" s="134"/>
      <c r="O96" s="134"/>
      <c r="P96" s="135"/>
      <c r="Q96" s="136"/>
      <c r="R96" s="134"/>
      <c r="S96" s="134"/>
    </row>
    <row r="97" spans="1:19">
      <c r="A97" s="133" t="s">
        <v>614</v>
      </c>
      <c r="B97" s="134" t="s">
        <v>615</v>
      </c>
      <c r="C97" s="134" t="s">
        <v>57</v>
      </c>
      <c r="D97" s="134">
        <v>1</v>
      </c>
      <c r="E97" s="134" t="s">
        <v>500</v>
      </c>
      <c r="F97" s="133" t="s">
        <v>616</v>
      </c>
      <c r="G97" s="134" t="s">
        <v>54</v>
      </c>
      <c r="H97" s="134" t="s">
        <v>228</v>
      </c>
      <c r="I97" s="134"/>
      <c r="J97" s="134" t="s">
        <v>194</v>
      </c>
      <c r="K97" s="134">
        <v>1</v>
      </c>
      <c r="L97" s="134" t="s">
        <v>42</v>
      </c>
      <c r="M97" s="134" t="s">
        <v>43</v>
      </c>
      <c r="N97" s="134"/>
      <c r="O97" s="134"/>
      <c r="P97" s="135"/>
      <c r="Q97" s="136"/>
      <c r="R97" s="134"/>
      <c r="S97" s="134"/>
    </row>
    <row r="98" spans="1:19">
      <c r="A98" s="133" t="s">
        <v>617</v>
      </c>
      <c r="B98" s="134" t="s">
        <v>618</v>
      </c>
      <c r="C98" s="134" t="s">
        <v>57</v>
      </c>
      <c r="D98" s="134">
        <v>1</v>
      </c>
      <c r="E98" s="134" t="s">
        <v>500</v>
      </c>
      <c r="F98" s="133" t="s">
        <v>619</v>
      </c>
      <c r="G98" s="134" t="s">
        <v>54</v>
      </c>
      <c r="H98" s="134" t="s">
        <v>23</v>
      </c>
      <c r="I98" s="134"/>
      <c r="J98" s="134" t="s">
        <v>194</v>
      </c>
      <c r="K98" s="134">
        <v>1</v>
      </c>
      <c r="L98" s="134" t="s">
        <v>42</v>
      </c>
      <c r="M98" s="134" t="s">
        <v>43</v>
      </c>
      <c r="N98" s="134"/>
      <c r="O98" s="134"/>
      <c r="P98" s="135"/>
      <c r="Q98" s="136"/>
      <c r="R98" s="134"/>
      <c r="S98" s="134"/>
    </row>
    <row r="99" spans="1:19">
      <c r="A99" s="133" t="s">
        <v>620</v>
      </c>
      <c r="B99" s="134" t="s">
        <v>621</v>
      </c>
      <c r="C99" s="134" t="s">
        <v>57</v>
      </c>
      <c r="D99" s="134">
        <v>1</v>
      </c>
      <c r="E99" s="134" t="s">
        <v>500</v>
      </c>
      <c r="F99" s="133" t="s">
        <v>622</v>
      </c>
      <c r="G99" s="134" t="s">
        <v>54</v>
      </c>
      <c r="H99" s="134" t="s">
        <v>228</v>
      </c>
      <c r="I99" s="134"/>
      <c r="J99" s="134" t="s">
        <v>194</v>
      </c>
      <c r="K99" s="134">
        <v>1</v>
      </c>
      <c r="L99" s="134" t="s">
        <v>42</v>
      </c>
      <c r="M99" s="134" t="s">
        <v>43</v>
      </c>
      <c r="N99" s="134"/>
      <c r="O99" s="134"/>
      <c r="P99" s="135"/>
      <c r="Q99" s="136"/>
      <c r="R99" s="134"/>
      <c r="S99" s="134"/>
    </row>
    <row r="100" spans="1:19">
      <c r="A100" s="133" t="s">
        <v>623</v>
      </c>
      <c r="B100" s="134" t="s">
        <v>624</v>
      </c>
      <c r="C100" s="134" t="s">
        <v>57</v>
      </c>
      <c r="D100" s="134">
        <v>1</v>
      </c>
      <c r="E100" s="153" t="s">
        <v>640</v>
      </c>
      <c r="F100" s="133" t="s">
        <v>625</v>
      </c>
      <c r="G100" s="134" t="s">
        <v>54</v>
      </c>
      <c r="H100" s="134" t="s">
        <v>23</v>
      </c>
      <c r="I100" s="134"/>
      <c r="J100" s="134" t="s">
        <v>194</v>
      </c>
      <c r="K100" s="134">
        <v>1</v>
      </c>
      <c r="L100" s="134" t="s">
        <v>42</v>
      </c>
      <c r="M100" s="134" t="s">
        <v>43</v>
      </c>
      <c r="N100" s="134"/>
      <c r="O100" s="134"/>
      <c r="P100" s="135"/>
      <c r="Q100" s="136"/>
      <c r="R100" s="134"/>
      <c r="S100" s="134"/>
    </row>
    <row r="101" spans="1:19">
      <c r="A101" s="133" t="s">
        <v>626</v>
      </c>
      <c r="B101" s="134" t="s">
        <v>627</v>
      </c>
      <c r="C101" s="134" t="s">
        <v>57</v>
      </c>
      <c r="D101" s="134">
        <v>1</v>
      </c>
      <c r="E101" s="134" t="s">
        <v>500</v>
      </c>
      <c r="F101" s="133" t="s">
        <v>628</v>
      </c>
      <c r="G101" s="134" t="s">
        <v>54</v>
      </c>
      <c r="H101" s="134" t="s">
        <v>23</v>
      </c>
      <c r="I101" s="134"/>
      <c r="J101" s="134" t="s">
        <v>194</v>
      </c>
      <c r="K101" s="134">
        <v>1</v>
      </c>
      <c r="L101" s="134" t="s">
        <v>42</v>
      </c>
      <c r="M101" s="134" t="s">
        <v>43</v>
      </c>
      <c r="N101" s="134"/>
      <c r="O101" s="134"/>
      <c r="P101" s="135"/>
      <c r="Q101" s="136"/>
      <c r="R101" s="134"/>
      <c r="S101" s="134"/>
    </row>
    <row r="102" spans="1:19">
      <c r="A102" s="133" t="s">
        <v>629</v>
      </c>
      <c r="B102" s="134" t="s">
        <v>630</v>
      </c>
      <c r="C102" s="134" t="s">
        <v>57</v>
      </c>
      <c r="D102" s="134">
        <v>1</v>
      </c>
      <c r="E102" s="153" t="s">
        <v>640</v>
      </c>
      <c r="F102" s="133" t="s">
        <v>631</v>
      </c>
      <c r="G102" s="134" t="s">
        <v>54</v>
      </c>
      <c r="H102" s="134" t="s">
        <v>23</v>
      </c>
      <c r="I102" s="134"/>
      <c r="J102" s="134" t="s">
        <v>194</v>
      </c>
      <c r="K102" s="134">
        <v>1</v>
      </c>
      <c r="L102" s="134" t="s">
        <v>42</v>
      </c>
      <c r="M102" s="134" t="s">
        <v>43</v>
      </c>
      <c r="N102" s="134"/>
      <c r="O102" s="134"/>
      <c r="P102" s="135"/>
      <c r="Q102" s="136"/>
      <c r="R102" s="134"/>
      <c r="S102" s="134"/>
    </row>
    <row r="103" spans="1:19">
      <c r="A103" s="133" t="s">
        <v>632</v>
      </c>
      <c r="B103" s="134" t="s">
        <v>633</v>
      </c>
      <c r="C103" s="134" t="s">
        <v>57</v>
      </c>
      <c r="D103" s="134">
        <v>1</v>
      </c>
      <c r="E103" s="134" t="s">
        <v>500</v>
      </c>
      <c r="F103" s="133" t="s">
        <v>634</v>
      </c>
      <c r="G103" s="134" t="s">
        <v>54</v>
      </c>
      <c r="H103" s="134" t="s">
        <v>228</v>
      </c>
      <c r="I103" s="134"/>
      <c r="J103" s="134" t="s">
        <v>194</v>
      </c>
      <c r="K103" s="134">
        <v>1</v>
      </c>
      <c r="L103" s="134" t="s">
        <v>42</v>
      </c>
      <c r="M103" s="134" t="s">
        <v>43</v>
      </c>
      <c r="N103" s="134"/>
      <c r="O103" s="134"/>
      <c r="P103" s="135"/>
      <c r="Q103" s="136"/>
      <c r="R103" s="134"/>
      <c r="S103" s="134"/>
    </row>
    <row r="104" spans="1:19">
      <c r="A104" s="133" t="s">
        <v>635</v>
      </c>
      <c r="B104" s="134" t="s">
        <v>636</v>
      </c>
      <c r="C104" s="134" t="s">
        <v>57</v>
      </c>
      <c r="D104" s="134">
        <v>1</v>
      </c>
      <c r="E104" s="134" t="s">
        <v>500</v>
      </c>
      <c r="F104" s="133" t="s">
        <v>637</v>
      </c>
      <c r="G104" s="134" t="s">
        <v>54</v>
      </c>
      <c r="H104" s="134" t="s">
        <v>228</v>
      </c>
      <c r="I104" s="134"/>
      <c r="J104" s="134" t="s">
        <v>194</v>
      </c>
      <c r="K104" s="134">
        <v>1</v>
      </c>
      <c r="L104" s="134" t="s">
        <v>42</v>
      </c>
      <c r="M104" s="134" t="s">
        <v>43</v>
      </c>
      <c r="N104" s="134"/>
      <c r="O104" s="134"/>
      <c r="P104" s="135"/>
      <c r="Q104" s="136"/>
      <c r="R104" s="134"/>
      <c r="S104" s="134"/>
    </row>
    <row r="105" spans="1:19">
      <c r="A105" s="169" t="s">
        <v>642</v>
      </c>
      <c r="B105" s="154" t="s">
        <v>760</v>
      </c>
      <c r="C105" s="154" t="s">
        <v>57</v>
      </c>
      <c r="D105" s="154">
        <v>1</v>
      </c>
      <c r="E105" s="256" t="s">
        <v>924</v>
      </c>
      <c r="F105" s="256" t="s">
        <v>940</v>
      </c>
      <c r="G105" s="154" t="s">
        <v>9</v>
      </c>
      <c r="H105" s="154" t="s">
        <v>222</v>
      </c>
      <c r="I105" s="154" t="s">
        <v>772</v>
      </c>
      <c r="J105" s="154" t="s">
        <v>470</v>
      </c>
      <c r="K105" s="154">
        <v>1</v>
      </c>
      <c r="L105" s="154" t="s">
        <v>42</v>
      </c>
      <c r="M105" s="154" t="s">
        <v>43</v>
      </c>
      <c r="N105" s="154"/>
      <c r="O105" s="154"/>
      <c r="P105" s="170"/>
      <c r="Q105" s="171"/>
      <c r="R105" s="154"/>
      <c r="S105" s="154"/>
    </row>
    <row r="106" spans="1:19">
      <c r="A106" s="169" t="s">
        <v>643</v>
      </c>
      <c r="B106" s="154" t="s">
        <v>761</v>
      </c>
      <c r="C106" s="154" t="s">
        <v>57</v>
      </c>
      <c r="D106" s="154">
        <v>1</v>
      </c>
      <c r="E106" s="256" t="s">
        <v>924</v>
      </c>
      <c r="F106" s="256" t="s">
        <v>941</v>
      </c>
      <c r="G106" s="154" t="s">
        <v>9</v>
      </c>
      <c r="H106" s="154" t="s">
        <v>224</v>
      </c>
      <c r="I106" s="154" t="s">
        <v>762</v>
      </c>
      <c r="J106" s="154" t="s">
        <v>470</v>
      </c>
      <c r="K106" s="154">
        <v>1</v>
      </c>
      <c r="L106" s="154" t="s">
        <v>42</v>
      </c>
      <c r="M106" s="154" t="s">
        <v>43</v>
      </c>
      <c r="N106" s="154"/>
      <c r="O106" s="154"/>
      <c r="P106" s="170"/>
      <c r="Q106" s="171"/>
      <c r="R106" s="154"/>
      <c r="S106" s="154"/>
    </row>
    <row r="107" spans="1:19">
      <c r="A107" s="169" t="s">
        <v>644</v>
      </c>
      <c r="B107" s="154" t="s">
        <v>763</v>
      </c>
      <c r="C107" s="154" t="s">
        <v>57</v>
      </c>
      <c r="D107" s="154">
        <v>1</v>
      </c>
      <c r="E107" s="256" t="s">
        <v>924</v>
      </c>
      <c r="F107" s="256" t="s">
        <v>942</v>
      </c>
      <c r="G107" s="154" t="s">
        <v>9</v>
      </c>
      <c r="H107" s="154" t="s">
        <v>10</v>
      </c>
      <c r="I107" s="154" t="s">
        <v>280</v>
      </c>
      <c r="J107" s="154" t="s">
        <v>470</v>
      </c>
      <c r="K107" s="154">
        <v>1</v>
      </c>
      <c r="L107" s="154" t="s">
        <v>42</v>
      </c>
      <c r="M107" s="154" t="s">
        <v>43</v>
      </c>
      <c r="N107" s="154"/>
      <c r="O107" s="154"/>
      <c r="P107" s="170"/>
      <c r="Q107" s="171"/>
      <c r="R107" s="154"/>
      <c r="S107" s="154"/>
    </row>
    <row r="108" spans="1:19">
      <c r="A108" s="169" t="s">
        <v>647</v>
      </c>
      <c r="B108" s="154" t="s">
        <v>764</v>
      </c>
      <c r="C108" s="154" t="s">
        <v>57</v>
      </c>
      <c r="D108" s="154">
        <v>1</v>
      </c>
      <c r="E108" s="256" t="s">
        <v>924</v>
      </c>
      <c r="F108" s="256" t="s">
        <v>943</v>
      </c>
      <c r="G108" s="154" t="s">
        <v>9</v>
      </c>
      <c r="H108" s="154" t="s">
        <v>225</v>
      </c>
      <c r="I108" s="154" t="s">
        <v>765</v>
      </c>
      <c r="J108" s="154" t="s">
        <v>470</v>
      </c>
      <c r="K108" s="154">
        <v>1</v>
      </c>
      <c r="L108" s="154" t="s">
        <v>42</v>
      </c>
      <c r="M108" s="154" t="s">
        <v>43</v>
      </c>
      <c r="N108" s="154"/>
      <c r="O108" s="154"/>
      <c r="P108" s="170"/>
      <c r="Q108" s="171"/>
      <c r="R108" s="154"/>
      <c r="S108" s="154"/>
    </row>
    <row r="109" spans="1:19">
      <c r="A109" s="169" t="s">
        <v>648</v>
      </c>
      <c r="B109" s="154" t="s">
        <v>766</v>
      </c>
      <c r="C109" s="154" t="s">
        <v>57</v>
      </c>
      <c r="D109" s="154">
        <v>1</v>
      </c>
      <c r="E109" s="256" t="s">
        <v>924</v>
      </c>
      <c r="F109" s="256" t="s">
        <v>944</v>
      </c>
      <c r="G109" s="154" t="s">
        <v>9</v>
      </c>
      <c r="H109" s="154" t="s">
        <v>223</v>
      </c>
      <c r="I109" s="154" t="s">
        <v>767</v>
      </c>
      <c r="J109" s="154" t="s">
        <v>470</v>
      </c>
      <c r="K109" s="154">
        <v>1</v>
      </c>
      <c r="L109" s="154" t="s">
        <v>42</v>
      </c>
      <c r="M109" s="154" t="s">
        <v>43</v>
      </c>
      <c r="N109" s="154"/>
      <c r="O109" s="154"/>
      <c r="P109" s="170"/>
      <c r="Q109" s="171"/>
      <c r="R109" s="154"/>
      <c r="S109" s="154"/>
    </row>
    <row r="110" spans="1:19">
      <c r="A110" s="169" t="s">
        <v>649</v>
      </c>
      <c r="B110" s="154" t="s">
        <v>768</v>
      </c>
      <c r="C110" s="154" t="s">
        <v>57</v>
      </c>
      <c r="D110" s="154">
        <v>1</v>
      </c>
      <c r="E110" s="256" t="s">
        <v>924</v>
      </c>
      <c r="F110" s="256" t="s">
        <v>945</v>
      </c>
      <c r="G110" s="154" t="s">
        <v>9</v>
      </c>
      <c r="H110" s="154" t="s">
        <v>222</v>
      </c>
      <c r="I110" s="154" t="s">
        <v>769</v>
      </c>
      <c r="J110" s="154" t="s">
        <v>470</v>
      </c>
      <c r="K110" s="154">
        <v>1</v>
      </c>
      <c r="L110" s="154" t="s">
        <v>42</v>
      </c>
      <c r="M110" s="154" t="s">
        <v>43</v>
      </c>
      <c r="N110" s="154"/>
      <c r="O110" s="154"/>
      <c r="P110" s="170"/>
      <c r="Q110" s="171"/>
      <c r="R110" s="154"/>
      <c r="S110" s="154"/>
    </row>
    <row r="111" spans="1:19">
      <c r="A111" s="169" t="s">
        <v>650</v>
      </c>
      <c r="B111" s="154" t="s">
        <v>770</v>
      </c>
      <c r="C111" s="154" t="s">
        <v>57</v>
      </c>
      <c r="D111" s="154">
        <v>1</v>
      </c>
      <c r="E111" s="256" t="s">
        <v>924</v>
      </c>
      <c r="F111" s="256" t="s">
        <v>946</v>
      </c>
      <c r="G111" s="154" t="s">
        <v>9</v>
      </c>
      <c r="H111" s="154" t="s">
        <v>219</v>
      </c>
      <c r="I111" s="154" t="s">
        <v>771</v>
      </c>
      <c r="J111" s="154" t="s">
        <v>470</v>
      </c>
      <c r="K111" s="154">
        <v>1</v>
      </c>
      <c r="L111" s="154" t="s">
        <v>42</v>
      </c>
      <c r="M111" s="154" t="s">
        <v>43</v>
      </c>
      <c r="N111" s="154"/>
      <c r="O111" s="154"/>
      <c r="P111" s="170"/>
      <c r="Q111" s="171"/>
      <c r="R111" s="154"/>
      <c r="S111" s="154"/>
    </row>
    <row r="112" spans="1:19">
      <c r="A112" s="169" t="s">
        <v>654</v>
      </c>
      <c r="B112" s="154" t="s">
        <v>773</v>
      </c>
      <c r="C112" s="154" t="s">
        <v>57</v>
      </c>
      <c r="D112" s="154">
        <v>1</v>
      </c>
      <c r="E112" s="154" t="s">
        <v>500</v>
      </c>
      <c r="F112" s="169">
        <v>161010</v>
      </c>
      <c r="G112" s="154" t="s">
        <v>9</v>
      </c>
      <c r="H112" s="154" t="s">
        <v>23</v>
      </c>
      <c r="I112" s="154"/>
      <c r="J112" s="154" t="s">
        <v>470</v>
      </c>
      <c r="K112" s="154">
        <v>1</v>
      </c>
      <c r="L112" s="154" t="s">
        <v>42</v>
      </c>
      <c r="M112" s="154" t="s">
        <v>43</v>
      </c>
      <c r="N112" s="154"/>
      <c r="O112" s="154"/>
      <c r="P112" s="170"/>
      <c r="Q112" s="171"/>
      <c r="R112" s="154"/>
      <c r="S112" s="154"/>
    </row>
    <row r="113" spans="1:19">
      <c r="A113" s="169" t="s">
        <v>655</v>
      </c>
      <c r="B113" s="154" t="s">
        <v>774</v>
      </c>
      <c r="C113" s="154" t="s">
        <v>57</v>
      </c>
      <c r="D113" s="154">
        <v>1</v>
      </c>
      <c r="E113" s="256" t="s">
        <v>924</v>
      </c>
      <c r="F113" s="256" t="s">
        <v>947</v>
      </c>
      <c r="G113" s="154" t="s">
        <v>9</v>
      </c>
      <c r="H113" s="154" t="s">
        <v>35</v>
      </c>
      <c r="I113" s="154" t="s">
        <v>775</v>
      </c>
      <c r="J113" s="154" t="s">
        <v>194</v>
      </c>
      <c r="K113" s="154">
        <v>1</v>
      </c>
      <c r="L113" s="154" t="s">
        <v>42</v>
      </c>
      <c r="M113" s="154" t="s">
        <v>43</v>
      </c>
      <c r="N113" s="154"/>
      <c r="O113" s="154"/>
      <c r="P113" s="170"/>
      <c r="Q113" s="171"/>
      <c r="R113" s="154"/>
      <c r="S113" s="154"/>
    </row>
    <row r="114" spans="1:19">
      <c r="A114" s="169" t="s">
        <v>656</v>
      </c>
      <c r="B114" s="154" t="s">
        <v>776</v>
      </c>
      <c r="C114" s="154" t="s">
        <v>57</v>
      </c>
      <c r="D114" s="154">
        <v>1</v>
      </c>
      <c r="E114" s="154" t="s">
        <v>500</v>
      </c>
      <c r="F114" s="169">
        <v>150051</v>
      </c>
      <c r="G114" s="154" t="s">
        <v>23</v>
      </c>
      <c r="H114" s="154" t="s">
        <v>23</v>
      </c>
      <c r="I114" s="154"/>
      <c r="J114" s="154" t="s">
        <v>470</v>
      </c>
      <c r="K114" s="154">
        <v>1</v>
      </c>
      <c r="L114" s="154" t="s">
        <v>42</v>
      </c>
      <c r="M114" s="154" t="s">
        <v>43</v>
      </c>
      <c r="N114" s="154"/>
      <c r="O114" s="154"/>
      <c r="P114" s="170"/>
      <c r="Q114" s="171"/>
      <c r="R114" s="154"/>
      <c r="S114" s="154"/>
    </row>
    <row r="115" spans="1:19">
      <c r="A115" s="169" t="s">
        <v>657</v>
      </c>
      <c r="B115" s="154" t="s">
        <v>777</v>
      </c>
      <c r="C115" s="154" t="s">
        <v>57</v>
      </c>
      <c r="D115" s="154">
        <v>1</v>
      </c>
      <c r="E115" s="154"/>
      <c r="F115" s="154"/>
      <c r="G115" s="154" t="s">
        <v>18</v>
      </c>
      <c r="H115" s="154" t="s">
        <v>23</v>
      </c>
      <c r="I115" s="154"/>
      <c r="J115" s="154" t="s">
        <v>194</v>
      </c>
      <c r="K115" s="154">
        <v>1</v>
      </c>
      <c r="L115" s="154" t="s">
        <v>42</v>
      </c>
      <c r="M115" s="154" t="s">
        <v>43</v>
      </c>
      <c r="N115" s="154"/>
      <c r="O115" s="154"/>
      <c r="P115" s="170"/>
      <c r="Q115" s="171"/>
      <c r="R115" s="154"/>
      <c r="S115" s="154"/>
    </row>
    <row r="116" spans="1:19">
      <c r="A116" s="169" t="s">
        <v>658</v>
      </c>
      <c r="B116" s="154" t="s">
        <v>778</v>
      </c>
      <c r="C116" s="154" t="s">
        <v>57</v>
      </c>
      <c r="D116" s="154">
        <v>1</v>
      </c>
      <c r="E116" s="256" t="s">
        <v>924</v>
      </c>
      <c r="F116" s="256" t="s">
        <v>948</v>
      </c>
      <c r="G116" s="154" t="s">
        <v>9</v>
      </c>
      <c r="H116" s="154" t="s">
        <v>222</v>
      </c>
      <c r="I116" s="154" t="s">
        <v>772</v>
      </c>
      <c r="J116" s="154" t="s">
        <v>194</v>
      </c>
      <c r="K116" s="154">
        <v>1</v>
      </c>
      <c r="L116" s="154" t="s">
        <v>42</v>
      </c>
      <c r="M116" s="154" t="s">
        <v>43</v>
      </c>
      <c r="N116" s="154"/>
      <c r="O116" s="154"/>
      <c r="P116" s="170"/>
      <c r="Q116" s="171"/>
      <c r="R116" s="154"/>
      <c r="S116" s="154"/>
    </row>
    <row r="117" spans="1:19">
      <c r="A117" s="169" t="s">
        <v>659</v>
      </c>
      <c r="B117" s="154" t="s">
        <v>779</v>
      </c>
      <c r="C117" s="154" t="s">
        <v>57</v>
      </c>
      <c r="D117" s="154">
        <v>1</v>
      </c>
      <c r="E117" s="256" t="s">
        <v>924</v>
      </c>
      <c r="F117" s="256" t="s">
        <v>949</v>
      </c>
      <c r="G117" s="154" t="s">
        <v>9</v>
      </c>
      <c r="H117" s="154" t="s">
        <v>223</v>
      </c>
      <c r="I117" s="154" t="s">
        <v>780</v>
      </c>
      <c r="J117" s="154" t="s">
        <v>194</v>
      </c>
      <c r="K117" s="154">
        <v>1</v>
      </c>
      <c r="L117" s="154" t="s">
        <v>42</v>
      </c>
      <c r="M117" s="154" t="s">
        <v>43</v>
      </c>
      <c r="N117" s="154"/>
      <c r="O117" s="154"/>
      <c r="P117" s="170"/>
      <c r="Q117" s="171"/>
      <c r="R117" s="154"/>
      <c r="S117" s="154"/>
    </row>
    <row r="118" spans="1:19">
      <c r="A118" s="169" t="s">
        <v>660</v>
      </c>
      <c r="B118" s="154" t="s">
        <v>781</v>
      </c>
      <c r="C118" s="154" t="s">
        <v>57</v>
      </c>
      <c r="D118" s="154">
        <v>1</v>
      </c>
      <c r="E118" s="256" t="s">
        <v>924</v>
      </c>
      <c r="F118" s="256" t="s">
        <v>950</v>
      </c>
      <c r="G118" s="154" t="s">
        <v>9</v>
      </c>
      <c r="H118" s="154" t="s">
        <v>222</v>
      </c>
      <c r="I118" s="154" t="s">
        <v>772</v>
      </c>
      <c r="J118" s="154" t="s">
        <v>470</v>
      </c>
      <c r="K118" s="154">
        <v>1</v>
      </c>
      <c r="L118" s="154" t="s">
        <v>42</v>
      </c>
      <c r="M118" s="154" t="s">
        <v>43</v>
      </c>
      <c r="N118" s="154"/>
      <c r="O118" s="154"/>
      <c r="P118" s="170"/>
      <c r="Q118" s="171"/>
      <c r="R118" s="154"/>
      <c r="S118" s="154"/>
    </row>
    <row r="119" spans="1:19">
      <c r="A119" s="169" t="s">
        <v>661</v>
      </c>
      <c r="B119" s="154" t="s">
        <v>782</v>
      </c>
      <c r="C119" s="154" t="s">
        <v>57</v>
      </c>
      <c r="D119" s="154">
        <v>1</v>
      </c>
      <c r="E119" s="154" t="s">
        <v>500</v>
      </c>
      <c r="F119" s="169">
        <v>150235</v>
      </c>
      <c r="G119" s="154" t="s">
        <v>23</v>
      </c>
      <c r="H119" s="154"/>
      <c r="I119" s="154"/>
      <c r="J119" s="154" t="s">
        <v>470</v>
      </c>
      <c r="K119" s="154">
        <v>1</v>
      </c>
      <c r="L119" s="154" t="s">
        <v>42</v>
      </c>
      <c r="M119" s="154" t="s">
        <v>43</v>
      </c>
      <c r="N119" s="154"/>
      <c r="O119" s="154"/>
      <c r="P119" s="170"/>
      <c r="Q119" s="171"/>
      <c r="R119" s="154"/>
      <c r="S119" s="154"/>
    </row>
    <row r="120" spans="1:19">
      <c r="A120" s="169" t="s">
        <v>664</v>
      </c>
      <c r="B120" s="154" t="s">
        <v>783</v>
      </c>
      <c r="C120" s="154" t="s">
        <v>57</v>
      </c>
      <c r="D120" s="154">
        <v>1</v>
      </c>
      <c r="E120" s="154" t="s">
        <v>500</v>
      </c>
      <c r="F120" s="169">
        <v>150303</v>
      </c>
      <c r="G120" s="154" t="s">
        <v>23</v>
      </c>
      <c r="H120" s="154"/>
      <c r="I120" s="154"/>
      <c r="J120" s="154" t="s">
        <v>470</v>
      </c>
      <c r="K120" s="154">
        <v>1</v>
      </c>
      <c r="L120" s="154" t="s">
        <v>42</v>
      </c>
      <c r="M120" s="154" t="s">
        <v>43</v>
      </c>
      <c r="N120" s="154"/>
      <c r="O120" s="154"/>
      <c r="P120" s="170"/>
      <c r="Q120" s="171"/>
      <c r="R120" s="154"/>
      <c r="S120" s="154"/>
    </row>
    <row r="121" spans="1:19">
      <c r="A121" s="169" t="s">
        <v>665</v>
      </c>
      <c r="B121" s="154" t="s">
        <v>784</v>
      </c>
      <c r="C121" s="154" t="s">
        <v>57</v>
      </c>
      <c r="D121" s="154">
        <v>1</v>
      </c>
      <c r="E121" s="256" t="s">
        <v>924</v>
      </c>
      <c r="F121" s="257" t="s">
        <v>951</v>
      </c>
      <c r="G121" s="154" t="s">
        <v>18</v>
      </c>
      <c r="H121" s="154" t="s">
        <v>228</v>
      </c>
      <c r="I121" s="154"/>
      <c r="J121" s="154" t="s">
        <v>194</v>
      </c>
      <c r="K121" s="154">
        <v>1</v>
      </c>
      <c r="L121" s="154" t="s">
        <v>42</v>
      </c>
      <c r="M121" s="154" t="s">
        <v>43</v>
      </c>
      <c r="N121" s="154"/>
      <c r="O121" s="154"/>
      <c r="P121" s="170"/>
      <c r="Q121" s="171"/>
      <c r="R121" s="154"/>
      <c r="S121" s="154"/>
    </row>
    <row r="122" spans="1:19">
      <c r="A122" s="169" t="s">
        <v>666</v>
      </c>
      <c r="B122" s="154" t="s">
        <v>785</v>
      </c>
      <c r="C122" s="154" t="s">
        <v>57</v>
      </c>
      <c r="D122" s="154">
        <v>1</v>
      </c>
      <c r="E122" s="256" t="s">
        <v>924</v>
      </c>
      <c r="F122" s="256" t="s">
        <v>952</v>
      </c>
      <c r="G122" s="154" t="s">
        <v>18</v>
      </c>
      <c r="H122" s="154" t="s">
        <v>23</v>
      </c>
      <c r="I122" s="154"/>
      <c r="J122" s="154" t="s">
        <v>194</v>
      </c>
      <c r="K122" s="154">
        <v>1</v>
      </c>
      <c r="L122" s="154" t="s">
        <v>42</v>
      </c>
      <c r="M122" s="154" t="s">
        <v>43</v>
      </c>
      <c r="N122" s="154"/>
      <c r="O122" s="154"/>
      <c r="P122" s="170"/>
      <c r="Q122" s="171"/>
      <c r="R122" s="154"/>
      <c r="S122" s="154"/>
    </row>
    <row r="123" spans="1:19">
      <c r="A123" s="169" t="s">
        <v>668</v>
      </c>
      <c r="B123" s="154" t="s">
        <v>786</v>
      </c>
      <c r="C123" s="154" t="s">
        <v>57</v>
      </c>
      <c r="D123" s="154">
        <v>1</v>
      </c>
      <c r="E123" s="154" t="s">
        <v>500</v>
      </c>
      <c r="F123" s="169">
        <v>150244</v>
      </c>
      <c r="G123" s="154" t="s">
        <v>18</v>
      </c>
      <c r="H123" s="154" t="s">
        <v>228</v>
      </c>
      <c r="I123" s="154"/>
      <c r="J123" s="154" t="s">
        <v>470</v>
      </c>
      <c r="K123" s="154">
        <v>1</v>
      </c>
      <c r="L123" s="154" t="s">
        <v>42</v>
      </c>
      <c r="M123" s="154" t="s">
        <v>43</v>
      </c>
      <c r="N123" s="154"/>
      <c r="O123" s="154"/>
      <c r="P123" s="170"/>
      <c r="Q123" s="171"/>
      <c r="R123" s="154"/>
      <c r="S123" s="154"/>
    </row>
    <row r="124" spans="1:19">
      <c r="A124" s="169" t="s">
        <v>669</v>
      </c>
      <c r="B124" s="154" t="s">
        <v>787</v>
      </c>
      <c r="C124" s="154" t="s">
        <v>57</v>
      </c>
      <c r="D124" s="154">
        <v>1</v>
      </c>
      <c r="E124" s="256" t="s">
        <v>924</v>
      </c>
      <c r="F124" s="256" t="s">
        <v>953</v>
      </c>
      <c r="G124" s="154" t="s">
        <v>9</v>
      </c>
      <c r="H124" s="154" t="s">
        <v>225</v>
      </c>
      <c r="I124" s="154" t="s">
        <v>788</v>
      </c>
      <c r="J124" s="154" t="s">
        <v>470</v>
      </c>
      <c r="K124" s="154">
        <v>1</v>
      </c>
      <c r="L124" s="154" t="s">
        <v>42</v>
      </c>
      <c r="M124" s="154" t="s">
        <v>43</v>
      </c>
      <c r="N124" s="154"/>
      <c r="O124" s="154"/>
      <c r="P124" s="170"/>
      <c r="Q124" s="171"/>
      <c r="R124" s="154"/>
      <c r="S124" s="154"/>
    </row>
    <row r="125" spans="1:19">
      <c r="A125" s="169" t="s">
        <v>670</v>
      </c>
      <c r="B125" s="154" t="s">
        <v>789</v>
      </c>
      <c r="C125" s="154" t="s">
        <v>57</v>
      </c>
      <c r="D125" s="154">
        <v>1</v>
      </c>
      <c r="E125" s="256" t="s">
        <v>924</v>
      </c>
      <c r="F125" s="256" t="s">
        <v>954</v>
      </c>
      <c r="G125" s="154" t="s">
        <v>9</v>
      </c>
      <c r="H125" s="154" t="s">
        <v>222</v>
      </c>
      <c r="I125" s="154" t="s">
        <v>772</v>
      </c>
      <c r="J125" s="154" t="s">
        <v>470</v>
      </c>
      <c r="K125" s="154">
        <v>1</v>
      </c>
      <c r="L125" s="154" t="s">
        <v>42</v>
      </c>
      <c r="M125" s="154" t="s">
        <v>43</v>
      </c>
      <c r="N125" s="154"/>
      <c r="O125" s="154"/>
      <c r="P125" s="170"/>
      <c r="Q125" s="171"/>
      <c r="R125" s="154"/>
      <c r="S125" s="154"/>
    </row>
    <row r="126" spans="1:19">
      <c r="A126" s="169" t="s">
        <v>671</v>
      </c>
      <c r="B126" s="154" t="s">
        <v>790</v>
      </c>
      <c r="C126" s="154" t="s">
        <v>57</v>
      </c>
      <c r="D126" s="154">
        <v>1</v>
      </c>
      <c r="E126" s="154" t="s">
        <v>500</v>
      </c>
      <c r="F126" s="169">
        <v>502011</v>
      </c>
      <c r="G126" s="154" t="s">
        <v>23</v>
      </c>
      <c r="H126" s="154"/>
      <c r="I126" s="154"/>
      <c r="J126" s="154" t="s">
        <v>194</v>
      </c>
      <c r="K126" s="154">
        <v>1</v>
      </c>
      <c r="L126" s="154" t="s">
        <v>42</v>
      </c>
      <c r="M126" s="154" t="s">
        <v>43</v>
      </c>
      <c r="N126" s="154"/>
      <c r="O126" s="154"/>
      <c r="P126" s="170"/>
      <c r="Q126" s="171"/>
      <c r="R126" s="154"/>
      <c r="S126" s="154"/>
    </row>
    <row r="127" spans="1:19">
      <c r="A127" s="169" t="s">
        <v>672</v>
      </c>
      <c r="B127" s="154" t="s">
        <v>791</v>
      </c>
      <c r="C127" s="154" t="s">
        <v>57</v>
      </c>
      <c r="D127" s="154">
        <v>1</v>
      </c>
      <c r="E127" s="154" t="s">
        <v>500</v>
      </c>
      <c r="F127" s="169">
        <v>150243</v>
      </c>
      <c r="G127" s="154" t="s">
        <v>23</v>
      </c>
      <c r="H127" s="154"/>
      <c r="I127" s="154"/>
      <c r="J127" s="154" t="s">
        <v>470</v>
      </c>
      <c r="K127" s="154">
        <v>1</v>
      </c>
      <c r="L127" s="154" t="s">
        <v>42</v>
      </c>
      <c r="M127" s="154" t="s">
        <v>43</v>
      </c>
      <c r="N127" s="154"/>
      <c r="O127" s="154"/>
      <c r="P127" s="170"/>
      <c r="Q127" s="171"/>
      <c r="R127" s="154"/>
      <c r="S127" s="154"/>
    </row>
    <row r="128" spans="1:19">
      <c r="A128" s="169" t="s">
        <v>673</v>
      </c>
      <c r="B128" s="154" t="s">
        <v>792</v>
      </c>
      <c r="C128" s="154" t="s">
        <v>57</v>
      </c>
      <c r="D128" s="154">
        <v>1</v>
      </c>
      <c r="E128" s="154" t="s">
        <v>500</v>
      </c>
      <c r="F128" s="169">
        <v>502003</v>
      </c>
      <c r="G128" s="154" t="s">
        <v>18</v>
      </c>
      <c r="H128" s="154"/>
      <c r="I128" s="154"/>
      <c r="J128" s="154" t="s">
        <v>194</v>
      </c>
      <c r="K128" s="154">
        <v>1</v>
      </c>
      <c r="L128" s="154" t="s">
        <v>42</v>
      </c>
      <c r="M128" s="154" t="s">
        <v>43</v>
      </c>
      <c r="N128" s="154"/>
      <c r="O128" s="154"/>
      <c r="P128" s="170"/>
      <c r="Q128" s="171"/>
      <c r="R128" s="154"/>
      <c r="S128" s="154"/>
    </row>
    <row r="129" spans="1:19">
      <c r="A129" s="169" t="s">
        <v>674</v>
      </c>
      <c r="B129" s="154" t="s">
        <v>793</v>
      </c>
      <c r="C129" s="154" t="s">
        <v>57</v>
      </c>
      <c r="D129" s="154">
        <v>1</v>
      </c>
      <c r="E129" s="256" t="s">
        <v>924</v>
      </c>
      <c r="F129" s="256" t="s">
        <v>955</v>
      </c>
      <c r="G129" s="154" t="s">
        <v>9</v>
      </c>
      <c r="H129" s="154" t="s">
        <v>222</v>
      </c>
      <c r="I129" s="154" t="s">
        <v>772</v>
      </c>
      <c r="J129" s="154" t="s">
        <v>470</v>
      </c>
      <c r="K129" s="154">
        <v>1</v>
      </c>
      <c r="L129" s="154" t="s">
        <v>42</v>
      </c>
      <c r="M129" s="154" t="s">
        <v>43</v>
      </c>
      <c r="N129" s="154"/>
      <c r="O129" s="154"/>
      <c r="P129" s="170"/>
      <c r="Q129" s="171"/>
      <c r="R129" s="154"/>
      <c r="S129" s="154"/>
    </row>
    <row r="130" spans="1:19">
      <c r="A130" s="169" t="s">
        <v>675</v>
      </c>
      <c r="B130" s="154" t="s">
        <v>794</v>
      </c>
      <c r="C130" s="154" t="s">
        <v>57</v>
      </c>
      <c r="D130" s="154">
        <v>1</v>
      </c>
      <c r="E130" s="256" t="s">
        <v>924</v>
      </c>
      <c r="F130" s="256" t="s">
        <v>956</v>
      </c>
      <c r="G130" s="154" t="s">
        <v>18</v>
      </c>
      <c r="H130" s="154" t="s">
        <v>228</v>
      </c>
      <c r="I130" s="154"/>
      <c r="J130" s="154" t="s">
        <v>470</v>
      </c>
      <c r="K130" s="154">
        <v>1</v>
      </c>
      <c r="L130" s="154" t="s">
        <v>42</v>
      </c>
      <c r="M130" s="154" t="s">
        <v>336</v>
      </c>
      <c r="N130" s="154"/>
      <c r="O130" s="154"/>
      <c r="P130" s="170"/>
      <c r="Q130" s="171"/>
      <c r="R130" s="154"/>
      <c r="S130" s="154"/>
    </row>
    <row r="131" spans="1:19">
      <c r="A131" s="169" t="s">
        <v>676</v>
      </c>
      <c r="B131" s="154" t="s">
        <v>795</v>
      </c>
      <c r="C131" s="154" t="s">
        <v>57</v>
      </c>
      <c r="D131" s="154">
        <v>1</v>
      </c>
      <c r="E131" s="154" t="s">
        <v>500</v>
      </c>
      <c r="F131" s="169">
        <v>150181</v>
      </c>
      <c r="G131" s="154" t="s">
        <v>23</v>
      </c>
      <c r="H131" s="154"/>
      <c r="I131" s="154"/>
      <c r="J131" s="154" t="s">
        <v>470</v>
      </c>
      <c r="K131" s="154">
        <v>1</v>
      </c>
      <c r="L131" s="154" t="s">
        <v>42</v>
      </c>
      <c r="M131" s="154" t="s">
        <v>43</v>
      </c>
      <c r="N131" s="154"/>
      <c r="O131" s="154"/>
      <c r="P131" s="170"/>
      <c r="Q131" s="171"/>
      <c r="R131" s="154"/>
      <c r="S131" s="154"/>
    </row>
    <row r="132" spans="1:19">
      <c r="A132" s="169" t="s">
        <v>677</v>
      </c>
      <c r="B132" s="154" t="s">
        <v>796</v>
      </c>
      <c r="C132" s="154" t="s">
        <v>57</v>
      </c>
      <c r="D132" s="154">
        <v>1</v>
      </c>
      <c r="E132" s="256" t="s">
        <v>924</v>
      </c>
      <c r="F132" s="256" t="s">
        <v>957</v>
      </c>
      <c r="G132" s="154" t="s">
        <v>9</v>
      </c>
      <c r="H132" s="154" t="s">
        <v>218</v>
      </c>
      <c r="I132" s="154"/>
      <c r="J132" s="154" t="s">
        <v>194</v>
      </c>
      <c r="K132" s="154">
        <v>1</v>
      </c>
      <c r="L132" s="154" t="s">
        <v>42</v>
      </c>
      <c r="M132" s="154" t="s">
        <v>43</v>
      </c>
      <c r="N132" s="154"/>
      <c r="O132" s="154"/>
      <c r="P132" s="170"/>
      <c r="Q132" s="171"/>
      <c r="R132" s="154"/>
      <c r="S132" s="154"/>
    </row>
    <row r="133" spans="1:19">
      <c r="A133" s="169" t="s">
        <v>681</v>
      </c>
      <c r="B133" s="154" t="s">
        <v>797</v>
      </c>
      <c r="C133" s="154" t="s">
        <v>57</v>
      </c>
      <c r="D133" s="154">
        <v>1</v>
      </c>
      <c r="E133" s="256" t="s">
        <v>924</v>
      </c>
      <c r="F133" s="256" t="s">
        <v>958</v>
      </c>
      <c r="G133" s="154" t="s">
        <v>9</v>
      </c>
      <c r="H133" s="154" t="s">
        <v>220</v>
      </c>
      <c r="I133" s="154" t="s">
        <v>798</v>
      </c>
      <c r="J133" s="154" t="s">
        <v>194</v>
      </c>
      <c r="K133" s="154">
        <v>1</v>
      </c>
      <c r="L133" s="154" t="s">
        <v>42</v>
      </c>
      <c r="M133" s="154" t="s">
        <v>43</v>
      </c>
      <c r="N133" s="154"/>
      <c r="O133" s="154"/>
      <c r="P133" s="170"/>
      <c r="Q133" s="171"/>
      <c r="R133" s="154"/>
      <c r="S133" s="154"/>
    </row>
    <row r="134" spans="1:19">
      <c r="A134" s="169" t="s">
        <v>682</v>
      </c>
      <c r="B134" s="154" t="s">
        <v>799</v>
      </c>
      <c r="C134" s="154" t="s">
        <v>57</v>
      </c>
      <c r="D134" s="154">
        <v>1</v>
      </c>
      <c r="E134" s="256" t="s">
        <v>924</v>
      </c>
      <c r="F134" s="256" t="s">
        <v>959</v>
      </c>
      <c r="G134" s="154" t="s">
        <v>9</v>
      </c>
      <c r="H134" s="154" t="s">
        <v>218</v>
      </c>
      <c r="I134" s="154"/>
      <c r="J134" s="154" t="s">
        <v>194</v>
      </c>
      <c r="K134" s="154">
        <v>1</v>
      </c>
      <c r="L134" s="154" t="s">
        <v>42</v>
      </c>
      <c r="M134" s="154" t="s">
        <v>43</v>
      </c>
      <c r="N134" s="154"/>
      <c r="O134" s="154"/>
      <c r="P134" s="170"/>
      <c r="Q134" s="171"/>
      <c r="R134" s="154"/>
      <c r="S134" s="154"/>
    </row>
    <row r="135" spans="1:19">
      <c r="A135" s="169" t="s">
        <v>683</v>
      </c>
      <c r="B135" s="154" t="s">
        <v>800</v>
      </c>
      <c r="C135" s="154" t="s">
        <v>57</v>
      </c>
      <c r="D135" s="154">
        <v>1</v>
      </c>
      <c r="E135" s="256" t="s">
        <v>924</v>
      </c>
      <c r="F135" s="256" t="s">
        <v>960</v>
      </c>
      <c r="G135" s="154" t="s">
        <v>9</v>
      </c>
      <c r="H135" s="154" t="s">
        <v>219</v>
      </c>
      <c r="I135" s="154" t="s">
        <v>801</v>
      </c>
      <c r="J135" s="154" t="s">
        <v>470</v>
      </c>
      <c r="K135" s="154">
        <v>1</v>
      </c>
      <c r="L135" s="154" t="s">
        <v>42</v>
      </c>
      <c r="M135" s="154" t="s">
        <v>43</v>
      </c>
      <c r="N135" s="154"/>
      <c r="O135" s="154"/>
      <c r="P135" s="170"/>
      <c r="Q135" s="171"/>
      <c r="R135" s="154"/>
      <c r="S135" s="154"/>
    </row>
    <row r="136" spans="1:19">
      <c r="A136" s="169" t="s">
        <v>684</v>
      </c>
      <c r="B136" s="154" t="s">
        <v>802</v>
      </c>
      <c r="C136" s="154" t="s">
        <v>57</v>
      </c>
      <c r="D136" s="154">
        <v>1</v>
      </c>
      <c r="E136" s="256" t="s">
        <v>924</v>
      </c>
      <c r="F136" s="256" t="s">
        <v>961</v>
      </c>
      <c r="G136" s="154" t="s">
        <v>9</v>
      </c>
      <c r="H136" s="154" t="s">
        <v>219</v>
      </c>
      <c r="I136" s="154" t="s">
        <v>801</v>
      </c>
      <c r="J136" s="154" t="s">
        <v>194</v>
      </c>
      <c r="K136" s="154">
        <v>1</v>
      </c>
      <c r="L136" s="154" t="s">
        <v>42</v>
      </c>
      <c r="M136" s="154" t="s">
        <v>43</v>
      </c>
      <c r="N136" s="154"/>
      <c r="O136" s="154"/>
      <c r="P136" s="170"/>
      <c r="Q136" s="171"/>
      <c r="R136" s="154"/>
      <c r="S136" s="154"/>
    </row>
    <row r="137" spans="1:19">
      <c r="A137" s="169" t="s">
        <v>685</v>
      </c>
      <c r="B137" s="154" t="s">
        <v>803</v>
      </c>
      <c r="C137" s="154" t="s">
        <v>57</v>
      </c>
      <c r="D137" s="154">
        <v>1</v>
      </c>
      <c r="E137" s="256" t="s">
        <v>924</v>
      </c>
      <c r="F137" s="256" t="s">
        <v>962</v>
      </c>
      <c r="G137" s="154" t="s">
        <v>9</v>
      </c>
      <c r="H137" s="154" t="s">
        <v>222</v>
      </c>
      <c r="I137" s="154" t="s">
        <v>772</v>
      </c>
      <c r="J137" s="154" t="s">
        <v>194</v>
      </c>
      <c r="K137" s="154">
        <v>1</v>
      </c>
      <c r="L137" s="154" t="s">
        <v>42</v>
      </c>
      <c r="M137" s="154" t="s">
        <v>43</v>
      </c>
      <c r="N137" s="154"/>
      <c r="O137" s="154"/>
      <c r="P137" s="170"/>
      <c r="Q137" s="171"/>
      <c r="R137" s="154"/>
      <c r="S137" s="154"/>
    </row>
    <row r="138" spans="1:19">
      <c r="A138" s="169" t="s">
        <v>687</v>
      </c>
      <c r="B138" s="154" t="s">
        <v>804</v>
      </c>
      <c r="C138" s="154" t="s">
        <v>39</v>
      </c>
      <c r="D138" s="154">
        <v>1</v>
      </c>
      <c r="E138" s="258" t="s">
        <v>924</v>
      </c>
      <c r="F138" s="258" t="s">
        <v>687</v>
      </c>
      <c r="G138" s="154" t="s">
        <v>9</v>
      </c>
      <c r="H138" s="154" t="s">
        <v>35</v>
      </c>
      <c r="I138" s="154" t="s">
        <v>260</v>
      </c>
      <c r="J138" s="154" t="s">
        <v>41</v>
      </c>
      <c r="K138" s="154">
        <v>1</v>
      </c>
      <c r="L138" s="154" t="s">
        <v>42</v>
      </c>
      <c r="M138" s="154" t="s">
        <v>43</v>
      </c>
      <c r="N138" s="154"/>
      <c r="O138" s="154"/>
      <c r="P138" s="170"/>
      <c r="Q138" s="171"/>
      <c r="R138" s="154"/>
      <c r="S138" s="154"/>
    </row>
    <row r="139" spans="1:19">
      <c r="A139" s="169" t="s">
        <v>688</v>
      </c>
      <c r="B139" s="154" t="s">
        <v>805</v>
      </c>
      <c r="C139" s="154" t="s">
        <v>57</v>
      </c>
      <c r="D139" s="154">
        <v>1</v>
      </c>
      <c r="E139" s="256" t="s">
        <v>924</v>
      </c>
      <c r="F139" s="256" t="s">
        <v>963</v>
      </c>
      <c r="G139" s="154" t="s">
        <v>9</v>
      </c>
      <c r="H139" s="154" t="s">
        <v>219</v>
      </c>
      <c r="I139" s="154" t="s">
        <v>806</v>
      </c>
      <c r="J139" s="154" t="s">
        <v>470</v>
      </c>
      <c r="K139" s="154">
        <v>1</v>
      </c>
      <c r="L139" s="154" t="s">
        <v>42</v>
      </c>
      <c r="M139" s="154" t="s">
        <v>43</v>
      </c>
      <c r="N139" s="154"/>
      <c r="O139" s="154"/>
      <c r="P139" s="170"/>
      <c r="Q139" s="171"/>
      <c r="R139" s="154"/>
      <c r="S139" s="154"/>
    </row>
    <row r="140" spans="1:19">
      <c r="A140" s="169" t="s">
        <v>689</v>
      </c>
      <c r="B140" s="154" t="s">
        <v>807</v>
      </c>
      <c r="C140" s="154" t="s">
        <v>57</v>
      </c>
      <c r="D140" s="154">
        <v>1</v>
      </c>
      <c r="E140" s="256" t="s">
        <v>924</v>
      </c>
      <c r="F140" s="256" t="s">
        <v>964</v>
      </c>
      <c r="G140" s="154" t="s">
        <v>9</v>
      </c>
      <c r="H140" s="154" t="s">
        <v>223</v>
      </c>
      <c r="I140" s="154"/>
      <c r="J140" s="154" t="s">
        <v>470</v>
      </c>
      <c r="K140" s="154">
        <v>1</v>
      </c>
      <c r="L140" s="154" t="s">
        <v>42</v>
      </c>
      <c r="M140" s="154" t="s">
        <v>43</v>
      </c>
      <c r="N140" s="154"/>
      <c r="O140" s="154"/>
      <c r="P140" s="170"/>
      <c r="Q140" s="171"/>
      <c r="R140" s="154"/>
      <c r="S140" s="154"/>
    </row>
    <row r="141" spans="1:19">
      <c r="A141" s="169" t="s">
        <v>690</v>
      </c>
      <c r="B141" s="154" t="s">
        <v>808</v>
      </c>
      <c r="C141" s="154" t="s">
        <v>57</v>
      </c>
      <c r="D141" s="154">
        <v>1</v>
      </c>
      <c r="E141" s="154" t="s">
        <v>500</v>
      </c>
      <c r="F141" s="169">
        <v>150331</v>
      </c>
      <c r="G141" s="154" t="s">
        <v>18</v>
      </c>
      <c r="H141" s="154" t="s">
        <v>23</v>
      </c>
      <c r="I141" s="154"/>
      <c r="J141" s="154" t="s">
        <v>470</v>
      </c>
      <c r="K141" s="154">
        <v>1</v>
      </c>
      <c r="L141" s="154" t="s">
        <v>42</v>
      </c>
      <c r="M141" s="154" t="s">
        <v>43</v>
      </c>
      <c r="N141" s="154"/>
      <c r="O141" s="154"/>
      <c r="P141" s="170"/>
      <c r="Q141" s="171"/>
      <c r="R141" s="154"/>
      <c r="S141" s="154"/>
    </row>
    <row r="142" spans="1:19">
      <c r="A142" s="169" t="s">
        <v>691</v>
      </c>
      <c r="B142" s="154" t="s">
        <v>809</v>
      </c>
      <c r="C142" s="154" t="s">
        <v>57</v>
      </c>
      <c r="D142" s="154">
        <v>1</v>
      </c>
      <c r="E142" s="154" t="s">
        <v>500</v>
      </c>
      <c r="F142" s="169">
        <v>150221</v>
      </c>
      <c r="G142" s="154" t="s">
        <v>18</v>
      </c>
      <c r="H142" s="154" t="s">
        <v>23</v>
      </c>
      <c r="I142" s="154"/>
      <c r="J142" s="154" t="s">
        <v>470</v>
      </c>
      <c r="K142" s="154">
        <v>1</v>
      </c>
      <c r="L142" s="154" t="s">
        <v>42</v>
      </c>
      <c r="M142" s="154" t="s">
        <v>43</v>
      </c>
      <c r="N142" s="154"/>
      <c r="O142" s="154"/>
      <c r="P142" s="170"/>
      <c r="Q142" s="171"/>
      <c r="R142" s="154"/>
      <c r="S142" s="154"/>
    </row>
    <row r="143" spans="1:19">
      <c r="A143" s="169" t="s">
        <v>692</v>
      </c>
      <c r="B143" s="154" t="s">
        <v>810</v>
      </c>
      <c r="C143" s="154" t="s">
        <v>57</v>
      </c>
      <c r="D143" s="154">
        <v>1</v>
      </c>
      <c r="E143" s="154" t="s">
        <v>500</v>
      </c>
      <c r="F143" s="169">
        <v>150022</v>
      </c>
      <c r="G143" s="154" t="s">
        <v>18</v>
      </c>
      <c r="H143" s="154" t="s">
        <v>23</v>
      </c>
      <c r="I143" s="154"/>
      <c r="J143" s="154" t="s">
        <v>470</v>
      </c>
      <c r="K143" s="154">
        <v>1</v>
      </c>
      <c r="L143" s="154" t="s">
        <v>42</v>
      </c>
      <c r="M143" s="154" t="s">
        <v>43</v>
      </c>
      <c r="N143" s="154"/>
      <c r="O143" s="154"/>
      <c r="P143" s="170"/>
      <c r="Q143" s="171"/>
      <c r="R143" s="154"/>
      <c r="S143" s="154"/>
    </row>
    <row r="144" spans="1:19">
      <c r="A144" s="169" t="s">
        <v>693</v>
      </c>
      <c r="B144" s="154" t="s">
        <v>811</v>
      </c>
      <c r="C144" s="154" t="s">
        <v>57</v>
      </c>
      <c r="D144" s="154">
        <v>1</v>
      </c>
      <c r="E144" s="256" t="s">
        <v>924</v>
      </c>
      <c r="F144" s="256" t="s">
        <v>965</v>
      </c>
      <c r="G144" s="154" t="s">
        <v>9</v>
      </c>
      <c r="H144" s="154" t="s">
        <v>219</v>
      </c>
      <c r="I144" s="154"/>
      <c r="J144" s="154" t="s">
        <v>470</v>
      </c>
      <c r="K144" s="154">
        <v>1</v>
      </c>
      <c r="L144" s="154" t="s">
        <v>42</v>
      </c>
      <c r="M144" s="154" t="s">
        <v>43</v>
      </c>
      <c r="N144" s="154"/>
      <c r="O144" s="154"/>
      <c r="P144" s="170"/>
      <c r="Q144" s="171"/>
      <c r="R144" s="154"/>
      <c r="S144" s="154"/>
    </row>
    <row r="145" spans="1:19">
      <c r="A145" s="169" t="s">
        <v>698</v>
      </c>
      <c r="B145" s="154" t="s">
        <v>812</v>
      </c>
      <c r="C145" s="154" t="s">
        <v>57</v>
      </c>
      <c r="D145" s="154">
        <v>1</v>
      </c>
      <c r="E145" s="256" t="s">
        <v>924</v>
      </c>
      <c r="F145" s="256" t="s">
        <v>966</v>
      </c>
      <c r="G145" s="154" t="s">
        <v>9</v>
      </c>
      <c r="H145" s="154" t="s">
        <v>221</v>
      </c>
      <c r="I145" s="154" t="s">
        <v>813</v>
      </c>
      <c r="J145" s="154" t="s">
        <v>470</v>
      </c>
      <c r="K145" s="154">
        <v>1</v>
      </c>
      <c r="L145" s="154" t="s">
        <v>42</v>
      </c>
      <c r="M145" s="154" t="s">
        <v>43</v>
      </c>
      <c r="N145" s="154"/>
      <c r="O145" s="154"/>
      <c r="P145" s="170"/>
      <c r="Q145" s="171"/>
      <c r="R145" s="154"/>
      <c r="S145" s="154"/>
    </row>
    <row r="146" spans="1:19">
      <c r="A146" s="169" t="s">
        <v>699</v>
      </c>
      <c r="B146" s="154" t="s">
        <v>814</v>
      </c>
      <c r="C146" s="154" t="s">
        <v>57</v>
      </c>
      <c r="D146" s="154">
        <v>1</v>
      </c>
      <c r="E146" s="256" t="s">
        <v>924</v>
      </c>
      <c r="F146" s="256" t="s">
        <v>967</v>
      </c>
      <c r="G146" s="154" t="s">
        <v>18</v>
      </c>
      <c r="H146" s="154" t="s">
        <v>29</v>
      </c>
      <c r="I146" s="154" t="s">
        <v>815</v>
      </c>
      <c r="J146" s="154" t="s">
        <v>194</v>
      </c>
      <c r="K146" s="154">
        <v>1</v>
      </c>
      <c r="L146" s="154" t="s">
        <v>42</v>
      </c>
      <c r="M146" s="154" t="s">
        <v>43</v>
      </c>
      <c r="N146" s="154"/>
      <c r="O146" s="154"/>
      <c r="P146" s="170"/>
      <c r="Q146" s="171"/>
      <c r="R146" s="154"/>
      <c r="S146" s="154"/>
    </row>
    <row r="147" spans="1:19">
      <c r="A147" s="169" t="s">
        <v>700</v>
      </c>
      <c r="B147" s="154" t="s">
        <v>816</v>
      </c>
      <c r="C147" s="154" t="s">
        <v>57</v>
      </c>
      <c r="D147" s="154">
        <v>1</v>
      </c>
      <c r="E147" s="256" t="s">
        <v>924</v>
      </c>
      <c r="F147" s="256" t="s">
        <v>968</v>
      </c>
      <c r="G147" s="154" t="s">
        <v>9</v>
      </c>
      <c r="H147" s="154" t="s">
        <v>10</v>
      </c>
      <c r="I147" s="154" t="s">
        <v>817</v>
      </c>
      <c r="J147" s="154" t="s">
        <v>470</v>
      </c>
      <c r="K147" s="154">
        <v>1</v>
      </c>
      <c r="L147" s="154" t="s">
        <v>42</v>
      </c>
      <c r="M147" s="154" t="s">
        <v>43</v>
      </c>
      <c r="N147" s="154"/>
      <c r="O147" s="154"/>
      <c r="P147" s="170"/>
      <c r="Q147" s="171"/>
      <c r="R147" s="154"/>
      <c r="S147" s="154"/>
    </row>
    <row r="148" spans="1:19">
      <c r="A148" s="169" t="s">
        <v>703</v>
      </c>
      <c r="B148" s="154" t="s">
        <v>818</v>
      </c>
      <c r="C148" s="154" t="s">
        <v>57</v>
      </c>
      <c r="D148" s="154">
        <v>1</v>
      </c>
      <c r="E148" s="256" t="s">
        <v>924</v>
      </c>
      <c r="F148" s="256" t="s">
        <v>969</v>
      </c>
      <c r="G148" s="154" t="s">
        <v>9</v>
      </c>
      <c r="H148" s="154" t="s">
        <v>221</v>
      </c>
      <c r="I148" s="154" t="s">
        <v>813</v>
      </c>
      <c r="J148" s="154" t="s">
        <v>470</v>
      </c>
      <c r="K148" s="154">
        <v>1</v>
      </c>
      <c r="L148" s="154" t="s">
        <v>42</v>
      </c>
      <c r="M148" s="154" t="s">
        <v>43</v>
      </c>
      <c r="N148" s="154"/>
      <c r="O148" s="154"/>
      <c r="P148" s="170"/>
      <c r="Q148" s="171"/>
      <c r="R148" s="154"/>
      <c r="S148" s="154"/>
    </row>
    <row r="149" spans="1:19">
      <c r="A149" s="169" t="s">
        <v>704</v>
      </c>
      <c r="B149" s="154" t="s">
        <v>819</v>
      </c>
      <c r="C149" s="154" t="s">
        <v>57</v>
      </c>
      <c r="D149" s="154">
        <v>1</v>
      </c>
      <c r="E149" s="256" t="s">
        <v>924</v>
      </c>
      <c r="F149" s="256" t="s">
        <v>970</v>
      </c>
      <c r="G149" s="154" t="s">
        <v>9</v>
      </c>
      <c r="H149" s="154" t="s">
        <v>220</v>
      </c>
      <c r="I149" s="154" t="s">
        <v>820</v>
      </c>
      <c r="J149" s="154" t="s">
        <v>470</v>
      </c>
      <c r="K149" s="154">
        <v>1</v>
      </c>
      <c r="L149" s="154" t="s">
        <v>42</v>
      </c>
      <c r="M149" s="154" t="s">
        <v>43</v>
      </c>
      <c r="N149" s="154"/>
      <c r="O149" s="154"/>
      <c r="P149" s="170"/>
      <c r="Q149" s="171"/>
      <c r="R149" s="154"/>
      <c r="S149" s="154"/>
    </row>
    <row r="150" spans="1:19">
      <c r="A150" s="169" t="s">
        <v>705</v>
      </c>
      <c r="B150" s="154" t="s">
        <v>821</v>
      </c>
      <c r="C150" s="154" t="s">
        <v>57</v>
      </c>
      <c r="D150" s="154">
        <v>1</v>
      </c>
      <c r="E150" s="256" t="s">
        <v>924</v>
      </c>
      <c r="F150" s="256" t="s">
        <v>971</v>
      </c>
      <c r="G150" s="154" t="s">
        <v>9</v>
      </c>
      <c r="H150" s="154" t="s">
        <v>223</v>
      </c>
      <c r="I150" s="154" t="s">
        <v>822</v>
      </c>
      <c r="J150" s="154" t="s">
        <v>194</v>
      </c>
      <c r="K150" s="154">
        <v>1</v>
      </c>
      <c r="L150" s="154" t="s">
        <v>42</v>
      </c>
      <c r="M150" s="154" t="s">
        <v>43</v>
      </c>
      <c r="N150" s="154"/>
      <c r="O150" s="154"/>
      <c r="P150" s="170"/>
      <c r="Q150" s="171"/>
      <c r="R150" s="154"/>
      <c r="S150" s="154"/>
    </row>
    <row r="151" spans="1:19">
      <c r="A151" s="169" t="s">
        <v>708</v>
      </c>
      <c r="B151" s="154" t="s">
        <v>823</v>
      </c>
      <c r="C151" s="154" t="s">
        <v>57</v>
      </c>
      <c r="D151" s="154">
        <v>1</v>
      </c>
      <c r="E151" s="256" t="s">
        <v>924</v>
      </c>
      <c r="F151" s="256" t="s">
        <v>972</v>
      </c>
      <c r="G151" s="154" t="s">
        <v>9</v>
      </c>
      <c r="H151" s="154" t="s">
        <v>225</v>
      </c>
      <c r="I151" s="154" t="s">
        <v>765</v>
      </c>
      <c r="J151" s="154" t="s">
        <v>194</v>
      </c>
      <c r="K151" s="154">
        <v>1</v>
      </c>
      <c r="L151" s="154" t="s">
        <v>42</v>
      </c>
      <c r="M151" s="154" t="s">
        <v>43</v>
      </c>
      <c r="N151" s="154"/>
      <c r="O151" s="154"/>
      <c r="P151" s="170"/>
      <c r="Q151" s="171"/>
      <c r="R151" s="154"/>
      <c r="S151" s="154"/>
    </row>
    <row r="152" spans="1:19">
      <c r="A152" s="169" t="s">
        <v>710</v>
      </c>
      <c r="B152" s="154" t="s">
        <v>824</v>
      </c>
      <c r="C152" s="154" t="s">
        <v>57</v>
      </c>
      <c r="D152" s="154">
        <v>1</v>
      </c>
      <c r="E152" s="256" t="s">
        <v>924</v>
      </c>
      <c r="F152" s="256" t="s">
        <v>973</v>
      </c>
      <c r="G152" s="154" t="s">
        <v>9</v>
      </c>
      <c r="H152" s="154" t="s">
        <v>225</v>
      </c>
      <c r="I152" s="154" t="s">
        <v>825</v>
      </c>
      <c r="J152" s="154" t="s">
        <v>470</v>
      </c>
      <c r="K152" s="154">
        <v>1</v>
      </c>
      <c r="L152" s="154" t="s">
        <v>42</v>
      </c>
      <c r="M152" s="154" t="s">
        <v>43</v>
      </c>
      <c r="N152" s="154"/>
      <c r="O152" s="154"/>
      <c r="P152" s="170"/>
      <c r="Q152" s="171"/>
      <c r="R152" s="154"/>
      <c r="S152" s="154"/>
    </row>
    <row r="153" spans="1:19">
      <c r="A153" s="169" t="s">
        <v>711</v>
      </c>
      <c r="B153" s="154" t="s">
        <v>826</v>
      </c>
      <c r="C153" s="154" t="s">
        <v>57</v>
      </c>
      <c r="D153" s="154">
        <v>1</v>
      </c>
      <c r="E153" s="256" t="s">
        <v>924</v>
      </c>
      <c r="F153" s="256" t="s">
        <v>974</v>
      </c>
      <c r="G153" s="154" t="s">
        <v>9</v>
      </c>
      <c r="H153" s="154" t="s">
        <v>223</v>
      </c>
      <c r="I153" s="154" t="s">
        <v>827</v>
      </c>
      <c r="J153" s="154" t="s">
        <v>470</v>
      </c>
      <c r="K153" s="154">
        <v>1</v>
      </c>
      <c r="L153" s="154" t="s">
        <v>42</v>
      </c>
      <c r="M153" s="154" t="s">
        <v>43</v>
      </c>
      <c r="N153" s="154"/>
      <c r="O153" s="154"/>
      <c r="P153" s="170"/>
      <c r="Q153" s="171"/>
      <c r="R153" s="154"/>
      <c r="S153" s="154"/>
    </row>
    <row r="154" spans="1:19">
      <c r="A154" s="169" t="s">
        <v>712</v>
      </c>
      <c r="B154" s="154" t="s">
        <v>828</v>
      </c>
      <c r="C154" s="154" t="s">
        <v>57</v>
      </c>
      <c r="D154" s="154">
        <v>1</v>
      </c>
      <c r="E154" s="154" t="s">
        <v>500</v>
      </c>
      <c r="F154" s="169" t="s">
        <v>829</v>
      </c>
      <c r="G154" s="154" t="s">
        <v>18</v>
      </c>
      <c r="H154" s="154" t="s">
        <v>228</v>
      </c>
      <c r="I154" s="154"/>
      <c r="J154" s="154" t="s">
        <v>470</v>
      </c>
      <c r="K154" s="154">
        <v>1</v>
      </c>
      <c r="L154" s="154" t="s">
        <v>42</v>
      </c>
      <c r="M154" s="154" t="s">
        <v>43</v>
      </c>
      <c r="N154" s="154"/>
      <c r="O154" s="154"/>
      <c r="P154" s="170"/>
      <c r="Q154" s="171"/>
      <c r="R154" s="154"/>
      <c r="S154" s="154"/>
    </row>
    <row r="155" spans="1:19">
      <c r="A155" s="169" t="s">
        <v>713</v>
      </c>
      <c r="B155" s="154" t="s">
        <v>830</v>
      </c>
      <c r="C155" s="154" t="s">
        <v>57</v>
      </c>
      <c r="D155" s="154">
        <v>1</v>
      </c>
      <c r="E155" s="256" t="s">
        <v>924</v>
      </c>
      <c r="F155" s="256" t="s">
        <v>975</v>
      </c>
      <c r="G155" s="154" t="s">
        <v>9</v>
      </c>
      <c r="H155" s="154" t="s">
        <v>35</v>
      </c>
      <c r="I155" s="154" t="s">
        <v>164</v>
      </c>
      <c r="J155" s="154" t="s">
        <v>194</v>
      </c>
      <c r="K155" s="154">
        <v>1</v>
      </c>
      <c r="L155" s="154" t="s">
        <v>42</v>
      </c>
      <c r="M155" s="154" t="s">
        <v>43</v>
      </c>
      <c r="N155" s="154"/>
      <c r="O155" s="154"/>
      <c r="P155" s="170"/>
      <c r="Q155" s="171"/>
      <c r="R155" s="154"/>
      <c r="S155" s="154"/>
    </row>
    <row r="156" spans="1:19">
      <c r="A156" s="169" t="s">
        <v>715</v>
      </c>
      <c r="B156" s="154" t="s">
        <v>831</v>
      </c>
      <c r="C156" s="154" t="s">
        <v>57</v>
      </c>
      <c r="D156" s="154">
        <v>1</v>
      </c>
      <c r="E156" s="154" t="s">
        <v>500</v>
      </c>
      <c r="F156" s="169">
        <v>150023</v>
      </c>
      <c r="G156" s="154" t="s">
        <v>18</v>
      </c>
      <c r="H156" s="154" t="s">
        <v>228</v>
      </c>
      <c r="I156" s="154"/>
      <c r="J156" s="154" t="s">
        <v>470</v>
      </c>
      <c r="K156" s="154">
        <v>1</v>
      </c>
      <c r="L156" s="154" t="s">
        <v>42</v>
      </c>
      <c r="M156" s="154" t="s">
        <v>43</v>
      </c>
      <c r="N156" s="154"/>
      <c r="O156" s="154"/>
      <c r="P156" s="170"/>
      <c r="Q156" s="171"/>
      <c r="R156" s="154"/>
      <c r="S156" s="154"/>
    </row>
    <row r="157" spans="1:19">
      <c r="A157" s="169" t="s">
        <v>717</v>
      </c>
      <c r="B157" s="154" t="s">
        <v>832</v>
      </c>
      <c r="C157" s="154" t="s">
        <v>57</v>
      </c>
      <c r="D157" s="154">
        <v>1</v>
      </c>
      <c r="E157" s="256" t="s">
        <v>924</v>
      </c>
      <c r="F157" s="256" t="s">
        <v>976</v>
      </c>
      <c r="G157" s="154" t="s">
        <v>9</v>
      </c>
      <c r="H157" s="154" t="s">
        <v>35</v>
      </c>
      <c r="I157" s="154" t="s">
        <v>260</v>
      </c>
      <c r="J157" s="154" t="s">
        <v>194</v>
      </c>
      <c r="K157" s="154">
        <v>1</v>
      </c>
      <c r="L157" s="154" t="s">
        <v>42</v>
      </c>
      <c r="M157" s="154" t="s">
        <v>43</v>
      </c>
      <c r="N157" s="154"/>
      <c r="O157" s="154"/>
      <c r="P157" s="170"/>
      <c r="Q157" s="171"/>
      <c r="R157" s="154"/>
      <c r="S157" s="154"/>
    </row>
    <row r="158" spans="1:19">
      <c r="A158" s="169" t="s">
        <v>718</v>
      </c>
      <c r="B158" s="154" t="s">
        <v>833</v>
      </c>
      <c r="C158" s="154" t="s">
        <v>57</v>
      </c>
      <c r="D158" s="154">
        <v>1</v>
      </c>
      <c r="E158" s="256" t="s">
        <v>924</v>
      </c>
      <c r="F158" s="256" t="s">
        <v>977</v>
      </c>
      <c r="G158" s="154" t="s">
        <v>9</v>
      </c>
      <c r="H158" s="154" t="s">
        <v>35</v>
      </c>
      <c r="I158" s="154" t="s">
        <v>775</v>
      </c>
      <c r="J158" s="154" t="s">
        <v>194</v>
      </c>
      <c r="K158" s="154">
        <v>1</v>
      </c>
      <c r="L158" s="154" t="s">
        <v>42</v>
      </c>
      <c r="M158" s="154" t="s">
        <v>43</v>
      </c>
      <c r="N158" s="154"/>
      <c r="O158" s="154"/>
      <c r="P158" s="170"/>
      <c r="Q158" s="171"/>
      <c r="R158" s="154"/>
      <c r="S158" s="154"/>
    </row>
    <row r="159" spans="1:19">
      <c r="A159" s="169" t="s">
        <v>720</v>
      </c>
      <c r="B159" s="154" t="s">
        <v>834</v>
      </c>
      <c r="C159" s="154" t="s">
        <v>57</v>
      </c>
      <c r="D159" s="154">
        <v>1</v>
      </c>
      <c r="E159" s="259" t="s">
        <v>924</v>
      </c>
      <c r="F159" s="259" t="s">
        <v>983</v>
      </c>
      <c r="G159" s="154" t="s">
        <v>9</v>
      </c>
      <c r="H159" s="154" t="s">
        <v>225</v>
      </c>
      <c r="I159" s="154" t="s">
        <v>765</v>
      </c>
      <c r="J159" s="154" t="s">
        <v>194</v>
      </c>
      <c r="K159" s="154">
        <v>1</v>
      </c>
      <c r="L159" s="154" t="s">
        <v>42</v>
      </c>
      <c r="M159" s="154" t="s">
        <v>43</v>
      </c>
      <c r="N159" s="154"/>
      <c r="O159" s="154"/>
      <c r="P159" s="170"/>
      <c r="Q159" s="171"/>
      <c r="R159" s="154"/>
      <c r="S159" s="154"/>
    </row>
    <row r="160" spans="1:19">
      <c r="A160" s="169" t="s">
        <v>721</v>
      </c>
      <c r="B160" s="154" t="s">
        <v>835</v>
      </c>
      <c r="C160" s="154" t="s">
        <v>57</v>
      </c>
      <c r="D160" s="154">
        <v>1</v>
      </c>
      <c r="E160" s="259" t="s">
        <v>924</v>
      </c>
      <c r="F160" s="259" t="s">
        <v>984</v>
      </c>
      <c r="G160" s="154" t="s">
        <v>9</v>
      </c>
      <c r="H160" s="154" t="s">
        <v>221</v>
      </c>
      <c r="I160" s="154" t="s">
        <v>836</v>
      </c>
      <c r="J160" s="154" t="s">
        <v>194</v>
      </c>
      <c r="K160" s="154">
        <v>1</v>
      </c>
      <c r="L160" s="154" t="s">
        <v>42</v>
      </c>
      <c r="M160" s="154" t="s">
        <v>43</v>
      </c>
      <c r="N160" s="154"/>
      <c r="O160" s="154"/>
      <c r="P160" s="170"/>
      <c r="Q160" s="171"/>
      <c r="R160" s="154"/>
      <c r="S160" s="154"/>
    </row>
    <row r="161" spans="1:19">
      <c r="A161" s="169" t="s">
        <v>724</v>
      </c>
      <c r="B161" s="154" t="s">
        <v>837</v>
      </c>
      <c r="C161" s="154" t="s">
        <v>57</v>
      </c>
      <c r="D161" s="154">
        <v>1</v>
      </c>
      <c r="E161" s="154" t="s">
        <v>200</v>
      </c>
      <c r="F161" s="154" t="s">
        <v>838</v>
      </c>
      <c r="G161" s="154" t="s">
        <v>9</v>
      </c>
      <c r="H161" s="154" t="s">
        <v>219</v>
      </c>
      <c r="I161" s="154" t="s">
        <v>839</v>
      </c>
      <c r="J161" s="154" t="s">
        <v>194</v>
      </c>
      <c r="K161" s="154">
        <v>1</v>
      </c>
      <c r="L161" s="154" t="s">
        <v>42</v>
      </c>
      <c r="M161" s="154" t="s">
        <v>43</v>
      </c>
      <c r="N161" s="154"/>
      <c r="O161" s="154"/>
      <c r="P161" s="170"/>
      <c r="Q161" s="171"/>
      <c r="R161" s="154"/>
      <c r="S161" s="154"/>
    </row>
    <row r="162" spans="1:19">
      <c r="A162" s="169" t="s">
        <v>725</v>
      </c>
      <c r="B162" s="154" t="s">
        <v>840</v>
      </c>
      <c r="C162" s="154" t="s">
        <v>57</v>
      </c>
      <c r="D162" s="154">
        <v>1</v>
      </c>
      <c r="E162" s="154" t="s">
        <v>200</v>
      </c>
      <c r="F162" s="154" t="s">
        <v>841</v>
      </c>
      <c r="G162" s="154" t="s">
        <v>9</v>
      </c>
      <c r="H162" s="154" t="s">
        <v>225</v>
      </c>
      <c r="I162" s="154"/>
      <c r="J162" s="154" t="s">
        <v>194</v>
      </c>
      <c r="K162" s="154">
        <v>1</v>
      </c>
      <c r="L162" s="154" t="s">
        <v>42</v>
      </c>
      <c r="M162" s="154" t="s">
        <v>43</v>
      </c>
      <c r="N162" s="154"/>
      <c r="O162" s="154"/>
      <c r="P162" s="170"/>
      <c r="Q162" s="171"/>
      <c r="R162" s="154"/>
      <c r="S162" s="154"/>
    </row>
    <row r="163" spans="1:19">
      <c r="A163" s="169" t="s">
        <v>726</v>
      </c>
      <c r="B163" s="154" t="s">
        <v>842</v>
      </c>
      <c r="C163" s="154" t="s">
        <v>57</v>
      </c>
      <c r="D163" s="154">
        <v>1</v>
      </c>
      <c r="E163" s="154" t="s">
        <v>200</v>
      </c>
      <c r="F163" s="154" t="s">
        <v>843</v>
      </c>
      <c r="G163" s="154" t="s">
        <v>9</v>
      </c>
      <c r="H163" s="154" t="s">
        <v>223</v>
      </c>
      <c r="I163" s="154" t="s">
        <v>780</v>
      </c>
      <c r="J163" s="154" t="s">
        <v>470</v>
      </c>
      <c r="K163" s="154">
        <v>1</v>
      </c>
      <c r="L163" s="154" t="s">
        <v>42</v>
      </c>
      <c r="M163" s="154" t="s">
        <v>43</v>
      </c>
      <c r="N163" s="154"/>
      <c r="O163" s="154"/>
      <c r="P163" s="170"/>
      <c r="Q163" s="171"/>
      <c r="R163" s="154"/>
      <c r="S163" s="154"/>
    </row>
    <row r="164" spans="1:19">
      <c r="A164" s="169" t="s">
        <v>727</v>
      </c>
      <c r="B164" s="154" t="s">
        <v>845</v>
      </c>
      <c r="C164" s="154" t="s">
        <v>57</v>
      </c>
      <c r="D164" s="154">
        <v>1</v>
      </c>
      <c r="E164" s="154" t="s">
        <v>200</v>
      </c>
      <c r="F164" s="154" t="s">
        <v>844</v>
      </c>
      <c r="G164" s="154" t="s">
        <v>9</v>
      </c>
      <c r="H164" s="154" t="s">
        <v>219</v>
      </c>
      <c r="I164" s="154" t="s">
        <v>839</v>
      </c>
      <c r="J164" s="154" t="s">
        <v>470</v>
      </c>
      <c r="K164" s="154">
        <v>1</v>
      </c>
      <c r="L164" s="154" t="s">
        <v>42</v>
      </c>
      <c r="M164" s="154" t="s">
        <v>43</v>
      </c>
      <c r="N164" s="154"/>
      <c r="O164" s="154"/>
      <c r="P164" s="170"/>
      <c r="Q164" s="171"/>
      <c r="R164" s="154"/>
      <c r="S164" s="154"/>
    </row>
    <row r="165" spans="1:19">
      <c r="A165" s="169" t="s">
        <v>730</v>
      </c>
      <c r="B165" s="154" t="s">
        <v>846</v>
      </c>
      <c r="C165" s="154" t="s">
        <v>57</v>
      </c>
      <c r="D165" s="154">
        <v>1</v>
      </c>
      <c r="E165" s="260" t="s">
        <v>200</v>
      </c>
      <c r="F165" s="260" t="s">
        <v>985</v>
      </c>
      <c r="G165" s="154" t="s">
        <v>9</v>
      </c>
      <c r="H165" s="154" t="s">
        <v>10</v>
      </c>
      <c r="I165" s="154" t="s">
        <v>847</v>
      </c>
      <c r="J165" s="154" t="s">
        <v>470</v>
      </c>
      <c r="K165" s="154">
        <v>1</v>
      </c>
      <c r="L165" s="154" t="s">
        <v>42</v>
      </c>
      <c r="M165" s="154" t="s">
        <v>43</v>
      </c>
      <c r="N165" s="154"/>
      <c r="O165" s="154"/>
      <c r="P165" s="170"/>
      <c r="Q165" s="171"/>
      <c r="R165" s="154"/>
      <c r="S165" s="154"/>
    </row>
    <row r="166" spans="1:19">
      <c r="A166" s="169" t="s">
        <v>732</v>
      </c>
      <c r="B166" s="154" t="s">
        <v>848</v>
      </c>
      <c r="C166" s="154" t="s">
        <v>57</v>
      </c>
      <c r="D166" s="154">
        <v>1</v>
      </c>
      <c r="E166" s="260" t="s">
        <v>924</v>
      </c>
      <c r="F166" s="256" t="s">
        <v>978</v>
      </c>
      <c r="G166" s="154" t="s">
        <v>9</v>
      </c>
      <c r="H166" s="154" t="s">
        <v>223</v>
      </c>
      <c r="I166" s="154" t="s">
        <v>765</v>
      </c>
      <c r="J166" s="154" t="s">
        <v>194</v>
      </c>
      <c r="K166" s="154">
        <v>1</v>
      </c>
      <c r="L166" s="154" t="s">
        <v>42</v>
      </c>
      <c r="M166" s="154" t="s">
        <v>43</v>
      </c>
      <c r="N166" s="154"/>
      <c r="O166" s="154"/>
      <c r="P166" s="170"/>
      <c r="Q166" s="171"/>
      <c r="R166" s="154"/>
      <c r="S166" s="154"/>
    </row>
    <row r="167" spans="1:19">
      <c r="A167" s="169" t="s">
        <v>735</v>
      </c>
      <c r="B167" s="154" t="s">
        <v>849</v>
      </c>
      <c r="C167" s="154" t="s">
        <v>57</v>
      </c>
      <c r="D167" s="154">
        <v>1</v>
      </c>
      <c r="E167" s="154" t="s">
        <v>200</v>
      </c>
      <c r="F167" s="154" t="s">
        <v>850</v>
      </c>
      <c r="G167" s="154" t="s">
        <v>9</v>
      </c>
      <c r="H167" s="154" t="s">
        <v>223</v>
      </c>
      <c r="I167" s="154" t="s">
        <v>851</v>
      </c>
      <c r="J167" s="154" t="s">
        <v>194</v>
      </c>
      <c r="K167" s="154">
        <v>1</v>
      </c>
      <c r="L167" s="154" t="s">
        <v>42</v>
      </c>
      <c r="M167" s="154" t="s">
        <v>43</v>
      </c>
      <c r="N167" s="154"/>
      <c r="O167" s="154"/>
      <c r="P167" s="170"/>
      <c r="Q167" s="171"/>
      <c r="R167" s="154"/>
      <c r="S167" s="154"/>
    </row>
    <row r="168" spans="1:19">
      <c r="A168" s="169" t="s">
        <v>736</v>
      </c>
      <c r="B168" s="154" t="s">
        <v>852</v>
      </c>
      <c r="C168" s="154" t="s">
        <v>57</v>
      </c>
      <c r="D168" s="154">
        <v>1</v>
      </c>
      <c r="E168" s="154" t="s">
        <v>200</v>
      </c>
      <c r="F168" s="154" t="s">
        <v>853</v>
      </c>
      <c r="G168" s="154" t="s">
        <v>9</v>
      </c>
      <c r="H168" s="154" t="s">
        <v>223</v>
      </c>
      <c r="I168" s="154" t="s">
        <v>822</v>
      </c>
      <c r="J168" s="154" t="s">
        <v>194</v>
      </c>
      <c r="K168" s="154">
        <v>1</v>
      </c>
      <c r="L168" s="154" t="s">
        <v>42</v>
      </c>
      <c r="M168" s="154" t="s">
        <v>43</v>
      </c>
      <c r="N168" s="154"/>
      <c r="O168" s="154"/>
      <c r="P168" s="170"/>
      <c r="Q168" s="171"/>
      <c r="R168" s="154"/>
      <c r="S168" s="154"/>
    </row>
    <row r="169" spans="1:19">
      <c r="A169" s="169" t="s">
        <v>738</v>
      </c>
      <c r="B169" s="154" t="s">
        <v>854</v>
      </c>
      <c r="C169" s="154" t="s">
        <v>57</v>
      </c>
      <c r="D169" s="154">
        <v>1</v>
      </c>
      <c r="E169" s="154" t="s">
        <v>200</v>
      </c>
      <c r="F169" s="154" t="s">
        <v>855</v>
      </c>
      <c r="G169" s="154" t="s">
        <v>9</v>
      </c>
      <c r="H169" s="154" t="s">
        <v>35</v>
      </c>
      <c r="I169" s="154" t="s">
        <v>260</v>
      </c>
      <c r="J169" s="154" t="s">
        <v>470</v>
      </c>
      <c r="K169" s="154">
        <v>1</v>
      </c>
      <c r="L169" s="154" t="s">
        <v>42</v>
      </c>
      <c r="M169" s="154" t="s">
        <v>43</v>
      </c>
      <c r="N169" s="154"/>
      <c r="O169" s="154"/>
      <c r="P169" s="170"/>
      <c r="Q169" s="171"/>
      <c r="R169" s="154"/>
      <c r="S169" s="154"/>
    </row>
    <row r="170" spans="1:19">
      <c r="A170" s="169" t="s">
        <v>741</v>
      </c>
      <c r="B170" s="154" t="s">
        <v>856</v>
      </c>
      <c r="C170" s="154" t="s">
        <v>57</v>
      </c>
      <c r="D170" s="154">
        <v>1</v>
      </c>
      <c r="E170" s="154" t="s">
        <v>200</v>
      </c>
      <c r="F170" s="154" t="s">
        <v>857</v>
      </c>
      <c r="G170" s="154" t="s">
        <v>9</v>
      </c>
      <c r="H170" s="154" t="s">
        <v>219</v>
      </c>
      <c r="I170" s="154"/>
      <c r="J170" s="154" t="s">
        <v>470</v>
      </c>
      <c r="K170" s="154">
        <v>1</v>
      </c>
      <c r="L170" s="154" t="s">
        <v>42</v>
      </c>
      <c r="M170" s="154" t="s">
        <v>43</v>
      </c>
      <c r="N170" s="154"/>
      <c r="O170" s="154"/>
      <c r="P170" s="170"/>
      <c r="Q170" s="171"/>
      <c r="R170" s="154"/>
      <c r="S170" s="154"/>
    </row>
    <row r="171" spans="1:19">
      <c r="A171" s="169" t="s">
        <v>746</v>
      </c>
      <c r="B171" s="154" t="s">
        <v>858</v>
      </c>
      <c r="C171" s="154" t="s">
        <v>39</v>
      </c>
      <c r="D171" s="154">
        <v>1</v>
      </c>
      <c r="E171" s="256" t="s">
        <v>924</v>
      </c>
      <c r="F171" s="154" t="s">
        <v>746</v>
      </c>
      <c r="G171" s="154" t="s">
        <v>9</v>
      </c>
      <c r="H171" s="154" t="s">
        <v>35</v>
      </c>
      <c r="I171" s="154" t="s">
        <v>260</v>
      </c>
      <c r="J171" s="154" t="s">
        <v>41</v>
      </c>
      <c r="K171" s="154">
        <v>1</v>
      </c>
      <c r="L171" s="154" t="s">
        <v>42</v>
      </c>
      <c r="M171" s="154" t="s">
        <v>43</v>
      </c>
      <c r="N171" s="154"/>
      <c r="O171" s="154"/>
      <c r="P171" s="170"/>
      <c r="Q171" s="171"/>
      <c r="R171" s="154"/>
      <c r="S171" s="154"/>
    </row>
    <row r="172" spans="1:19">
      <c r="A172" s="169" t="s">
        <v>755</v>
      </c>
      <c r="B172" s="154" t="s">
        <v>859</v>
      </c>
      <c r="C172" s="154" t="s">
        <v>57</v>
      </c>
      <c r="D172" s="154">
        <v>1</v>
      </c>
      <c r="E172" s="256" t="s">
        <v>924</v>
      </c>
      <c r="F172" s="256" t="s">
        <v>979</v>
      </c>
      <c r="G172" s="154" t="s">
        <v>9</v>
      </c>
      <c r="H172" s="154" t="s">
        <v>225</v>
      </c>
      <c r="I172" s="154" t="s">
        <v>765</v>
      </c>
      <c r="J172" s="154" t="s">
        <v>194</v>
      </c>
      <c r="K172" s="154">
        <v>1</v>
      </c>
      <c r="L172" s="154" t="s">
        <v>42</v>
      </c>
      <c r="M172" s="154" t="s">
        <v>43</v>
      </c>
      <c r="N172" s="154"/>
      <c r="O172" s="154"/>
      <c r="P172" s="170"/>
      <c r="Q172" s="171"/>
      <c r="R172" s="154"/>
      <c r="S172" s="154"/>
    </row>
    <row r="173" spans="1:19">
      <c r="A173" s="169" t="s">
        <v>756</v>
      </c>
      <c r="B173" s="154" t="s">
        <v>860</v>
      </c>
      <c r="C173" s="154" t="s">
        <v>57</v>
      </c>
      <c r="D173" s="154">
        <v>1</v>
      </c>
      <c r="E173" s="154" t="s">
        <v>200</v>
      </c>
      <c r="F173" s="154" t="s">
        <v>861</v>
      </c>
      <c r="G173" s="154" t="s">
        <v>9</v>
      </c>
      <c r="H173" s="154" t="s">
        <v>35</v>
      </c>
      <c r="I173" s="154" t="s">
        <v>265</v>
      </c>
      <c r="J173" s="154" t="s">
        <v>194</v>
      </c>
      <c r="K173" s="154">
        <v>1</v>
      </c>
      <c r="L173" s="154" t="s">
        <v>42</v>
      </c>
      <c r="M173" s="154" t="s">
        <v>43</v>
      </c>
      <c r="N173" s="154"/>
      <c r="O173" s="154"/>
      <c r="P173" s="170"/>
      <c r="Q173" s="171"/>
      <c r="R173" s="154"/>
      <c r="S173" s="154"/>
    </row>
    <row r="174" spans="1:19">
      <c r="A174" s="169" t="s">
        <v>758</v>
      </c>
      <c r="B174" s="154" t="s">
        <v>862</v>
      </c>
      <c r="C174" s="154" t="s">
        <v>57</v>
      </c>
      <c r="D174" s="154">
        <v>1</v>
      </c>
      <c r="E174" s="187" t="s">
        <v>200</v>
      </c>
      <c r="F174" s="154" t="s">
        <v>863</v>
      </c>
      <c r="G174" s="154" t="s">
        <v>18</v>
      </c>
      <c r="H174" s="154" t="s">
        <v>228</v>
      </c>
      <c r="I174" s="154"/>
      <c r="J174" s="154" t="s">
        <v>194</v>
      </c>
      <c r="K174" s="154">
        <v>1</v>
      </c>
      <c r="L174" s="154" t="s">
        <v>42</v>
      </c>
      <c r="M174" s="154" t="s">
        <v>43</v>
      </c>
      <c r="N174" s="154"/>
      <c r="O174" s="154"/>
      <c r="P174" s="170"/>
      <c r="Q174" s="171"/>
      <c r="R174" s="154"/>
      <c r="S174" s="154"/>
    </row>
    <row r="175" spans="1:19">
      <c r="A175" s="261" t="s">
        <v>986</v>
      </c>
      <c r="B175" s="262" t="s">
        <v>987</v>
      </c>
      <c r="C175" s="262" t="s">
        <v>38</v>
      </c>
      <c r="D175" s="262">
        <v>1</v>
      </c>
      <c r="E175" s="262" t="s">
        <v>924</v>
      </c>
      <c r="F175" s="262" t="s">
        <v>988</v>
      </c>
      <c r="G175" s="262" t="s">
        <v>9</v>
      </c>
      <c r="H175" s="262" t="s">
        <v>10</v>
      </c>
      <c r="I175" s="262" t="s">
        <v>989</v>
      </c>
      <c r="J175" s="262" t="s">
        <v>12</v>
      </c>
      <c r="K175" s="262">
        <v>1</v>
      </c>
      <c r="L175" s="262" t="s">
        <v>1002</v>
      </c>
      <c r="M175" s="262" t="s">
        <v>15</v>
      </c>
      <c r="N175" s="262"/>
      <c r="O175" s="263"/>
      <c r="P175" s="264"/>
      <c r="Q175" s="265"/>
      <c r="R175" s="262"/>
      <c r="S175" s="262"/>
    </row>
    <row r="176" spans="1:19">
      <c r="A176" s="261" t="s">
        <v>990</v>
      </c>
      <c r="B176" s="262" t="s">
        <v>991</v>
      </c>
      <c r="C176" s="262" t="s">
        <v>38</v>
      </c>
      <c r="D176" s="262">
        <v>1</v>
      </c>
      <c r="E176" s="262" t="s">
        <v>924</v>
      </c>
      <c r="F176" s="262" t="s">
        <v>992</v>
      </c>
      <c r="G176" s="262" t="s">
        <v>9</v>
      </c>
      <c r="H176" s="262" t="s">
        <v>10</v>
      </c>
      <c r="I176" s="262" t="s">
        <v>280</v>
      </c>
      <c r="J176" s="262" t="s">
        <v>12</v>
      </c>
      <c r="K176" s="262">
        <v>1</v>
      </c>
      <c r="L176" s="262" t="s">
        <v>1002</v>
      </c>
      <c r="M176" s="262" t="s">
        <v>15</v>
      </c>
      <c r="N176" s="262"/>
      <c r="O176" s="263"/>
      <c r="P176" s="264"/>
      <c r="Q176" s="265"/>
      <c r="R176" s="262"/>
      <c r="S176" s="262"/>
    </row>
    <row r="177" spans="1:19">
      <c r="A177" s="261" t="s">
        <v>994</v>
      </c>
      <c r="B177" s="262" t="s">
        <v>996</v>
      </c>
      <c r="C177" s="262" t="s">
        <v>38</v>
      </c>
      <c r="D177" s="262">
        <v>1</v>
      </c>
      <c r="E177" s="262" t="s">
        <v>924</v>
      </c>
      <c r="F177" s="262" t="s">
        <v>997</v>
      </c>
      <c r="G177" s="262" t="s">
        <v>998</v>
      </c>
      <c r="H177" s="262" t="s">
        <v>23</v>
      </c>
      <c r="I177" s="262" t="s">
        <v>999</v>
      </c>
      <c r="J177" s="262" t="s">
        <v>12</v>
      </c>
      <c r="K177" s="262">
        <v>1</v>
      </c>
      <c r="L177" s="262" t="s">
        <v>1002</v>
      </c>
      <c r="M177" s="262" t="s">
        <v>15</v>
      </c>
      <c r="N177" s="262"/>
      <c r="O177" s="263"/>
      <c r="P177" s="264"/>
      <c r="Q177" s="265"/>
      <c r="R177" s="262"/>
      <c r="S177" s="262"/>
    </row>
  </sheetData>
  <dataConsolidate/>
  <conditionalFormatting sqref="G19:G174 G2:G17">
    <cfRule type="expression" dxfId="51" priority="138">
      <formula>COUNTIF(SECURTYPELIST,G2)=0</formula>
    </cfRule>
  </conditionalFormatting>
  <conditionalFormatting sqref="A19:A174 A2:A17">
    <cfRule type="duplicateValues" dxfId="50" priority="148"/>
  </conditionalFormatting>
  <conditionalFormatting sqref="G18">
    <cfRule type="expression" dxfId="49" priority="1">
      <formula>COUNTIF(SECURTYPELIST,G18)=0</formula>
    </cfRule>
  </conditionalFormatting>
  <conditionalFormatting sqref="A18">
    <cfRule type="duplicateValues" dxfId="48" priority="2"/>
  </conditionalFormatting>
  <dataValidations count="4">
    <dataValidation type="list" showInputMessage="1" showErrorMessage="1" sqref="G2:G177" xr:uid="{00000000-0002-0000-0100-000000000000}">
      <formula1>SECURTYPELIST</formula1>
    </dataValidation>
    <dataValidation type="list" allowBlank="1" showInputMessage="1" showErrorMessage="1" sqref="C2:C177" xr:uid="{00000000-0002-0000-0100-000001000000}">
      <formula1>CURRLIST</formula1>
    </dataValidation>
    <dataValidation type="list" allowBlank="1" showInputMessage="1" showErrorMessage="1" sqref="H2:H177" xr:uid="{00000000-0002-0000-0100-000002000000}">
      <formula1>SECTORLIST</formula1>
    </dataValidation>
    <dataValidation type="whole" operator="greaterThanOrEqual" showInputMessage="1" showErrorMessage="1" sqref="D2:D177" xr:uid="{00000000-0002-0000-0100-000003000000}">
      <formula1>1</formula1>
    </dataValidation>
  </dataValidations>
  <pageMargins left="0.7" right="0.7" top="0.75" bottom="0.75" header="0.3" footer="0.3"/>
  <pageSetup orientation="portrait" r:id="rId1"/>
  <ignoredErrors>
    <ignoredError sqref="F93:F104 F154" numberStoredAsText="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B5F3E-C736-449B-B180-ADD16C880751}">
  <dimension ref="A1:Q6"/>
  <sheetViews>
    <sheetView workbookViewId="0">
      <selection activeCell="A6" sqref="A6"/>
    </sheetView>
  </sheetViews>
  <sheetFormatPr defaultRowHeight="15.75"/>
  <cols>
    <col min="1" max="1" width="10.6875" customWidth="1"/>
    <col min="2" max="2" width="14.4375" customWidth="1"/>
    <col min="3" max="3" width="13.125" customWidth="1"/>
    <col min="5" max="5" width="9.9375" bestFit="1" customWidth="1"/>
    <col min="6" max="6" width="13.375" customWidth="1"/>
  </cols>
  <sheetData>
    <row r="1" spans="1:17">
      <c r="A1" s="283" t="s">
        <v>868</v>
      </c>
      <c r="B1" s="283"/>
      <c r="C1" s="283"/>
      <c r="D1" s="283"/>
      <c r="E1" s="283"/>
      <c r="F1" s="283"/>
      <c r="G1" s="283"/>
      <c r="H1" s="283"/>
      <c r="I1" s="283"/>
      <c r="J1" s="283"/>
      <c r="K1" s="283"/>
      <c r="L1" s="283"/>
      <c r="M1" s="283"/>
      <c r="N1" s="283"/>
      <c r="O1" s="283"/>
      <c r="P1" s="283"/>
      <c r="Q1" s="283"/>
    </row>
    <row r="3" spans="1:17">
      <c r="A3" t="s">
        <v>134</v>
      </c>
      <c r="B3" t="s">
        <v>0</v>
      </c>
      <c r="C3" t="s">
        <v>865</v>
      </c>
    </row>
    <row r="4" spans="1:17">
      <c r="A4" s="192">
        <v>43195</v>
      </c>
      <c r="B4" t="s">
        <v>866</v>
      </c>
      <c r="C4" s="21">
        <v>1.51125655649</v>
      </c>
      <c r="E4" s="1"/>
    </row>
    <row r="5" spans="1:17">
      <c r="A5" s="192">
        <v>43203</v>
      </c>
      <c r="B5" t="s">
        <v>866</v>
      </c>
      <c r="C5" s="21">
        <v>1.5049045592100001</v>
      </c>
    </row>
    <row r="6" spans="1:17">
      <c r="A6" s="192">
        <v>43207</v>
      </c>
      <c r="B6" t="s">
        <v>866</v>
      </c>
      <c r="C6" s="21">
        <v>1.50849624396</v>
      </c>
    </row>
  </sheetData>
  <mergeCells count="1">
    <mergeCell ref="A1:Q1"/>
  </mergeCells>
  <conditionalFormatting sqref="A4:A6">
    <cfRule type="expression" dxfId="26" priority="1">
      <formula>OR(ISBLANK(A4),ISERR(DATEVALUE(TEXT(A4,"YYYY-MM-dd"))))</formula>
    </cfRule>
  </conditionalFormatting>
  <dataValidations count="1">
    <dataValidation type="list" allowBlank="1" showInputMessage="1" showErrorMessage="1" sqref="B4:B6" xr:uid="{6314BE46-2429-4F3F-9FEB-6DF88227E752}">
      <formula1>SYMBOLLIST</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1"/>
  <sheetViews>
    <sheetView showGridLines="0" workbookViewId="0">
      <selection activeCell="J13" sqref="J13"/>
    </sheetView>
  </sheetViews>
  <sheetFormatPr defaultColWidth="11" defaultRowHeight="15.75"/>
  <cols>
    <col min="1" max="1" width="13.6875" customWidth="1"/>
    <col min="4" max="4" width="21.8125" customWidth="1"/>
    <col min="5" max="6" width="13.1875" customWidth="1"/>
    <col min="7" max="7" width="11.6875" customWidth="1"/>
    <col min="8" max="8" width="8.5" customWidth="1"/>
  </cols>
  <sheetData>
    <row r="1" spans="1:9" ht="20" customHeight="1">
      <c r="A1" s="2" t="s">
        <v>60</v>
      </c>
      <c r="C1" t="s">
        <v>62</v>
      </c>
    </row>
    <row r="2" spans="1:9" ht="8" customHeight="1"/>
    <row r="3" spans="1:9" s="3" customFormat="1" ht="32" customHeight="1">
      <c r="A3" s="3" t="s">
        <v>195</v>
      </c>
      <c r="B3" s="3" t="s">
        <v>37</v>
      </c>
      <c r="C3" s="3" t="s">
        <v>61</v>
      </c>
      <c r="D3" s="3" t="s">
        <v>1</v>
      </c>
      <c r="E3" s="3" t="s">
        <v>63</v>
      </c>
      <c r="F3" s="3" t="s">
        <v>64</v>
      </c>
      <c r="G3" s="3" t="s">
        <v>207</v>
      </c>
      <c r="H3" s="3" t="s">
        <v>73</v>
      </c>
      <c r="I3" s="3" t="s">
        <v>68</v>
      </c>
    </row>
    <row r="4" spans="1:9">
      <c r="A4" t="s">
        <v>65</v>
      </c>
      <c r="B4" t="s">
        <v>38</v>
      </c>
      <c r="C4" t="s">
        <v>66</v>
      </c>
      <c r="D4" s="4" t="s">
        <v>70</v>
      </c>
      <c r="F4" s="1">
        <v>42004</v>
      </c>
      <c r="G4" t="s">
        <v>67</v>
      </c>
      <c r="H4" t="s">
        <v>65</v>
      </c>
      <c r="I4" t="s">
        <v>69</v>
      </c>
    </row>
    <row r="5" spans="1:9">
      <c r="A5" t="s">
        <v>77</v>
      </c>
      <c r="B5" t="s">
        <v>38</v>
      </c>
      <c r="C5" t="s">
        <v>66</v>
      </c>
      <c r="D5" t="s">
        <v>71</v>
      </c>
      <c r="F5" s="1">
        <v>42004</v>
      </c>
      <c r="G5" t="s">
        <v>72</v>
      </c>
      <c r="H5" t="s">
        <v>74</v>
      </c>
      <c r="I5" t="s">
        <v>69</v>
      </c>
    </row>
    <row r="6" spans="1:9">
      <c r="A6" t="s">
        <v>78</v>
      </c>
      <c r="B6" t="s">
        <v>56</v>
      </c>
      <c r="C6" t="s">
        <v>66</v>
      </c>
      <c r="D6" t="s">
        <v>75</v>
      </c>
      <c r="F6" s="1">
        <v>42004</v>
      </c>
      <c r="G6" t="s">
        <v>76</v>
      </c>
      <c r="H6" t="s">
        <v>74</v>
      </c>
      <c r="I6" t="s">
        <v>69</v>
      </c>
    </row>
    <row r="7" spans="1:9">
      <c r="A7" t="s">
        <v>80</v>
      </c>
      <c r="B7" t="s">
        <v>56</v>
      </c>
      <c r="C7" t="s">
        <v>66</v>
      </c>
      <c r="D7" t="s">
        <v>81</v>
      </c>
      <c r="F7" s="1">
        <v>43191</v>
      </c>
      <c r="H7" t="s">
        <v>79</v>
      </c>
      <c r="I7" t="s">
        <v>69</v>
      </c>
    </row>
    <row r="8" spans="1:9">
      <c r="A8" t="s">
        <v>82</v>
      </c>
      <c r="B8" t="s">
        <v>57</v>
      </c>
      <c r="C8" t="s">
        <v>66</v>
      </c>
      <c r="D8" t="s">
        <v>83</v>
      </c>
      <c r="F8" s="1">
        <v>42004</v>
      </c>
      <c r="H8" t="s">
        <v>84</v>
      </c>
      <c r="I8" t="s">
        <v>69</v>
      </c>
    </row>
    <row r="9" spans="1:9">
      <c r="A9" t="s">
        <v>85</v>
      </c>
      <c r="B9" t="s">
        <v>38</v>
      </c>
      <c r="C9" t="s">
        <v>66</v>
      </c>
      <c r="D9" t="s">
        <v>86</v>
      </c>
      <c r="F9" s="1">
        <v>42004</v>
      </c>
      <c r="G9" s="1"/>
      <c r="H9" t="s">
        <v>74</v>
      </c>
      <c r="I9" t="s">
        <v>69</v>
      </c>
    </row>
    <row r="10" spans="1:9">
      <c r="A10" t="s">
        <v>87</v>
      </c>
      <c r="B10" t="s">
        <v>38</v>
      </c>
      <c r="C10" t="s">
        <v>66</v>
      </c>
      <c r="D10" t="s">
        <v>88</v>
      </c>
      <c r="F10" s="1">
        <v>42004</v>
      </c>
      <c r="H10" t="s">
        <v>74</v>
      </c>
      <c r="I10" t="s">
        <v>69</v>
      </c>
    </row>
    <row r="11" spans="1:9">
      <c r="A11" t="s">
        <v>600</v>
      </c>
      <c r="B11" t="s">
        <v>57</v>
      </c>
      <c r="C11" t="s">
        <v>66</v>
      </c>
      <c r="D11" t="s">
        <v>601</v>
      </c>
      <c r="F11" s="1">
        <v>42004</v>
      </c>
      <c r="H11" t="s">
        <v>600</v>
      </c>
      <c r="I11" t="s">
        <v>69</v>
      </c>
    </row>
  </sheetData>
  <conditionalFormatting sqref="F4:F11">
    <cfRule type="expression" dxfId="23" priority="3">
      <formula>OR(NOT(ISNUMBER(F4)),F4&gt;TODAY())</formula>
    </cfRule>
  </conditionalFormatting>
  <conditionalFormatting sqref="A4:A11">
    <cfRule type="duplicateValues" dxfId="22" priority="14"/>
  </conditionalFormatting>
  <dataValidations count="2">
    <dataValidation type="list" showInputMessage="1" showErrorMessage="1" sqref="C4:C11" xr:uid="{00000000-0002-0000-0200-000000000000}">
      <formula1>"Yes,No"</formula1>
    </dataValidation>
    <dataValidation type="list" allowBlank="1" showInputMessage="1" showErrorMessage="1" sqref="B4:B11" xr:uid="{00000000-0002-0000-0200-000001000000}">
      <formula1>CURRLIST</formula1>
    </dataValidation>
  </dataValidations>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heetViews>
  <sheetFormatPr defaultRowHeight="15.75"/>
  <cols>
    <col min="2" max="2" width="13.125" customWidth="1"/>
    <col min="3" max="3" width="10.9375" customWidth="1"/>
    <col min="6" max="6" width="12.0625" customWidth="1"/>
  </cols>
  <sheetData>
    <row r="1" spans="1:3">
      <c r="A1" s="51" t="s">
        <v>89</v>
      </c>
      <c r="B1" s="51" t="s">
        <v>1</v>
      </c>
      <c r="C1" s="7" t="s">
        <v>90</v>
      </c>
    </row>
    <row r="2" spans="1:3">
      <c r="A2" s="51" t="s">
        <v>38</v>
      </c>
      <c r="B2" s="51" t="s">
        <v>91</v>
      </c>
      <c r="C2" s="7" t="s">
        <v>92</v>
      </c>
    </row>
    <row r="3" spans="1:3">
      <c r="A3" s="51" t="s">
        <v>56</v>
      </c>
      <c r="B3" s="51" t="s">
        <v>98</v>
      </c>
      <c r="C3" s="7" t="s">
        <v>92</v>
      </c>
    </row>
    <row r="4" spans="1:3">
      <c r="A4" s="51" t="s">
        <v>57</v>
      </c>
      <c r="B4" s="51" t="s">
        <v>99</v>
      </c>
      <c r="C4" s="17" t="s">
        <v>109</v>
      </c>
    </row>
    <row r="5" spans="1:3">
      <c r="A5" s="42" t="s">
        <v>39</v>
      </c>
      <c r="B5" s="42" t="s">
        <v>103</v>
      </c>
      <c r="C5" s="42" t="s">
        <v>198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8"/>
  <sheetViews>
    <sheetView workbookViewId="0">
      <selection activeCell="A4" sqref="A4"/>
    </sheetView>
  </sheetViews>
  <sheetFormatPr defaultRowHeight="15.75"/>
  <cols>
    <col min="1" max="1" width="13.3125" customWidth="1"/>
    <col min="3" max="3" width="11.5625" customWidth="1"/>
    <col min="4" max="4" width="12.375" customWidth="1"/>
    <col min="5" max="5" width="13.1875" customWidth="1"/>
    <col min="6" max="6" width="14.5" customWidth="1"/>
    <col min="8" max="8" width="12.75" customWidth="1"/>
    <col min="9" max="9" width="12.6875" customWidth="1"/>
    <col min="10" max="10" width="12.75" customWidth="1"/>
  </cols>
  <sheetData>
    <row r="1" spans="1:19">
      <c r="A1" s="46" t="s">
        <v>2</v>
      </c>
      <c r="C1" s="46" t="s">
        <v>215</v>
      </c>
      <c r="E1" s="47" t="s">
        <v>3</v>
      </c>
      <c r="F1" t="s">
        <v>215</v>
      </c>
      <c r="H1" t="s">
        <v>250</v>
      </c>
      <c r="I1" t="s">
        <v>251</v>
      </c>
      <c r="J1" t="s">
        <v>252</v>
      </c>
      <c r="Q1" s="7" t="s">
        <v>89</v>
      </c>
      <c r="R1" s="7" t="s">
        <v>1</v>
      </c>
      <c r="S1" s="7" t="s">
        <v>90</v>
      </c>
    </row>
    <row r="2" spans="1:19">
      <c r="A2" s="7" t="s">
        <v>55</v>
      </c>
      <c r="C2" s="18" t="s">
        <v>30</v>
      </c>
      <c r="E2" s="48" t="s">
        <v>55</v>
      </c>
      <c r="F2" t="s">
        <v>55</v>
      </c>
      <c r="H2" t="s">
        <v>242</v>
      </c>
      <c r="I2" t="s">
        <v>245</v>
      </c>
      <c r="J2" t="s">
        <v>248</v>
      </c>
      <c r="Q2" s="7" t="s">
        <v>38</v>
      </c>
      <c r="R2" s="7" t="s">
        <v>91</v>
      </c>
      <c r="S2" s="7" t="s">
        <v>92</v>
      </c>
    </row>
    <row r="3" spans="1:19">
      <c r="A3" s="7" t="s">
        <v>9</v>
      </c>
      <c r="C3" s="7" t="s">
        <v>22</v>
      </c>
      <c r="E3" s="49" t="s">
        <v>10</v>
      </c>
      <c r="F3" s="50" t="s">
        <v>30</v>
      </c>
      <c r="Q3" s="7" t="s">
        <v>93</v>
      </c>
      <c r="R3" s="7" t="s">
        <v>94</v>
      </c>
      <c r="S3" s="7" t="s">
        <v>92</v>
      </c>
    </row>
    <row r="4" spans="1:19">
      <c r="A4" s="7" t="s">
        <v>18</v>
      </c>
      <c r="C4" s="46" t="s">
        <v>217</v>
      </c>
      <c r="E4" s="49" t="s">
        <v>23</v>
      </c>
      <c r="F4" s="50" t="s">
        <v>22</v>
      </c>
      <c r="Q4" s="7" t="s">
        <v>95</v>
      </c>
      <c r="R4" s="7" t="s">
        <v>96</v>
      </c>
      <c r="S4" s="16" t="s">
        <v>97</v>
      </c>
    </row>
    <row r="5" spans="1:19">
      <c r="A5" s="7" t="s">
        <v>44</v>
      </c>
      <c r="C5" s="46" t="s">
        <v>55</v>
      </c>
      <c r="E5" s="49" t="s">
        <v>29</v>
      </c>
      <c r="F5" s="50" t="s">
        <v>217</v>
      </c>
      <c r="Q5" s="7" t="s">
        <v>56</v>
      </c>
      <c r="R5" s="7" t="s">
        <v>98</v>
      </c>
      <c r="S5" s="7" t="s">
        <v>92</v>
      </c>
    </row>
    <row r="6" spans="1:19">
      <c r="A6" s="7" t="s">
        <v>51</v>
      </c>
      <c r="C6" s="46" t="s">
        <v>216</v>
      </c>
      <c r="E6" s="49" t="s">
        <v>35</v>
      </c>
      <c r="F6" s="50" t="s">
        <v>30</v>
      </c>
      <c r="Q6" s="7" t="s">
        <v>57</v>
      </c>
      <c r="R6" s="7" t="s">
        <v>99</v>
      </c>
      <c r="S6" s="17" t="s">
        <v>109</v>
      </c>
    </row>
    <row r="7" spans="1:19">
      <c r="A7" s="7" t="s">
        <v>23</v>
      </c>
      <c r="C7" s="46" t="s">
        <v>51</v>
      </c>
      <c r="E7" s="49" t="s">
        <v>218</v>
      </c>
      <c r="F7" s="50" t="s">
        <v>30</v>
      </c>
      <c r="Q7" s="7" t="s">
        <v>59</v>
      </c>
      <c r="R7" s="7" t="s">
        <v>100</v>
      </c>
      <c r="S7" s="17" t="s">
        <v>196</v>
      </c>
    </row>
    <row r="8" spans="1:19">
      <c r="A8" s="7" t="s">
        <v>54</v>
      </c>
      <c r="C8" s="52" t="s">
        <v>244</v>
      </c>
      <c r="E8" s="49" t="s">
        <v>219</v>
      </c>
      <c r="F8" s="50" t="s">
        <v>30</v>
      </c>
      <c r="Q8" s="7" t="s">
        <v>101</v>
      </c>
      <c r="R8" s="7" t="s">
        <v>102</v>
      </c>
      <c r="S8" s="17" t="s">
        <v>197</v>
      </c>
    </row>
    <row r="9" spans="1:19">
      <c r="A9" s="46" t="s">
        <v>227</v>
      </c>
      <c r="E9" s="49" t="s">
        <v>220</v>
      </c>
      <c r="F9" s="50" t="s">
        <v>30</v>
      </c>
      <c r="Q9" s="7" t="s">
        <v>39</v>
      </c>
      <c r="R9" s="7" t="s">
        <v>103</v>
      </c>
      <c r="S9" s="16" t="s">
        <v>198</v>
      </c>
    </row>
    <row r="10" spans="1:19">
      <c r="A10" s="52" t="s">
        <v>244</v>
      </c>
      <c r="E10" s="49" t="s">
        <v>221</v>
      </c>
      <c r="F10" s="50" t="s">
        <v>30</v>
      </c>
      <c r="Q10" s="7" t="s">
        <v>58</v>
      </c>
      <c r="R10" s="22" t="s">
        <v>206</v>
      </c>
      <c r="S10" s="7" t="s">
        <v>109</v>
      </c>
    </row>
    <row r="11" spans="1:19">
      <c r="A11" s="262" t="s">
        <v>998</v>
      </c>
      <c r="E11" s="49" t="s">
        <v>222</v>
      </c>
      <c r="F11" s="50" t="s">
        <v>30</v>
      </c>
      <c r="Q11" s="7" t="s">
        <v>104</v>
      </c>
      <c r="R11" s="7" t="s">
        <v>105</v>
      </c>
      <c r="S11" s="7" t="s">
        <v>92</v>
      </c>
    </row>
    <row r="12" spans="1:19">
      <c r="E12" s="49" t="s">
        <v>223</v>
      </c>
      <c r="F12" s="50" t="s">
        <v>30</v>
      </c>
      <c r="Q12" s="7" t="s">
        <v>106</v>
      </c>
      <c r="R12" s="7" t="s">
        <v>107</v>
      </c>
      <c r="S12" s="7" t="s">
        <v>108</v>
      </c>
    </row>
    <row r="13" spans="1:19">
      <c r="E13" s="49" t="s">
        <v>224</v>
      </c>
      <c r="F13" s="50" t="s">
        <v>30</v>
      </c>
    </row>
    <row r="14" spans="1:19">
      <c r="E14" s="49" t="s">
        <v>225</v>
      </c>
      <c r="F14" s="50" t="s">
        <v>30</v>
      </c>
    </row>
    <row r="15" spans="1:19">
      <c r="E15" s="49" t="s">
        <v>226</v>
      </c>
      <c r="F15" s="50" t="s">
        <v>30</v>
      </c>
    </row>
    <row r="16" spans="1:19">
      <c r="E16" s="49" t="s">
        <v>51</v>
      </c>
      <c r="F16" s="50" t="s">
        <v>51</v>
      </c>
    </row>
    <row r="17" spans="5:6">
      <c r="E17" s="49" t="s">
        <v>228</v>
      </c>
      <c r="F17" s="50" t="s">
        <v>30</v>
      </c>
    </row>
    <row r="18" spans="5:6">
      <c r="E18" s="49" t="s">
        <v>217</v>
      </c>
      <c r="F18" s="50" t="s">
        <v>217</v>
      </c>
    </row>
  </sheetData>
  <dataValidations count="2">
    <dataValidation type="list" allowBlank="1" showInputMessage="1" showErrorMessage="1" sqref="F2:F18" xr:uid="{00000000-0002-0000-0400-000000000000}">
      <formula1>ASSESTCLASSLIST</formula1>
    </dataValidation>
    <dataValidation type="list" allowBlank="1" showInputMessage="1" showErrorMessage="1" sqref="H2:J2" xr:uid="{00000000-0002-0000-0400-000001000000}">
      <formula1>SYMBOLLIST</formula1>
    </dataValidation>
  </dataValidations>
  <pageMargins left="0.7" right="0.7" top="0.75" bottom="0.75" header="0.3" footer="0.3"/>
  <tableParts count="5">
    <tablePart r:id="rId1"/>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5"/>
  <sheetViews>
    <sheetView workbookViewId="0">
      <pane xSplit="1" topLeftCell="B1" activePane="topRight" state="frozen"/>
      <selection pane="topRight" activeCell="V2" sqref="V2"/>
    </sheetView>
  </sheetViews>
  <sheetFormatPr defaultColWidth="11" defaultRowHeight="15.75"/>
  <cols>
    <col min="1" max="1" width="17.5" customWidth="1"/>
    <col min="2" max="2" width="27.1875" customWidth="1"/>
    <col min="3" max="3" width="12.25" customWidth="1"/>
    <col min="4" max="4" width="13.0625" customWidth="1"/>
    <col min="5" max="5" width="11.75" customWidth="1"/>
    <col min="6" max="6" width="8.875" customWidth="1"/>
    <col min="18" max="18" width="24.1875" bestFit="1" customWidth="1"/>
    <col min="19" max="19" width="24.0625" bestFit="1" customWidth="1"/>
    <col min="20" max="20" width="21.5" bestFit="1" customWidth="1"/>
    <col min="21" max="21" width="14.0625" customWidth="1"/>
    <col min="24" max="24" width="4.4375" style="54" customWidth="1"/>
  </cols>
  <sheetData>
    <row r="1" spans="1:28">
      <c r="A1" s="284" t="s">
        <v>229</v>
      </c>
      <c r="B1" s="284"/>
      <c r="C1" s="284"/>
    </row>
    <row r="2" spans="1:28">
      <c r="A2">
        <f>COLUMN(TransTypes[TransType])-COLUMN(TransTypes[])+1</f>
        <v>1</v>
      </c>
      <c r="B2">
        <f>COLUMN(TransTypes[Description])-COLUMN(TransTypes[])+1</f>
        <v>2</v>
      </c>
      <c r="C2">
        <f>COLUMN(TransTypes[LongOrShort])-COLUMN(TransTypes[])+1</f>
        <v>3</v>
      </c>
      <c r="D2">
        <f>COLUMN(TransTypes[BookValueSign])-COLUMN(TransTypes[])+1</f>
        <v>4</v>
      </c>
      <c r="E2">
        <f>COLUMN(TransTypes[IgonreQty])-COLUMN(TransTypes[])+1</f>
        <v>5</v>
      </c>
      <c r="F2">
        <f>COLUMN(TransTypes[FeeSign])-COLUMN(TransTypes[])+1</f>
        <v>6</v>
      </c>
      <c r="G2">
        <f>COLUMN(TransTypes[AmntSign])-COLUMN(TransTypes[])+1</f>
        <v>7</v>
      </c>
      <c r="H2">
        <f>COLUMN(TransTypes[QtySign])-COLUMN(TransTypes[])+1</f>
        <v>8</v>
      </c>
      <c r="I2">
        <f>COLUMN(TransTypes[IgonreFXrate])-COLUMN(TransTypes[])+1</f>
        <v>9</v>
      </c>
      <c r="J2">
        <f>COLUMN(TransTypes[OCItoBCISign])-COLUMN(TransTypes[])+1</f>
        <v>10</v>
      </c>
      <c r="K2">
        <f>COLUMN(TransTypes[CloseOrOpen])-COLUMN(TransTypes[])+1</f>
        <v>11</v>
      </c>
      <c r="L2">
        <f>COLUMN(TransTypes[GLFlag])-COLUMN(TransTypes[])+1</f>
        <v>12</v>
      </c>
      <c r="M2">
        <f>COLUMN(TransTypes[ForexTradeFlag])-COLUMN(TransTypes[])+1</f>
        <v>13</v>
      </c>
      <c r="N2">
        <f>COLUMN(TransTypes[ReturnOfCapFlag])-COLUMN(TransTypes[])+1</f>
        <v>14</v>
      </c>
      <c r="O2">
        <f>COLUMN(TransTypes[ShareTransferFlag])-COLUMN(TransTypes[])+1</f>
        <v>15</v>
      </c>
      <c r="P2">
        <f>COLUMN(TransTypes[DepositTransSign])-COLUMN(TransTypes[])+1</f>
        <v>16</v>
      </c>
      <c r="Q2">
        <f>COLUMN(TransTypes[DividendFlag])-COLUMN(TransTypes[])+1</f>
        <v>17</v>
      </c>
      <c r="R2">
        <f>COLUMN(TransTypes[SymbolTrdeCashFlowSign])-COLUMN(TransTypes[])+1</f>
        <v>18</v>
      </c>
      <c r="S2">
        <f>COLUMN(TransTypes[SymbolXIRRCashflowSign])-COLUMN(TransTypes[])+1</f>
        <v>19</v>
      </c>
      <c r="T2">
        <f>COLUMN(TransTypes[PortfolioCashFlowSign])-COLUMN(TransTypes[])+1</f>
        <v>20</v>
      </c>
      <c r="U2">
        <f>COLUMN(TransTypes[InterestFlag])-COLUMN(TransTypes[])+1</f>
        <v>21</v>
      </c>
      <c r="V2">
        <f>COLUMN(TransTypes[IgnorePrice])-COLUMN(TransTypes[])+1</f>
        <v>22</v>
      </c>
    </row>
    <row r="3" spans="1:28" ht="31.9" customHeight="1">
      <c r="A3" t="s">
        <v>110</v>
      </c>
      <c r="B3" t="s">
        <v>1</v>
      </c>
      <c r="C3" t="s">
        <v>169</v>
      </c>
      <c r="D3" t="s">
        <v>111</v>
      </c>
      <c r="E3" t="s">
        <v>145</v>
      </c>
      <c r="F3" t="s">
        <v>146</v>
      </c>
      <c r="G3" t="s">
        <v>147</v>
      </c>
      <c r="H3" t="s">
        <v>150</v>
      </c>
      <c r="I3" t="s">
        <v>155</v>
      </c>
      <c r="J3" t="s">
        <v>157</v>
      </c>
      <c r="K3" t="s">
        <v>176</v>
      </c>
      <c r="L3" t="s">
        <v>185</v>
      </c>
      <c r="M3" t="s">
        <v>189</v>
      </c>
      <c r="N3" t="s">
        <v>230</v>
      </c>
      <c r="O3" t="s">
        <v>231</v>
      </c>
      <c r="P3" t="s">
        <v>232</v>
      </c>
      <c r="Q3" t="s">
        <v>233</v>
      </c>
      <c r="R3" t="s">
        <v>234</v>
      </c>
      <c r="S3" t="s">
        <v>254</v>
      </c>
      <c r="T3" t="s">
        <v>253</v>
      </c>
      <c r="U3" t="s">
        <v>237</v>
      </c>
      <c r="V3" t="s">
        <v>1004</v>
      </c>
      <c r="X3"/>
      <c r="Y3" s="54"/>
      <c r="Z3" s="15"/>
      <c r="AB3" t="s">
        <v>190</v>
      </c>
    </row>
    <row r="4" spans="1:28">
      <c r="A4" t="s">
        <v>112</v>
      </c>
      <c r="B4" s="5" t="s">
        <v>117</v>
      </c>
      <c r="C4" t="s">
        <v>170</v>
      </c>
      <c r="D4">
        <v>0</v>
      </c>
      <c r="E4">
        <v>1</v>
      </c>
      <c r="F4">
        <v>0</v>
      </c>
      <c r="G4">
        <v>1</v>
      </c>
      <c r="H4">
        <v>0</v>
      </c>
      <c r="I4">
        <v>1</v>
      </c>
      <c r="J4">
        <v>0</v>
      </c>
      <c r="K4" t="s">
        <v>170</v>
      </c>
      <c r="L4">
        <v>0</v>
      </c>
      <c r="M4">
        <v>0</v>
      </c>
      <c r="N4">
        <v>0</v>
      </c>
      <c r="O4">
        <v>0</v>
      </c>
      <c r="P4">
        <v>1</v>
      </c>
      <c r="Q4">
        <v>0</v>
      </c>
      <c r="R4">
        <v>0</v>
      </c>
      <c r="S4">
        <v>0</v>
      </c>
      <c r="T4">
        <v>-1</v>
      </c>
      <c r="U4">
        <v>0</v>
      </c>
      <c r="V4">
        <v>1</v>
      </c>
      <c r="X4"/>
      <c r="Y4" s="54"/>
      <c r="Z4" s="15"/>
      <c r="AB4" t="s">
        <v>190</v>
      </c>
    </row>
    <row r="5" spans="1:28">
      <c r="A5" t="s">
        <v>113</v>
      </c>
      <c r="B5" s="5" t="s">
        <v>114</v>
      </c>
      <c r="C5" t="s">
        <v>171</v>
      </c>
      <c r="D5">
        <v>1</v>
      </c>
      <c r="E5">
        <v>0</v>
      </c>
      <c r="F5">
        <v>1</v>
      </c>
      <c r="G5">
        <v>-1</v>
      </c>
      <c r="H5">
        <v>1</v>
      </c>
      <c r="I5">
        <v>1</v>
      </c>
      <c r="J5">
        <v>0</v>
      </c>
      <c r="K5" t="s">
        <v>173</v>
      </c>
      <c r="L5">
        <v>0</v>
      </c>
      <c r="M5">
        <v>0</v>
      </c>
      <c r="N5">
        <v>0</v>
      </c>
      <c r="O5">
        <v>0</v>
      </c>
      <c r="P5">
        <v>0</v>
      </c>
      <c r="Q5">
        <v>0</v>
      </c>
      <c r="R5">
        <v>-1</v>
      </c>
      <c r="S5">
        <v>-1</v>
      </c>
      <c r="T5">
        <v>0</v>
      </c>
      <c r="U5">
        <v>0</v>
      </c>
      <c r="V5">
        <v>0</v>
      </c>
      <c r="X5"/>
      <c r="Y5" s="54"/>
      <c r="Z5" s="15"/>
    </row>
    <row r="6" spans="1:28">
      <c r="A6" t="s">
        <v>115</v>
      </c>
      <c r="B6" s="5" t="s">
        <v>116</v>
      </c>
      <c r="C6" t="s">
        <v>171</v>
      </c>
      <c r="D6">
        <v>-1</v>
      </c>
      <c r="E6">
        <v>0</v>
      </c>
      <c r="F6">
        <v>-1</v>
      </c>
      <c r="G6">
        <v>1</v>
      </c>
      <c r="H6">
        <v>-1</v>
      </c>
      <c r="I6">
        <v>1</v>
      </c>
      <c r="J6">
        <v>0</v>
      </c>
      <c r="K6" t="s">
        <v>172</v>
      </c>
      <c r="L6">
        <v>1</v>
      </c>
      <c r="M6">
        <v>0</v>
      </c>
      <c r="N6">
        <v>0</v>
      </c>
      <c r="O6">
        <v>0</v>
      </c>
      <c r="P6">
        <v>0</v>
      </c>
      <c r="Q6">
        <v>0</v>
      </c>
      <c r="R6">
        <v>1</v>
      </c>
      <c r="S6">
        <v>1</v>
      </c>
      <c r="T6">
        <v>0</v>
      </c>
      <c r="U6">
        <v>0</v>
      </c>
      <c r="V6">
        <v>0</v>
      </c>
      <c r="X6"/>
      <c r="Y6" s="54"/>
      <c r="Z6" s="15"/>
    </row>
    <row r="7" spans="1:28">
      <c r="A7" t="s">
        <v>118</v>
      </c>
      <c r="B7" s="5" t="s">
        <v>118</v>
      </c>
      <c r="C7" t="s">
        <v>170</v>
      </c>
      <c r="D7">
        <v>0</v>
      </c>
      <c r="E7">
        <v>1</v>
      </c>
      <c r="F7">
        <v>0</v>
      </c>
      <c r="G7">
        <v>1</v>
      </c>
      <c r="H7">
        <v>0</v>
      </c>
      <c r="I7">
        <v>1</v>
      </c>
      <c r="J7">
        <v>0</v>
      </c>
      <c r="K7" t="s">
        <v>170</v>
      </c>
      <c r="L7">
        <v>0</v>
      </c>
      <c r="M7">
        <v>0</v>
      </c>
      <c r="N7">
        <v>0</v>
      </c>
      <c r="O7">
        <v>0</v>
      </c>
      <c r="P7">
        <v>0</v>
      </c>
      <c r="Q7">
        <v>1</v>
      </c>
      <c r="R7">
        <v>0</v>
      </c>
      <c r="S7">
        <v>1</v>
      </c>
      <c r="T7">
        <v>0</v>
      </c>
      <c r="U7">
        <v>0</v>
      </c>
      <c r="V7">
        <v>0</v>
      </c>
      <c r="X7"/>
      <c r="Y7" s="54"/>
      <c r="Z7" s="15"/>
    </row>
    <row r="8" spans="1:28">
      <c r="A8" t="s">
        <v>119</v>
      </c>
      <c r="B8" s="5" t="s">
        <v>120</v>
      </c>
      <c r="C8" t="s">
        <v>170</v>
      </c>
      <c r="D8">
        <v>0</v>
      </c>
      <c r="E8">
        <v>1</v>
      </c>
      <c r="F8">
        <v>0</v>
      </c>
      <c r="G8">
        <v>-1</v>
      </c>
      <c r="H8">
        <v>0</v>
      </c>
      <c r="I8">
        <v>1</v>
      </c>
      <c r="J8">
        <v>0</v>
      </c>
      <c r="K8" t="s">
        <v>170</v>
      </c>
      <c r="L8">
        <v>0</v>
      </c>
      <c r="M8">
        <v>0</v>
      </c>
      <c r="N8">
        <v>0</v>
      </c>
      <c r="O8">
        <v>0</v>
      </c>
      <c r="P8">
        <v>-1</v>
      </c>
      <c r="Q8">
        <v>0</v>
      </c>
      <c r="R8">
        <v>0</v>
      </c>
      <c r="S8">
        <v>0</v>
      </c>
      <c r="T8">
        <v>1</v>
      </c>
      <c r="U8">
        <v>0</v>
      </c>
      <c r="V8">
        <v>0</v>
      </c>
      <c r="X8"/>
      <c r="Y8" s="54"/>
      <c r="Z8" s="15"/>
    </row>
    <row r="9" spans="1:28">
      <c r="A9" t="s">
        <v>121</v>
      </c>
      <c r="B9" s="5" t="s">
        <v>122</v>
      </c>
      <c r="C9" t="s">
        <v>170</v>
      </c>
      <c r="D9">
        <v>0</v>
      </c>
      <c r="E9">
        <v>1</v>
      </c>
      <c r="F9">
        <v>0</v>
      </c>
      <c r="G9">
        <v>-1</v>
      </c>
      <c r="H9">
        <v>0</v>
      </c>
      <c r="I9">
        <v>1</v>
      </c>
      <c r="J9">
        <v>0</v>
      </c>
      <c r="K9" t="s">
        <v>170</v>
      </c>
      <c r="L9">
        <v>0</v>
      </c>
      <c r="M9">
        <v>0</v>
      </c>
      <c r="N9">
        <v>0</v>
      </c>
      <c r="O9">
        <v>0</v>
      </c>
      <c r="P9">
        <v>0</v>
      </c>
      <c r="Q9">
        <v>0</v>
      </c>
      <c r="R9">
        <v>0</v>
      </c>
      <c r="S9">
        <v>0</v>
      </c>
      <c r="T9">
        <v>1</v>
      </c>
      <c r="U9">
        <v>0</v>
      </c>
      <c r="V9">
        <v>0</v>
      </c>
      <c r="X9"/>
      <c r="Y9" s="54"/>
      <c r="Z9" s="15"/>
    </row>
    <row r="10" spans="1:28">
      <c r="A10" t="s">
        <v>123</v>
      </c>
      <c r="B10" s="5" t="s">
        <v>124</v>
      </c>
      <c r="C10" t="s">
        <v>170</v>
      </c>
      <c r="D10">
        <v>0</v>
      </c>
      <c r="E10">
        <v>1</v>
      </c>
      <c r="F10">
        <v>0</v>
      </c>
      <c r="G10">
        <v>-1</v>
      </c>
      <c r="H10">
        <v>0</v>
      </c>
      <c r="I10">
        <v>1</v>
      </c>
      <c r="J10">
        <v>0</v>
      </c>
      <c r="K10" t="s">
        <v>170</v>
      </c>
      <c r="L10">
        <v>0</v>
      </c>
      <c r="M10">
        <v>0</v>
      </c>
      <c r="N10">
        <v>0</v>
      </c>
      <c r="O10">
        <v>0</v>
      </c>
      <c r="P10">
        <v>0</v>
      </c>
      <c r="Q10">
        <v>0</v>
      </c>
      <c r="R10">
        <v>0</v>
      </c>
      <c r="S10">
        <v>0</v>
      </c>
      <c r="T10">
        <v>1</v>
      </c>
      <c r="U10">
        <v>0</v>
      </c>
      <c r="V10">
        <v>0</v>
      </c>
      <c r="X10"/>
      <c r="Y10" s="54"/>
      <c r="Z10" s="15"/>
    </row>
    <row r="11" spans="1:28">
      <c r="A11" t="s">
        <v>240</v>
      </c>
      <c r="B11" s="5" t="s">
        <v>125</v>
      </c>
      <c r="C11" t="s">
        <v>170</v>
      </c>
      <c r="D11">
        <v>0</v>
      </c>
      <c r="E11">
        <v>1</v>
      </c>
      <c r="F11">
        <v>-1</v>
      </c>
      <c r="G11">
        <v>1</v>
      </c>
      <c r="H11">
        <v>0</v>
      </c>
      <c r="I11">
        <v>1</v>
      </c>
      <c r="J11">
        <v>0</v>
      </c>
      <c r="K11" t="s">
        <v>170</v>
      </c>
      <c r="L11">
        <v>0</v>
      </c>
      <c r="M11">
        <v>0</v>
      </c>
      <c r="N11">
        <v>0</v>
      </c>
      <c r="O11">
        <v>0</v>
      </c>
      <c r="P11">
        <v>0</v>
      </c>
      <c r="Q11">
        <v>0</v>
      </c>
      <c r="R11">
        <v>0</v>
      </c>
      <c r="S11">
        <v>1</v>
      </c>
      <c r="T11">
        <v>0</v>
      </c>
      <c r="U11">
        <v>1</v>
      </c>
      <c r="V11">
        <v>0</v>
      </c>
      <c r="X11"/>
      <c r="Y11" s="54"/>
      <c r="Z11" s="15"/>
    </row>
    <row r="12" spans="1:28">
      <c r="A12" t="s">
        <v>241</v>
      </c>
      <c r="B12" s="5" t="s">
        <v>126</v>
      </c>
      <c r="C12" t="s">
        <v>170</v>
      </c>
      <c r="D12">
        <v>0</v>
      </c>
      <c r="E12">
        <v>1</v>
      </c>
      <c r="F12">
        <v>1</v>
      </c>
      <c r="G12">
        <v>-1</v>
      </c>
      <c r="H12">
        <v>0</v>
      </c>
      <c r="I12">
        <v>1</v>
      </c>
      <c r="J12">
        <v>0</v>
      </c>
      <c r="K12" t="s">
        <v>170</v>
      </c>
      <c r="L12">
        <v>0</v>
      </c>
      <c r="M12">
        <v>0</v>
      </c>
      <c r="N12">
        <v>0</v>
      </c>
      <c r="O12">
        <v>0</v>
      </c>
      <c r="P12">
        <v>0</v>
      </c>
      <c r="Q12">
        <v>0</v>
      </c>
      <c r="R12">
        <v>0</v>
      </c>
      <c r="S12">
        <v>0</v>
      </c>
      <c r="T12">
        <v>1</v>
      </c>
      <c r="U12">
        <v>1</v>
      </c>
      <c r="V12">
        <v>0</v>
      </c>
      <c r="X12"/>
      <c r="Y12" s="54"/>
      <c r="Z12" s="15"/>
    </row>
    <row r="13" spans="1:28">
      <c r="A13" t="s">
        <v>127</v>
      </c>
      <c r="B13" s="5" t="s">
        <v>128</v>
      </c>
      <c r="C13" t="s">
        <v>170</v>
      </c>
      <c r="D13">
        <v>0</v>
      </c>
      <c r="E13">
        <v>0</v>
      </c>
      <c r="F13">
        <v>0</v>
      </c>
      <c r="G13">
        <v>0</v>
      </c>
      <c r="H13">
        <v>1</v>
      </c>
      <c r="I13">
        <v>1</v>
      </c>
      <c r="J13">
        <v>0</v>
      </c>
      <c r="K13" t="s">
        <v>170</v>
      </c>
      <c r="L13">
        <v>0</v>
      </c>
      <c r="M13">
        <v>0</v>
      </c>
      <c r="N13">
        <v>0</v>
      </c>
      <c r="O13">
        <v>0</v>
      </c>
      <c r="P13">
        <v>0</v>
      </c>
      <c r="Q13">
        <v>0</v>
      </c>
      <c r="R13">
        <v>0</v>
      </c>
      <c r="S13">
        <v>0</v>
      </c>
      <c r="T13">
        <v>0</v>
      </c>
      <c r="U13">
        <v>0</v>
      </c>
      <c r="V13">
        <v>0</v>
      </c>
      <c r="X13"/>
      <c r="Y13" s="54"/>
      <c r="Z13" s="15"/>
    </row>
    <row r="14" spans="1:28">
      <c r="A14" t="s">
        <v>182</v>
      </c>
      <c r="B14" s="5" t="s">
        <v>177</v>
      </c>
      <c r="C14" t="s">
        <v>171</v>
      </c>
      <c r="D14">
        <v>1</v>
      </c>
      <c r="E14">
        <v>0</v>
      </c>
      <c r="F14">
        <v>0</v>
      </c>
      <c r="G14">
        <v>0</v>
      </c>
      <c r="H14">
        <v>1</v>
      </c>
      <c r="I14">
        <v>1</v>
      </c>
      <c r="J14">
        <v>0</v>
      </c>
      <c r="K14" t="s">
        <v>173</v>
      </c>
      <c r="L14">
        <v>0</v>
      </c>
      <c r="M14">
        <v>0</v>
      </c>
      <c r="N14">
        <v>0</v>
      </c>
      <c r="O14">
        <v>1</v>
      </c>
      <c r="P14">
        <v>1</v>
      </c>
      <c r="Q14">
        <v>0</v>
      </c>
      <c r="R14">
        <v>-1</v>
      </c>
      <c r="S14">
        <v>-1</v>
      </c>
      <c r="T14">
        <v>-1</v>
      </c>
      <c r="U14">
        <v>0</v>
      </c>
      <c r="V14">
        <v>0</v>
      </c>
      <c r="X14"/>
      <c r="Y14" s="54"/>
      <c r="Z14" s="15"/>
    </row>
    <row r="15" spans="1:28">
      <c r="A15" t="s">
        <v>181</v>
      </c>
      <c r="B15" s="5" t="s">
        <v>178</v>
      </c>
      <c r="C15" t="s">
        <v>171</v>
      </c>
      <c r="D15">
        <v>-1</v>
      </c>
      <c r="E15">
        <v>0</v>
      </c>
      <c r="F15">
        <v>0</v>
      </c>
      <c r="G15">
        <v>0</v>
      </c>
      <c r="H15">
        <v>-1</v>
      </c>
      <c r="I15">
        <v>1</v>
      </c>
      <c r="J15">
        <v>0</v>
      </c>
      <c r="K15" t="s">
        <v>172</v>
      </c>
      <c r="L15">
        <v>0</v>
      </c>
      <c r="M15">
        <v>0</v>
      </c>
      <c r="N15">
        <v>0</v>
      </c>
      <c r="O15">
        <v>1</v>
      </c>
      <c r="P15">
        <v>-1</v>
      </c>
      <c r="Q15">
        <v>0</v>
      </c>
      <c r="R15">
        <v>1</v>
      </c>
      <c r="S15">
        <v>1</v>
      </c>
      <c r="T15">
        <v>1</v>
      </c>
      <c r="U15">
        <v>0</v>
      </c>
      <c r="V15">
        <v>0</v>
      </c>
      <c r="X15"/>
      <c r="Y15" s="54"/>
      <c r="Z15" s="15"/>
    </row>
    <row r="16" spans="1:28">
      <c r="A16" t="s">
        <v>129</v>
      </c>
      <c r="B16" s="5" t="s">
        <v>130</v>
      </c>
      <c r="C16" t="s">
        <v>170</v>
      </c>
      <c r="D16">
        <v>-1</v>
      </c>
      <c r="E16">
        <v>1</v>
      </c>
      <c r="F16">
        <v>0</v>
      </c>
      <c r="G16">
        <v>1</v>
      </c>
      <c r="H16">
        <v>0</v>
      </c>
      <c r="I16">
        <v>1</v>
      </c>
      <c r="J16">
        <v>0</v>
      </c>
      <c r="K16" t="s">
        <v>170</v>
      </c>
      <c r="L16">
        <v>0</v>
      </c>
      <c r="M16">
        <v>0</v>
      </c>
      <c r="N16">
        <v>1</v>
      </c>
      <c r="O16">
        <v>0</v>
      </c>
      <c r="P16">
        <v>0</v>
      </c>
      <c r="Q16">
        <v>1</v>
      </c>
      <c r="R16">
        <v>0</v>
      </c>
      <c r="S16">
        <v>1</v>
      </c>
      <c r="T16">
        <v>0</v>
      </c>
      <c r="U16">
        <v>0</v>
      </c>
      <c r="V16">
        <v>0</v>
      </c>
      <c r="X16"/>
      <c r="Y16" s="54"/>
      <c r="Z16" s="15"/>
    </row>
    <row r="17" spans="1:26">
      <c r="A17" t="s">
        <v>131</v>
      </c>
      <c r="B17" s="5" t="s">
        <v>132</v>
      </c>
      <c r="C17" t="s">
        <v>170</v>
      </c>
      <c r="D17">
        <v>1</v>
      </c>
      <c r="E17">
        <v>1</v>
      </c>
      <c r="F17">
        <v>0</v>
      </c>
      <c r="G17">
        <v>0</v>
      </c>
      <c r="H17">
        <v>0</v>
      </c>
      <c r="I17">
        <v>1</v>
      </c>
      <c r="J17">
        <v>0</v>
      </c>
      <c r="K17" t="s">
        <v>170</v>
      </c>
      <c r="L17">
        <v>0</v>
      </c>
      <c r="M17">
        <v>0</v>
      </c>
      <c r="N17">
        <v>0</v>
      </c>
      <c r="O17">
        <v>0</v>
      </c>
      <c r="P17">
        <v>0</v>
      </c>
      <c r="Q17">
        <v>0</v>
      </c>
      <c r="R17">
        <v>0</v>
      </c>
      <c r="S17">
        <v>0</v>
      </c>
      <c r="T17">
        <v>0</v>
      </c>
      <c r="U17">
        <v>0</v>
      </c>
      <c r="V17">
        <v>0</v>
      </c>
      <c r="X17"/>
      <c r="Y17" s="54"/>
      <c r="Z17" s="15"/>
    </row>
    <row r="18" spans="1:26">
      <c r="A18" t="s">
        <v>152</v>
      </c>
      <c r="B18" s="5" t="s">
        <v>153</v>
      </c>
      <c r="C18" t="s">
        <v>170</v>
      </c>
      <c r="D18">
        <v>0</v>
      </c>
      <c r="E18">
        <v>0</v>
      </c>
      <c r="F18">
        <v>0</v>
      </c>
      <c r="G18">
        <v>1</v>
      </c>
      <c r="H18">
        <v>-1</v>
      </c>
      <c r="I18">
        <v>1</v>
      </c>
      <c r="J18">
        <v>-1</v>
      </c>
      <c r="K18" t="s">
        <v>170</v>
      </c>
      <c r="L18">
        <v>0</v>
      </c>
      <c r="M18">
        <v>1</v>
      </c>
      <c r="N18">
        <v>0</v>
      </c>
      <c r="O18">
        <v>0</v>
      </c>
      <c r="P18">
        <v>0</v>
      </c>
      <c r="Q18">
        <v>0</v>
      </c>
      <c r="R18">
        <v>0</v>
      </c>
      <c r="S18">
        <v>0</v>
      </c>
      <c r="T18">
        <v>-1</v>
      </c>
      <c r="U18">
        <v>0</v>
      </c>
      <c r="V18">
        <v>1</v>
      </c>
      <c r="X18"/>
      <c r="Y18" s="54"/>
      <c r="Z18" s="15"/>
    </row>
    <row r="19" spans="1:26">
      <c r="A19" t="s">
        <v>238</v>
      </c>
      <c r="B19" s="5" t="s">
        <v>212</v>
      </c>
      <c r="C19" t="s">
        <v>170</v>
      </c>
      <c r="D19">
        <v>0</v>
      </c>
      <c r="E19">
        <v>1</v>
      </c>
      <c r="F19">
        <v>-1</v>
      </c>
      <c r="G19">
        <v>-1</v>
      </c>
      <c r="H19">
        <v>0</v>
      </c>
      <c r="I19">
        <v>1</v>
      </c>
      <c r="J19">
        <v>1</v>
      </c>
      <c r="K19" t="s">
        <v>170</v>
      </c>
      <c r="L19">
        <v>0</v>
      </c>
      <c r="M19">
        <v>1</v>
      </c>
      <c r="N19">
        <v>0</v>
      </c>
      <c r="O19">
        <v>0</v>
      </c>
      <c r="P19">
        <v>0</v>
      </c>
      <c r="Q19">
        <v>0</v>
      </c>
      <c r="R19">
        <v>0</v>
      </c>
      <c r="S19">
        <v>0</v>
      </c>
      <c r="T19">
        <v>1</v>
      </c>
      <c r="U19">
        <v>0</v>
      </c>
      <c r="V19">
        <v>1</v>
      </c>
      <c r="X19"/>
      <c r="Y19" s="54"/>
      <c r="Z19" s="15"/>
    </row>
    <row r="20" spans="1:26">
      <c r="A20" t="s">
        <v>156</v>
      </c>
      <c r="B20" s="5" t="s">
        <v>154</v>
      </c>
      <c r="C20" t="s">
        <v>170</v>
      </c>
      <c r="D20">
        <v>0</v>
      </c>
      <c r="E20">
        <v>0</v>
      </c>
      <c r="F20">
        <v>0</v>
      </c>
      <c r="G20">
        <v>-1</v>
      </c>
      <c r="H20">
        <v>1</v>
      </c>
      <c r="I20">
        <v>1</v>
      </c>
      <c r="J20">
        <v>-1</v>
      </c>
      <c r="K20" t="s">
        <v>170</v>
      </c>
      <c r="L20">
        <v>0</v>
      </c>
      <c r="M20">
        <v>1</v>
      </c>
      <c r="N20">
        <v>0</v>
      </c>
      <c r="O20">
        <v>0</v>
      </c>
      <c r="P20">
        <v>0</v>
      </c>
      <c r="Q20">
        <v>0</v>
      </c>
      <c r="R20">
        <v>0</v>
      </c>
      <c r="S20">
        <v>0</v>
      </c>
      <c r="T20">
        <v>1</v>
      </c>
      <c r="U20">
        <v>0</v>
      </c>
      <c r="V20">
        <v>1</v>
      </c>
      <c r="X20"/>
      <c r="Y20" s="54"/>
      <c r="Z20" s="15"/>
    </row>
    <row r="21" spans="1:26">
      <c r="A21" t="s">
        <v>239</v>
      </c>
      <c r="B21" s="5" t="s">
        <v>213</v>
      </c>
      <c r="C21" t="s">
        <v>170</v>
      </c>
      <c r="D21">
        <v>0</v>
      </c>
      <c r="E21">
        <v>1</v>
      </c>
      <c r="F21">
        <v>-1</v>
      </c>
      <c r="G21">
        <v>1</v>
      </c>
      <c r="H21">
        <v>0</v>
      </c>
      <c r="I21">
        <v>1</v>
      </c>
      <c r="J21">
        <v>1</v>
      </c>
      <c r="K21" t="s">
        <v>170</v>
      </c>
      <c r="L21">
        <v>0</v>
      </c>
      <c r="M21">
        <v>1</v>
      </c>
      <c r="N21">
        <v>0</v>
      </c>
      <c r="O21">
        <v>0</v>
      </c>
      <c r="P21">
        <v>0</v>
      </c>
      <c r="Q21">
        <v>0</v>
      </c>
      <c r="R21">
        <v>0</v>
      </c>
      <c r="S21">
        <v>0</v>
      </c>
      <c r="T21">
        <v>-1</v>
      </c>
      <c r="U21">
        <v>0</v>
      </c>
      <c r="V21">
        <v>1</v>
      </c>
      <c r="X21"/>
      <c r="Y21" s="54"/>
      <c r="Z21" s="15"/>
    </row>
    <row r="22" spans="1:26">
      <c r="A22" t="s">
        <v>158</v>
      </c>
      <c r="B22" s="5" t="s">
        <v>159</v>
      </c>
      <c r="C22" t="s">
        <v>174</v>
      </c>
      <c r="D22">
        <v>1</v>
      </c>
      <c r="E22">
        <v>0</v>
      </c>
      <c r="F22">
        <v>-1</v>
      </c>
      <c r="G22">
        <v>1</v>
      </c>
      <c r="H22">
        <v>-1</v>
      </c>
      <c r="I22">
        <v>1</v>
      </c>
      <c r="J22">
        <v>0</v>
      </c>
      <c r="K22" t="s">
        <v>173</v>
      </c>
      <c r="L22">
        <v>0</v>
      </c>
      <c r="M22">
        <v>0</v>
      </c>
      <c r="N22">
        <v>0</v>
      </c>
      <c r="O22">
        <v>0</v>
      </c>
      <c r="P22">
        <v>0</v>
      </c>
      <c r="Q22">
        <v>0</v>
      </c>
      <c r="R22">
        <v>1</v>
      </c>
      <c r="S22">
        <v>1</v>
      </c>
      <c r="T22">
        <v>0</v>
      </c>
      <c r="U22">
        <v>0</v>
      </c>
      <c r="V22">
        <v>0</v>
      </c>
      <c r="X22"/>
      <c r="Y22" s="54"/>
      <c r="Z22" s="15"/>
    </row>
    <row r="23" spans="1:26">
      <c r="A23" t="s">
        <v>160</v>
      </c>
      <c r="B23" s="5" t="s">
        <v>161</v>
      </c>
      <c r="C23" t="s">
        <v>174</v>
      </c>
      <c r="D23">
        <v>-1</v>
      </c>
      <c r="E23">
        <v>0</v>
      </c>
      <c r="F23">
        <v>1</v>
      </c>
      <c r="G23">
        <v>-1</v>
      </c>
      <c r="H23">
        <v>1</v>
      </c>
      <c r="I23">
        <v>1</v>
      </c>
      <c r="J23">
        <v>0</v>
      </c>
      <c r="K23" t="s">
        <v>172</v>
      </c>
      <c r="L23">
        <v>1</v>
      </c>
      <c r="M23">
        <v>0</v>
      </c>
      <c r="N23">
        <v>0</v>
      </c>
      <c r="O23">
        <v>0</v>
      </c>
      <c r="P23">
        <v>0</v>
      </c>
      <c r="Q23">
        <v>0</v>
      </c>
      <c r="R23">
        <v>-1</v>
      </c>
      <c r="S23">
        <v>-1</v>
      </c>
      <c r="T23">
        <v>0</v>
      </c>
      <c r="U23">
        <v>0</v>
      </c>
      <c r="V23">
        <v>0</v>
      </c>
      <c r="X23"/>
      <c r="Y23" s="54"/>
      <c r="Z23" s="15"/>
    </row>
    <row r="24" spans="1:26">
      <c r="A24" t="s">
        <v>183</v>
      </c>
      <c r="B24" s="5" t="s">
        <v>179</v>
      </c>
      <c r="C24" t="s">
        <v>174</v>
      </c>
      <c r="D24">
        <v>1</v>
      </c>
      <c r="E24">
        <v>0</v>
      </c>
      <c r="F24">
        <v>-1</v>
      </c>
      <c r="G24">
        <v>0</v>
      </c>
      <c r="H24">
        <v>-1</v>
      </c>
      <c r="I24">
        <v>1</v>
      </c>
      <c r="J24">
        <v>0</v>
      </c>
      <c r="K24" t="s">
        <v>173</v>
      </c>
      <c r="L24">
        <v>0</v>
      </c>
      <c r="M24">
        <v>0</v>
      </c>
      <c r="N24">
        <v>0</v>
      </c>
      <c r="O24">
        <v>1</v>
      </c>
      <c r="P24">
        <v>-1</v>
      </c>
      <c r="Q24">
        <v>0</v>
      </c>
      <c r="R24">
        <v>1</v>
      </c>
      <c r="S24">
        <v>1</v>
      </c>
      <c r="T24">
        <v>1</v>
      </c>
      <c r="U24">
        <v>0</v>
      </c>
      <c r="V24">
        <v>0</v>
      </c>
      <c r="X24"/>
      <c r="Y24" s="54"/>
      <c r="Z24" s="15"/>
    </row>
    <row r="25" spans="1:26">
      <c r="A25" t="s">
        <v>184</v>
      </c>
      <c r="B25" s="5" t="s">
        <v>180</v>
      </c>
      <c r="C25" t="s">
        <v>174</v>
      </c>
      <c r="D25">
        <v>-1</v>
      </c>
      <c r="E25">
        <v>0</v>
      </c>
      <c r="F25">
        <v>-1</v>
      </c>
      <c r="G25">
        <v>0</v>
      </c>
      <c r="H25">
        <v>1</v>
      </c>
      <c r="I25">
        <v>1</v>
      </c>
      <c r="J25">
        <v>0</v>
      </c>
      <c r="K25" t="s">
        <v>172</v>
      </c>
      <c r="L25">
        <v>0</v>
      </c>
      <c r="M25">
        <v>0</v>
      </c>
      <c r="N25">
        <v>0</v>
      </c>
      <c r="O25">
        <v>1</v>
      </c>
      <c r="P25">
        <v>1</v>
      </c>
      <c r="Q25">
        <v>0</v>
      </c>
      <c r="R25">
        <v>-1</v>
      </c>
      <c r="S25">
        <v>-1</v>
      </c>
      <c r="T25">
        <v>-1</v>
      </c>
      <c r="U25">
        <v>0</v>
      </c>
      <c r="V25">
        <v>0</v>
      </c>
      <c r="X25"/>
      <c r="Y25" s="54"/>
      <c r="Z25" s="15"/>
    </row>
  </sheetData>
  <mergeCells count="1">
    <mergeCell ref="A1:C1"/>
  </mergeCells>
  <pageMargins left="0.7" right="0.7" top="0.75" bottom="0.75" header="0.3" footer="0.3"/>
  <pageSetup orientation="portrait" r:id="rId1"/>
  <legacy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
  <sheetViews>
    <sheetView workbookViewId="0">
      <selection activeCell="E2" sqref="E2"/>
    </sheetView>
  </sheetViews>
  <sheetFormatPr defaultRowHeight="15.75"/>
  <cols>
    <col min="1" max="1" width="10.3125" customWidth="1"/>
    <col min="5" max="5" width="10.1875" customWidth="1"/>
  </cols>
  <sheetData>
    <row r="1" spans="1:5">
      <c r="A1" t="s">
        <v>191</v>
      </c>
      <c r="B1" t="s">
        <v>214</v>
      </c>
      <c r="E1" t="s">
        <v>1003</v>
      </c>
    </row>
    <row r="2" spans="1:5">
      <c r="A2" t="s">
        <v>235</v>
      </c>
      <c r="B2">
        <v>0</v>
      </c>
      <c r="E2" s="1">
        <v>42004</v>
      </c>
    </row>
    <row r="3" spans="1:5">
      <c r="A3" t="s">
        <v>236</v>
      </c>
      <c r="B3">
        <v>0</v>
      </c>
    </row>
    <row r="4" spans="1:5">
      <c r="A4" t="s">
        <v>57</v>
      </c>
      <c r="B4">
        <v>0</v>
      </c>
    </row>
    <row r="5" spans="1:5">
      <c r="A5" t="s">
        <v>56</v>
      </c>
      <c r="B5">
        <v>1</v>
      </c>
    </row>
    <row r="6" spans="1:5">
      <c r="A6" t="s">
        <v>38</v>
      </c>
      <c r="B6">
        <v>0</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8 d 3 0 4 7 d - 3 7 3 4 - 4 7 5 d - a 3 c 3 - 1 e 6 6 d d 6 5 4 8 b 9 " > < C u s t o m C o n t e n t > < ! [ C D A T A [ < ? x m l   v e r s i o n = " 1 . 0 "   e n c o d i n g = " u t f - 1 6 " ? > < S e t t i n g s > < C a l c u l a t e d F i e l d s > < i t e m > < M e a s u r e N a m e > Q t y   H e l d < / M e a s u r e N a m e > < D i s p l a y N a m e > Q t y   H e l d < / D i s p l a y N a m e > < V i s i b l e > F a l s e < / V i s i b l e > < / i t e m > < i t e m > < M e a s u r e N a m e > N o B a s e C a s h   B a l a n c e < / M e a s u r e N a m e > < D i s p l a y N a m e > N o B a s e C a s h   B a l a n c e < / D i s p l a y N a m e > < V i s i b l e > F a l s e < / V i s i b l e > < / i t e m > < i t e m > < M e a s u r e N a m e > S y m b o l   P r i c e < / M e a s u r e N a m e > < D i s p l a y N a m e > S y m b o l   P r i c e < / D i s p l a y N a m e > < V i s i b l e > F a l s e < / V i s i b l e > < / i t e m > < i t e m > < M e a s u r e N a m e > E q u i t y   V a l u e < / M e a s u r e N a m e > < D i s p l a y N a m e > E q u i t y   V a l u e < / D i s p l a y N a m e > < V i s i b l e > F a l s e < / V i s i b l e > < / i t e m > < i t e m > < M e a s u r e N a m e > f x r a t e _ t o B a s e C u r r e n c y < / M e a s u r e N a m e > < D i s p l a y N a m e > f x r a t e _ t o B a s e C u r r e n c y < / D i s p l a y N a m e > < V i s i b l e > F a l s e < / V i s i b l e > < / i t e m > < / C a l c u l a t e d F i e l d s > < S A H o s t H a s h > 0 < / S A H o s t H a s h > < G e m i n i F i e l d L i s t V i s i b l e > T r u e < / G e m i n i F i e l d L i s t V i s i b l e > < / S e t t i n g s > ] ] > < / C u s t o m C o n t e n t > < / G e m i n i > 
</file>

<file path=customXml/item10.xml>��< ? x m l   v e r s i o n = " 1 . 0 "   e n c o d i n g = " U T F - 1 6 " ? > < G e m i n i   x m l n s = " h t t p : / / g e m i n i / p i v o t c u s t o m i z a t i o n / T a b l e X M L _ f x r a t e s _ 6 7 d f 4 2 9 1 - d 0 0 c - 4 d 9 5 - 9 8 5 2 - b 4 e 1 2 0 2 e 8 4 2 7 " > < C u s t o m C o n t e n t > < ! [ C D A T A [ < T a b l e W i d g e t G r i d S e r i a l i z a t i o n   x m l n s : x s d = " h t t p : / / w w w . w 3 . o r g / 2 0 0 1 / X M L S c h e m a "   x m l n s : x s i = " h t t p : / / w w w . w 3 . o r g / 2 0 0 1 / X M L S c h e m a - i n s t a n c e " > < C o l u m n S u g g e s t e d T y p e   / > < C o l u m n F o r m a t   / > < C o l u m n A c c u r a c y   / > < C o l u m n C u r r e n c y S y m b o l   / > < C o l u m n P o s i t i v e P a t t e r n   / > < C o l u m n N e g a t i v e P a t t e r n   / > < C o l u m n W i d t h s > < i t e m > < k e y > < s t r i n g > R a t e < / s t r i n g > < / k e y > < v a l u e > < i n t > 1 9 6 < / i n t > < / v a l u e > < / i t e m > < i t e m > < k e y > < s t r i n g > C o d e < / s t r i n g > < / k e y > < v a l u e > < i n t > 1 2 6 < / i n t > < / v a l u e > < / i t e m > < i t e m > < k e y > < s t r i n g > D a t e < / s t r i n g > < / k e y > < v a l u e > < i n t > 2 9 3 < / i n t > < / v a l u e > < / i t e m > < / C o l u m n W i d t h s > < C o l u m n D i s p l a y I n d e x > < i t e m > < k e y > < s t r i n g > R a t e < / s t r i n g > < / k e y > < v a l u e > < i n t > 2 < / i n t > < / v a l u e > < / i t e m > < i t e m > < k e y > < s t r i n g > C o d e < / s t r i n g > < / k e y > < v a l u e > < i n t > 1 < / i n t > < / v a l u e > < / i t e m > < i t e m > < k e y > < s t r i n g > D a t e < / s t r i n g > < / k e y > < v a l u e > < i n t > 0 < / i n t > < / v a l u e > < / i t e m > < / C o l u m n D i s p l a y I n d e x > < C o l u m n F r o z e n   / > < C o l u m n C h e c k e d   / > < C o l u m n F i l t e r > < i t e m > < k e y > < s t r i n g > C o d e < / s t r i n g > < / k e y > < v a l u e > < F i l t e r E x p r e s s i o n   x s i : n i l = " t r u e "   / > < / v a l u e > < / i t e m > < / C o l u m n F i l t e r > < S e l e c t i o n F i l t e r > < i t e m > < k e y > < s t r i n g > C o d e < / s t r i n g > < / k e y > < v a l u e > < S e l e c t i o n F i l t e r > < S e l e c t i o n T y p e > S e l e c t < / S e l e c t i o n T y p e > < I t e m s > < a n y T y p e   x s i : t y p e = " x s d : s t r i n g " > C A D < / a n y T y p e > < / I t e m s > < / S e l e c t i o n F i l t e r > < / v a l u e > < / i t e m > < / S e l e c t i o n F i l t e r > < F i l t e r P a r a m e t e r s > < i t e m > < k e y > < s t r i n g > C o d e < / s t r i n g > < / k e y > < v a l u e > < C o m m a n d P a r a m e t e r s   / > < / v a l u e > < / i t e m > < / F i l t e r P a r a m e t e r s > < S o r t B y C o l u m n > D a t e < / S o r t B y C o l u m n > < I s S o r t D e s c e n d i n g > t r u e < / I s S o r t D e s c e n d i n g > < / T a b l e W i d g e t G r i d S e r i a l i z a t i o n > ] ] > < / C u s t o m C o n t e n t > < / G e m i n i > 
</file>

<file path=customXml/item11.xml>��< ? x m l   v e r s i o n = " 1 . 0 "   e n c o d i n g = " U T F - 1 6 " ? > < G e m i n i   x m l n s = " h t t p : / / g e m i n i / p i v o t c u s t o m i z a t i o n / T a b l e X M L _ S e c t o r s " > < C u s t o m C o n t e n t > < ! [ C D A T A [ < T a b l e W i d g e t G r i d S e r i a l i z a t i o n   x m l n s : x s d = " h t t p : / / w w w . w 3 . o r g / 2 0 0 1 / X M L S c h e m a "   x m l n s : x s i = " h t t p : / / w w w . w 3 . o r g / 2 0 0 1 / X M L S c h e m a - i n s t a n c e " > < C o l u m n S u g g e s t e d T y p e   / > < C o l u m n F o r m a t   / > < C o l u m n A c c u r a c y   / > < C o l u m n C u r r e n c y S y m b o l   / > < C o l u m n P o s i t i v e P a t t e r n   / > < C o l u m n N e g a t i v e P a t t e r n   / > < C o l u m n W i d t h s > < i t e m > < k e y > < s t r i n g > S e c t o r < / s t r i n g > < / k e y > < v a l u e > < i n t > 1 4 1 < / i n t > < / v a l u e > < / i t e m > < i t e m > < k e y > < s t r i n g > A s s e s t C l a s s < / s t r i n g > < / k e y > < v a l u e > < i n t > 2 0 2 < / i n t > < / v a l u e > < / i t e m > < / C o l u m n W i d t h s > < C o l u m n D i s p l a y I n d e x > < i t e m > < k e y > < s t r i n g > S e c t o r < / s t r i n g > < / k e y > < v a l u e > < i n t > 0 < / i n t > < / v a l u e > < / i t e m > < i t e m > < k e y > < s t r i n g > A s s e s t C l a s s 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3 3 d b d c 1 4 - f 4 1 d - 4 b a 6 - 9 a 2 a - 7 2 a 8 f 6 a 0 f e 4 4 " > < C u s t o m C o n t e n t > < ! [ C D A T A [ < ? x m l   v e r s i o n = " 1 . 0 "   e n c o d i n g = " u t f - 1 6 " ? > < S e t t i n g s > < C a l c u l a t e d F i e l d s > < i t e m > < M e a s u r e N a m e > Q t y   H e l d < / M e a s u r e N a m e > < D i s p l a y N a m e > Q t y   H e l d < / D i s p l a y N a m e > < V i s i b l e > F a l s e < / V i s i b l e > < / i t e m > < i t e m > < M e a s u r e N a m e > N o B a s e C a s h   B a l a n c e < / M e a s u r e N a m e > < D i s p l a y N a m e > N o B a s e C a s h   B a l a n c e < / D i s p l a y N a m e > < V i s i b l e > F a l s e < / V i s i b l e > < / i t e m > < i t e m > < M e a s u r e N a m e > S y m b o l   P r i c e < / M e a s u r e N a m e > < D i s p l a y N a m e > S y m b o l   P r i c e < / D i s p l a y N a m e > < V i s i b l e > F a l s e < / V i s i b l e > < / i t e m > < i t e m > < M e a s u r e N a m e > E q u i t y   V a l u e < / M e a s u r e N a m e > < D i s p l a y N a m e > E q u i t y   V a l u e < / D i s p l a y N a m e > < V i s i b l e > F a l s e < / V i s i b l e > < / i t e m > < i t e m > < M e a s u r e N a m e > f x r a t e _ t o B a s e C u r r e n c y < / M e a s u r e N a m e > < D i s p l a y N a m e > f x r a t e _ t o B a s e C u r r e n c y < / D i s p l a y N a m e > < V i s i b l e > F a l s e < / V i s i b l e > < / i t e m > < / C a l c u l a t e d F i e l d s > < S A H o s t H a s h > 0 < / S A H o s t H a s h > < G e m i n i F i e l d L i s t V i s i b l e > T r u e < / G e m i n i F i e l d L i s t V i s i b l e > < / S e t t i n g s > ] ] > < / C u s t o m C o n t e n t > < / G e m i n i > 
</file>

<file path=customXml/item13.xml>��< ? x m l   v e r s i o n = " 1 . 0 "   e n c o d i n g = " U T F - 1 6 " ? > < G e m i n i   x m l n s = " h t t p : / / g e m i n i / p i v o t c u s t o m i z a t i o n / T a b l e X M L _ R e p o r t " > < C u s t o m C o n t e n t > < ! [ C D A T A [ < T a b l e W i d g e t G r i d S e r i a l i z a t i o n   x m l n s : x s d = " h t t p : / / w w w . w 3 . o r g / 2 0 0 1 / X M L S c h e m a "   x m l n s : x s i = " h t t p : / / w w w . w 3 . o r g / 2 0 0 1 / X M L S c h e m a - i n s t a n c e " > < C o l u m n S u g g e s t e d T y p e   / > < C o l u m n F o r m a t   / > < C o l u m n A c c u r a c y   / > < C o l u m n C u r r e n c y S y m b o l   / > < C o l u m n P o s i t i v e P a t t e r n   / > < C o l u m n N e g a t i v e P a t t e r n   / > < C o l u m n W i d t h s > < i t e m > < k e y > < s t r i n g > R e p o r t < / s t r i n g > < / k e y > < v a l u e > < i n t > 5 0 6 < / i n t > < / v a l u e > < / i t e m > < / C o l u m n W i d t h s > < C o l u m n D i s p l a y I n d e x > < i t e m > < k e y > < s t r i n g > R e p o r t < / 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a t e s _ 3 0 b a 0 0 6 2 - 9 7 8 c - 4 6 e 1 - a 1 1 3 - a e 7 b f 7 e 3 4 c 0 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 1 6 4 < / i n t > < / v a l u e > < / i t e m > < i t e m > < k e y > < s t r i n g > Y e a r < / s t r i n g > < / k e y > < v a l u e > < i n t > 1 1 5 < / i n t > < / v a l u e > < / i t e m > < i t e m > < k e y > < s t r i n g > M o n t h < / s t r i n g > < / k e y > < v a l u e > < i n t > 1 4 7 < / i n t > < / v a l u e > < / i t e m > < i t e m > < k e y > < s t r i n g > Q u a r t e r < / s t r i n g > < / k e y > < v a l u e > < i n t > 1 4 1 < / i n t > < / v a l u e > < / i t e m > < i t e m > < k e y > < s t r i n g > Q u a r t e r   I n   Y e a r < / s t r i n g > < / k e y > < v a l u e > < i n t > 2 4 8 < / i n t > < / v a l u e > < / i t e m > < i t e m > < k e y > < s t r i n g > M o n t h   I n   Y e a r < / s t r i n g > < / k e y > < v a l u e > < i n t > 2 3 7 < / i n t > < / v a l u e > < / i t e m > < / C o l u m n W i d t h s > < C o l u m n D i s p l a y I n d e x > < i t e m > < k e y > < s t r i n g > D a t e < / s t r i n g > < / k e y > < v a l u e > < i n t > 0 < / i n t > < / v a l u e > < / i t e m > < i t e m > < k e y > < s t r i n g > Y e a r < / s t r i n g > < / k e y > < v a l u e > < i n t > 1 < / i n t > < / v a l u e > < / i t e m > < i t e m > < k e y > < s t r i n g > M o n t h < / s t r i n g > < / k e y > < v a l u e > < i n t > 3 < / i n t > < / v a l u e > < / i t e m > < i t e m > < k e y > < s t r i n g > Q u a r t e r < / s t r i n g > < / k e y > < v a l u e > < i n t > 2 < / i n t > < / v a l u e > < / i t e m > < i t e m > < k e y > < s t r i n g > Q u a r t e r   I n   Y e a r < / s t r i n g > < / k e y > < v a l u e > < i n t > 4 < / i n t > < / v a l u e > < / i t e m > < i t e m > < k e y > < s t r i n g > M o n t h   I n   Y e a r < / s t r i n g > < / k e y > < v a l u e > < i n t > 5 < / i n t > < / v a l u e > < / i t e m > < / C o l u m n D i s p l a y I n d e x > < C o l u m n F r o z e n   / > < C o l u m n C h e c k e d   / > < C o l u m n F i l t e r   / > < S e l e c t i o n F i l t e r   / > < F i l t e r P a r a m e t e r s   / > < S o r t B y C o l u m n > D a t e < / S o r t B y C o l u m n > < I s S o r t D e s c e n d i n g > t r u e < / I s S o r t D e s c e n d i n g > < / T a b l e W i d g e t G r i d S e r i a l i z a t i o n > ] ] > < / C u s t o m C o n t e n t > < / G e m i n i > 
</file>

<file path=customXml/item15.xml>��< ? x m l   v e r s i o n = " 1 . 0 "   e n c o d i n g = " U T F - 1 6 " ? > < G e m i n i   x m l n s = " h t t p : / / g e m i n i / p i v o t c u s t o m i z a t i o n / T a b l e X M L _ S y m b o l s " > < C u s t o m C o n t e n t > < ! [ C D A T A [ < T a b l e W i d g e t G r i d S e r i a l i z a t i o n   x m l n s : x s d = " h t t p : / / w w w . w 3 . o r g / 2 0 0 1 / X M L S c h e m a "   x m l n s : x s i = " h t t p : / / w w w . w 3 . o r g / 2 0 0 1 / X M L S c h e m a - i n s t a n c e " > < C o l u m n S u g g e s t e d T y p e   / > < C o l u m n F o r m a t   / > < C o l u m n A c c u r a c y   / > < C o l u m n C u r r e n c y S y m b o l   / > < C o l u m n P o s i t i v e P a t t e r n   / > < C o l u m n N e g a t i v e P a t t e r n   / > < C o l u m n W i d t h s > < i t e m > < k e y > < s t r i n g > S y m b o l < / s t r i n g > < / k e y > < v a l u e > < i n t > 1 5 4 < / i n t > < / v a l u e > < / i t e m > < i t e m > < k e y > < s t r i n g > D e s c r i p t i o n < / s t r i n g > < / k e y > < v a l u e > < i n t > 2 0 3 < / i n t > < / v a l u e > < / i t e m > < i t e m > < k e y > < s t r i n g > C u r r e n c y < / s t r i n g > < / k e y > < v a l u e > < i n t > 1 7 3 < / i n t > < / v a l u e > < / i t e m > < i t e m > < k e y > < s t r i n g > S e c u T y p e < / s t r i n g > < / k e y > < v a l u e > < i n t > 1 8 0 < / i n t > < / v a l u e > < / i t e m > < i t e m > < k e y > < s t r i n g > S e c t o r < / s t r i n g > < / k e y > < v a l u e > < i n t > 1 4 1 < / i n t > < / v a l u e > < / i t e m > < i t e m > < k e y > < s t r i n g > I n d u s t r y < / s t r i n g > < / k e y > < v a l u e > < i n t > 1 6 5 < / i n t > < / v a l u e > < / i t e m > < i t e m > < k e y > < s t r i n g > E x c h a n g e < / s t r i n g > < / k e y > < v a l u e > < i n t > 1 7 8 < / i n t > < / v a l u e > < / i t e m > < i t e m > < k e y > < s t r i n g > R e g i o n < / s t r i n g > < / k e y > < v a l u e > < i n t > 1 4 6 < / i n t > < / v a l u e > < / i t e m > < i t e m > < k e y > < s t r i n g > C o u n t r y < / s t r i n g > < / k e y > < v a l u e > < i n t > 1 6 1 < / i n t > < / v a l u e > < / i t e m > < i t e m > < k e y > < s t r i n g > S y m b o l A l i a n s < / s t r i n g > < / k e y > < v a l u e > < i n t > 2 2 7 < / i n t > < / v a l u e > < / i t e m > < i t e m > < k e y > < s t r i n g > M u l t i p i e r < / s t r i n g > < / k e y > < v a l u e > < i n t > 1 7 7 < / i n t > < / v a l u e > < / i t e m > < i t e m > < k e y > < s t r i n g > M a t u r i t y < / s t r i n g > < / k e y > < v a l u e > < i n t > 1 7 0 < / i n t > < / v a l u e > < / i t e m > < i t e m > < k e y > < s t r i n g > E x p i r y < / s t r i n g > < / k e y > < v a l u e > < i n t > 1 3 8 < / i n t > < / v a l u e > < / i t e m > < i t e m > < k e y > < s t r i n g > D e l i v e r y M o n t h < / s t r i n g > < / k e y > < v a l u e > < i n t > 2 4 7 < / i n t > < / v a l u e > < / i t e m > < i t e m > < k e y > < s t r i n g > O p t T y p e < / s t r i n g > < / k e y > < v a l u e > < i n t > 1 6 8 < / i n t > < / v a l u e > < / i t e m > < i t e m > < k e y > < s t r i n g > S t r i k e < / s t r i n g > < / k e y > < v a l u e > < i n t > 1 3 2 < / i n t > < / v a l u e > < / i t e m > < i t e m > < k e y > < s t r i n g > P r i c e P r o v i d e r < / s t r i n g > < / k e y > < v a l u e > < i n t > 2 2 8 < / i n t > < / v a l u e > < / i t e m > < i t e m > < k e y > < s t r i n g > P P S y m b o l < / s t r i n g > < / k e y > < v a l u e > < i n t > 1 8 6 < / i n t > < / v a l u e > < / i t e m > < i t e m > < k e y > < s t r i n g > S y m b o l N a m e < / s t r i n g > < / k e y > < v a l u e > < i n t > 2 2 6 < / i n t > < / v a l u e > < / i t e m > < / C o l u m n W i d t h s > < C o l u m n D i s p l a y I n d e x > < i t e m > < k e y > < s t r i n g > S y m b o l < / s t r i n g > < / k e y > < v a l u e > < i n t > 0 < / i n t > < / v a l u e > < / i t e m > < i t e m > < k e y > < s t r i n g > D e s c r i p t i o n < / s t r i n g > < / k e y > < v a l u e > < i n t > 1 < / i n t > < / v a l u e > < / i t e m > < i t e m > < k e y > < s t r i n g > C u r r e n c y < / s t r i n g > < / k e y > < v a l u e > < i n t > 2 < / i n t > < / v a l u e > < / i t e m > < i t e m > < k e y > < s t r i n g > S e c u T y p e < / s t r i n g > < / k e y > < v a l u e > < i n t > 3 < / i n t > < / v a l u e > < / i t e m > < i t e m > < k e y > < s t r i n g > S e c t o r < / s t r i n g > < / k e y > < v a l u e > < i n t > 4 < / i n t > < / v a l u e > < / i t e m > < i t e m > < k e y > < s t r i n g > I n d u s t r y < / s t r i n g > < / k e y > < v a l u e > < i n t > 5 < / i n t > < / v a l u e > < / i t e m > < i t e m > < k e y > < s t r i n g > E x c h a n g e < / s t r i n g > < / k e y > < v a l u e > < i n t > 6 < / i n t > < / v a l u e > < / i t e m > < i t e m > < k e y > < s t r i n g > R e g i o n < / s t r i n g > < / k e y > < v a l u e > < i n t > 7 < / i n t > < / v a l u e > < / i t e m > < i t e m > < k e y > < s t r i n g > C o u n t r y < / s t r i n g > < / k e y > < v a l u e > < i n t > 8 < / i n t > < / v a l u e > < / i t e m > < i t e m > < k e y > < s t r i n g > S y m b o l A l i a n s < / s t r i n g > < / k e y > < v a l u e > < i n t > 9 < / i n t > < / v a l u e > < / i t e m > < i t e m > < k e y > < s t r i n g > M u l t i p i e r < / s t r i n g > < / k e y > < v a l u e > < i n t > 1 0 < / i n t > < / v a l u e > < / i t e m > < i t e m > < k e y > < s t r i n g > M a t u r i t y < / s t r i n g > < / k e y > < v a l u e > < i n t > 1 1 < / i n t > < / v a l u e > < / i t e m > < i t e m > < k e y > < s t r i n g > E x p i r y < / s t r i n g > < / k e y > < v a l u e > < i n t > 1 2 < / i n t > < / v a l u e > < / i t e m > < i t e m > < k e y > < s t r i n g > D e l i v e r y M o n t h < / s t r i n g > < / k e y > < v a l u e > < i n t > 1 3 < / i n t > < / v a l u e > < / i t e m > < i t e m > < k e y > < s t r i n g > O p t T y p e < / s t r i n g > < / k e y > < v a l u e > < i n t > 1 4 < / i n t > < / v a l u e > < / i t e m > < i t e m > < k e y > < s t r i n g > S t r i k e < / s t r i n g > < / k e y > < v a l u e > < i n t > 1 5 < / i n t > < / v a l u e > < / i t e m > < i t e m > < k e y > < s t r i n g > P r i c e P r o v i d e r < / s t r i n g > < / k e y > < v a l u e > < i n t > 1 6 < / i n t > < / v a l u e > < / i t e m > < i t e m > < k e y > < s t r i n g > P P S y m b o l < / s t r i n g > < / k e y > < v a l u e > < i n t > 1 7 < / i n t > < / v a l u e > < / i t e m > < i t e m > < k e y > < s t r i n g > S y m b o l N a m e < / 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d f 7 5 d b 1 - 4 e e 2 - 4 c 0 e - 9 1 b a - b 1 2 5 9 7 1 8 6 9 5 f " > < C u s t o m C o n t e n t > < ! [ C D A T A [ < ? x m l   v e r s i o n = " 1 . 0 "   e n c o d i n g = " u t f - 1 6 " ? > < S e t t i n g s > < C a l c u l a t e d F i e l d s > < i t e m > < M e a s u r e N a m e > S y m b o l   P r i c e   W h i c h   H e l d < / M e a s u r e N a m e > < D i s p l a y N a m e > S y m b o l   P r i c e   W h i c h   H e l d < / D i s p l a y N a m e > < V i s i b l e > F a l s e < / V i s i b l e > < / i t e m > < i t e m > < M e a s u r e N a m e > E q u i t y   V a l u e   o n   B a s e C u r r e n c y < / M e a s u r e N a m e > < D i s p l a y N a m e > E q u i t y   V a l u e   o n   B a s e C u r r e n c y < / D i s p l a y N a m e > < V i s i b l e > F a l s e < / V i s i b l e > < / i t e m > < i t e m > < M e a s u r e N a m e > M a r g i n C a s h   B a l a n c e < / M e a s u r e N a m e > < D i s p l a y N a m e > M a r g i n C a s h   B a l a n c e < / D i s p l a y N a m e > < V i s i b l e > F a l s e < / V i s i b l e > < / i t e m > < i t e m > < M e a s u r e N a m e > E q u i t y   S t a r t   V a l u e < / M e a s u r e N a m e > < D i s p l a y N a m e > E q u i t y   S t a r t   V a l u e < / D i s p l a y N a m e > < V i s i b l e > F a l s e < / V i s i b l e > < / i t e m > < i t e m > < M e a s u r e N a m e > f x r a t e _ u n i v < / M e a s u r e N a m e > < D i s p l a y N a m e > f x r a t e _ u n i v < / D i s p l a y N a m e > < V i s i b l e > F a l s e < / V i s i b l e > < / i t e m > < i t e m > < M e a s u r e N a m e > S t a r t   V a l u e < / M e a s u r e N a m e > < D i s p l a y N a m e > S t a r t   V a l u e < / D i s p l a y N a m e > < V i s i b l e > F a l s e < / V i s i b l e > < / i t e m > < i t e m > < M e a s u r e N a m e > Q t y   H e l d < / M e a s u r e N a m e > < D i s p l a y N a m e > Q t y   H e l d < / D i s p l a y N a m e > < V i s i b l e > F a l s e < / V i s i b l e > < / i t e m > < i t e m > < M e a s u r e N a m e > f x r a t e _ t o B a s e C u r r e n c y < / M e a s u r e N a m e > < D i s p l a y N a m e > f x r a t e _ t o B a s e C u r r e n c y < / D i s p l a y N a m e > < V i s i b l e > F a l s e < / V i s i b l e > < / i t e m > < i t e m > < M e a s u r e N a m e > E q u i t y   V a l u e ( O r i g ) < / M e a s u r e N a m e > < D i s p l a y N a m e > E q u i t y   V a l u e ( O r i g ) < / D i s p l a y N a m e > < V i s i b l e > F a l s e < / V i s i b l e > < / i t e m > < i t e m > < M e a s u r e N a m e > E q u i t y   V a l u e < / M e a s u r e N a m e > < D i s p l a y N a m e > E q u i t y   V a l u e < / D i s p l a y N a m e > < V i s i b l e > F a l s e < / V i s i b l e > < / i t e m > < i t e m > < M e a s u r e N a m e > f x r a t e _ t o R p t C u r r e n c y < / M e a s u r e N a m e > < D i s p l a y N a m e > f x r a t e _ t o R p t C u r r e n c y < / D i s p l a y N a m e > < V i s i b l e > F a l s e < / V i s i b l e > < / i t e m > < i t e m > < M e a s u r e N a m e > C a s h   B a l a n c e < / M e a s u r e N a m e > < D i s p l a y N a m e > C a s h   B a l a n c e < / D i s p l a y N a m e > < V i s i b l e > F a l s e < / V i s i b l e > < / i t e m > < i t e m > < M e a s u r e N a m e > T o t a l   V a l u e < / M e a s u r e N a m e > < D i s p l a y N a m e > T o t a l   V a l u e < / D i s p l a y N a m e > < V i s i b l e > F a l s e < / V i s i b l e > < / i t e m > < i t e m > < M e a s u r e N a m e > h a s o n e s y m b o l < / M e a s u r e N a m e > < D i s p l a y N a m e > h a s o n e s y m b o l < / D i s p l a y N a m e > < V i s i b l e > F a l s e < / V i s i b l e > < / i t e m > < i t e m > < M e a s u r e N a m e > h a s o n e c u r r e n c y < / M e a s u r e N a m e > < D i s p l a y N a m e > h a s o n e c u r r e n c y < / D i s p l a y N a m e > < V i s i b l e > F a l s e < / V i s i b l e > < / i t e m > < i t e m > < M e a s u r e N a m e > R p t C u r r e n c y < / M e a s u r e N a m e > < D i s p l a y N a m e > R p t C u r r e n c y < / D i s p l a y N a m e > < V i s i b l e > F a l s e < / V i s i b l e > < / i t e m > < i t e m > < M e a s u r e N a m e > C o s t B a s i s ( O r i g ) < / M e a s u r e N a m e > < D i s p l a y N a m e > C o s t B a s i s ( O r i g ) < / D i s p l a y N a m e > < V i s i b l e > F a l s e < / V i s i b l e > < / i t e m > < i t e m > < M e a s u r e N a m e > C o s t B a s i s   o f   B a s e C u r r e n c y < / M e a s u r e N a m e > < D i s p l a y N a m e > C o s t B a s i s   o f   B a s e C u r r e n c y < / D i s p l a y N a m e > < V i s i b l e > F a l s e < / V i s i b l e > < / i t e m > < i t e m > < M e a s u r e N a m e > C o s t B a s i s ( m e a n ) < / M e a s u r e N a m e > < D i s p l a y N a m e > C o s t B a s i s ( m e a n ) < / D i s p l a y N a m e > < V i s i b l e > F a l s e < / V i s i b l e > < / i t e m > < i t e m > < M e a s u r e N a m e > C o s t   B a s i s < / M e a s u r e N a m e > < D i s p l a y N a m e > C o s t   B a s i s < / D i s p l a y N a m e > < V i s i b l e > F a l s e < / V i s i b l e > < / i t e m > < i t e m > < M e a s u r e N a m e > o n e s y m b o l c u r r e n c y < / M e a s u r e N a m e > < D i s p l a y N a m e > o n e s y m b o l c u r r e n c y < / D i s p l a y N a m e > < V i s i b l e > F a l s e < / V i s i b l e > < / i t e m > < i t e m > < M e a s u r e N a m e > A v g   C o s t   P r i c e < / M e a s u r e N a m e > < D i s p l a y N a m e > A v g   C o s t   P r i c e < / D i s p l a y N a m e > < V i s i b l e > F a l s e < / V i s i b l e > < / i t e m > < i t e m > < M e a s u r e N a m e > D e p o s i t s ( o r i g ) < / M e a s u r e N a m e > < D i s p l a y N a m e > D e p o s i t s ( o r i g ) < / D i s p l a y N a m e > < V i s i b l e > F a l s e < / V i s i b l e > < / i t e m > < i t e m > < M e a s u r e N a m e > R T   D a y s   M A X < / M e a s u r e N a m e > < D i s p l a y N a m e > R T   D a y s   M A X < / D i s p l a y N a m e > < V i s i b l e > F a l s e < / V i s i b l e > < / i t e m > < i t e m > < M e a s u r e N a m e > R T   D a y s   L A S T D A T E < / M e a s u r e N a m e > < D i s p l a y N a m e > R T   D a y s   L A S T D A T E < / D i s p l a y N a m e > < V i s i b l e > F a l s e < / V i s i b l e > < / i t e m > < / C a l c u l a t e d F i e l d s > < S A H o s t H a s h > 0 < / S A H o s t H a s h > < G e m i n i F i e l d L i s t V i s i b l e > T r u e < / G e m i n i F i e l d L i s t V i s i b l e > < / S e t t i n g s > ] ] > < / C u s t o m C o n t e n t > < / G e m i n i > 
</file>

<file path=customXml/item17.xml>��< ? x m l   v e r s i o n = " 1 . 0 "   e n c o d i n g = " U T F - 1 6 " ? > < G e m i n i   x m l n s = " h t t p : / / g e m i n i / p i v o t c u s t o m i z a t i o n / a f f e d b b 4 - 7 1 7 0 - 4 d 0 7 - b 3 5 a - 0 7 8 2 8 6 7 7 d 7 7 2 " > < C u s t o m C o n t e n t > < ! [ C D A T A [ < ? x m l   v e r s i o n = " 1 . 0 "   e n c o d i n g = " u t f - 1 6 " ? > < S e t t i n g s > < C a l c u l a t e d F i e l d s > < i t e m > < M e a s u r e N a m e > Q t y   H e l d < / M e a s u r e N a m e > < D i s p l a y N a m e > Q t y   H e l d < / D i s p l a y N a m e > < V i s i b l e > F a l s e < / V i s i b l e > < / i t e m > < i t e m > < M e a s u r e N a m e > E q u i t y   V a l u e < / M e a s u r e N a m e > < D i s p l a y N a m e > E q u i t y   V a l u e < / D i s p l a y N a m e > < V i s i b l e > F a l s e < / V i s i b l e > < / i t e m > < i t e m > < M e a s u r e N a m e > f x r a t e _ t o B a s e C u r r e n c y < / M e a s u r e N a m e > < D i s p l a y N a m e > f x r a t e _ t o B a s e C u r r e n c y < / D i s p l a y N a m e > < V i s i b l e > F a l s e < / V i s i b l e > < / i t e m > < i t e m > < M e a s u r e N a m e > S y m b o l   P r i c e   W h i c h   H e l d < / M e a s u r e N a m e > < D i s p l a y N a m e > S y m b o l   P r i c e   W h i c h   H e l d < / D i s p l a y N a m e > < V i s i b l e > F a l s e < / V i s i b l e > < / i t e m > < i t e m > < M e a s u r e N a m e > E V   O f   B a s e C u r r e n c y < / M e a s u r e N a m e > < D i s p l a y N a m e > E V   O f   B a s e C u r r e n c y < / D i s p l a y N a m e > < V i s i b l e > F a l s e < / V i s i b l e > < / i t e m > < i t e m > < M e a s u r e N a m e > O r i g C a s h   B a l a n c e < / M e a s u r e N a m e > < D i s p l a y N a m e > O r i g C a s h   B a l a n c e < / D i s p l a y N a m e > < V i s i b l e > F a l s e < / V i s i b l e > < / i t e m > < / C a l c u l a t e d F i e l d s > < S A H o s t H a s h > 0 < / S A H o s t H a s h > < G e m i n i F i e l d L i s t V i s i b l e > T r u e < / G e m i n i F i e l d L i s t V i s i b l e > < / S e t t i n g s > ] ] > < / C u s t o m C o n t e n t > < / G e m i n i > 
</file>

<file path=customXml/item18.xml>��< ? x m l   v e r s i o n = " 1 . 0 "   e n c o d i n g = " U T F - 1 6 " ? > < G e m i n i   x m l n s = " h t t p : / / g e m i n i / p i v o t c u s t o m i z a t i o n / 1 e 1 4 e 1 3 d - 7 8 3 c - 4 c 3 5 - 8 b 9 e - 6 a 8 c a b d 5 a 0 c e " > < C u s t o m C o n t e n t > < ! [ C D A T A [ < ? x m l   v e r s i o n = " 1 . 0 "   e n c o d i n g = " u t f - 1 6 " ? > < S e t t i n g s > < C a l c u l a t e d F i e l d s > < i t e m > < M e a s u r e N a m e > S y m b o l   P r i c e   W h i c h   H e l d < / M e a s u r e N a m e > < D i s p l a y N a m e > S y m b o l   P r i c e   W h i c h   H e l d < / D i s p l a y N a m e > < V i s i b l e > F a l s e < / V i s i b l e > < / i t e m > < i t e m > < M e a s u r e N a m e > E q u i t y   V a l u e < / M e a s u r e N a m e > < D i s p l a y N a m e > E q u i t y   V a l u e < / D i s p l a y N a m e > < V i s i b l e > F a l s e < / V i s i b l e > < / i t e m > < i t e m > < M e a s u r e N a m e > f x r a t e _ t o B a s e C u r r e n c y < / M e a s u r e N a m e > < D i s p l a y N a m e > f x r a t e _ t o B a s e C u r r e n c y < / D i s p l a y N a m e > < V i s i b l e > F a l s e < / V i s i b l e > < / i t e m > < i t e m > < M e a s u r e N a m e > E V   O f   B a s e C u r r e n c y < / M e a s u r e N a m e > < D i s p l a y N a m e > E V   O f   B a s e C u r r e n c y < / D i s p l a y N a m e > < V i s i b l e > F a l s e < / V i s i b l e > < / i t e m > < i t e m > < M e a s u r e N a m e > Q t y   H e l d < / M e a s u r e N a m e > < D i s p l a y N a m e > Q t y   H e l d < / D i s p l a y N a m e > < V i s i b l e > F a l s e < / V i s i b l e > < / i t e m > < i t e m > < M e a s u r e N a m e > O r i g C a s h   B a l a n c e < / M e a s u r e N a m e > < D i s p l a y N a m e > O r i g C a s h   B a l a n c e < / D i s p l a y N a m e > < V i s i b l e > F a l s e < / V i s i b l e > < / i t e m > < i t e m > < M e a s u r e N a m e > C a s h B a l a n c e   O n   B a s e C u r r e n c y < / M e a s u r e N a m e > < D i s p l a y N a m e > C a s h B a l a n c e   O n   B a s e C u r r e n c y < / D i s p l a y N a m e > < V i s i b l e > F a l s e < / V i s i b l e > < / i t e m > < i t e m > < M e a s u r e N a m e > T o t a l   V a l u e   o n   B a s e C u r r e n c y < / M e a s u r e N a m e > < D i s p l a y N a m e > T o t a l   V a l u e   o n   B a s e C u r r e n c y < / D i s p l a y N a m e > < V i s i b l e > F a l s e < / V i s i b l e > < / i t e m > < i t e m > < M e a s u r e N a m e > C B   N e w < / M e a s u r e N a m e > < D i s p l a y N a m e > C B   N e w < / D i s p l a y N a m e > < V i s i b l e > F a l s e < / V i s i b l e > < / i t e m > < / C a l c u l a t e d F i e l d s > < S A H o s t H a s h > 0 < / S A H o s t H a s h > < G e m i n i F i e l d L i s t V i s i b l e > T r u e < / G e m i n i F i e l d L i s t V i s i b l e > < / S e t t i n g s > ] ] > < / C u s t o m C o n t e n t > < / G e m i n i > 
</file>

<file path=customXml/item19.xml>��< ? x m l   v e r s i o n = " 1 . 0 "   e n c o d i n g = " U T F - 1 6 " ? > < G e m i n i   x m l n s = " h t t p : / / g e m i n i / p i v o t c u s t o m i z a t i o n / 9 7 7 b 3 c 7 c - f 5 7 e - 4 f 7 8 - 9 c 4 3 - 2 c f e b a 5 9 7 2 4 e " > < C u s t o m C o n t e n t > < ! [ C D A T A [ < ? x m l   v e r s i o n = " 1 . 0 "   e n c o d i n g = " u t f - 1 6 " ? > < S e t t i n g s > < C a l c u l a t e d F i e l d s > < i t e m > < M e a s u r e N a m e > Q t y   H e l d < / M e a s u r e N a m e > < D i s p l a y N a m e > Q t y   H e l d < / D i s p l a y N a m e > < V i s i b l e > F a l s e < / V i s i b l e > < / i t e m > < i t e m > < M e a s u r e N a m e > R e a l i z e d   C a p t i a l   G a i n < / M e a s u r e N a m e > < D i s p l a y N a m e > R e a l i z e d   C a p t i a l   G a i n < / D i s p l a y N a m e > < V i s i b l e > F a l s e < / V i s i b l e > < / i t e m > < i t e m > < M e a s u r e N a m e > S y m b o l   P r i c e < / M e a s u r e N a m e > < D i s p l a y N a m e > S y m b o l   P r i c e < / D i s p l a y N a m e > < V i s i b l e > F a l s e < / V i s i b l e > < / i t e m > < i t e m > < M e a s u r e N a m e > E q u i t y   O r g M k V a l u e < / M e a s u r e N a m e > < D i s p l a y N a m e > E q u i t y   O r g M k V a l u e < / D i s p l a y N a m e > < V i s i b l e > F a l s e < / V i s i b l e > < / i t e m > < i t e m > < M e a s u r e N a m e > O r i g   C a s h   B a l a n c e < / M e a s u r e N a m e > < D i s p l a y N a m e > O r i g   C a s h   B a l a n c e < / D i s p l a y N a m e > < V i s i b l e > F a l s e < / V i s i b l e > < / i t e m > < i t e m > < M e a s u r e N a m e > N o t   B a s h C a s h   B a l a n c e < / M e a s u r e N a m e > < D i s p l a y N a m e > N o t   B a s h C a s h   B a l a n c e < / D i s p l a y N a m e > < V i s i b l e > F a l s e < / V i s i b l e > < / i t e m > < / C a l c u l a t e d F i e l d s > < S A H o s t H a s h > 0 < / S A H o s t H a s h > < G e m i n i F i e l d L i s t V i s i b l e > T r u e < / G e m i n i F i e l d L i s t V i s i b l e > < / S e t t i n g s > ] ] > < / C u s t o m C o n t e n t > < / G e m i n i > 
</file>

<file path=customXml/item2.xml>��< ? x m l   v e r s i o n = " 1 . 0 "   e n c o d i n g = " U T F - 1 6 " ? > < G e m i n i   x m l n s = " h t t p : / / g e m i n i / p i v o t c u s t o m i z a t i o n / 9 2 9 7 1 5 7 6 - 5 0 4 3 - 4 4 1 3 - 9 2 0 2 - a a e 9 2 b a e 1 1 1 7 " > < C u s t o m C o n t e n t > < ! [ C D A T A [ < ? x m l   v e r s i o n = " 1 . 0 "   e n c o d i n g = " u t f - 1 6 " ? > < S e t t i n g s > < C a l c u l a t e d F i e l d s > < i t e m > < M e a s u r e N a m e > Q t y   H e l d < / M e a s u r e N a m e > < D i s p l a y N a m e > Q t y   H e l d < / D i s p l a y N a m e > < V i s i b l e > F a l s e < / V i s i b l e > < / i t e m > < / C a l c u l a t e d F i e l d s > < S A H o s t H a s h > 0 < / S A H o s t H a s h > < G e m i n i F i e l d L i s t V i s i b l e > T r u e < / G e m i n i F i e l d L i s t V i s i b l e > < / S e t t i n g s > ] ] > < / C u s t o m C o n t e n t > < / G e m i n i > 
</file>

<file path=customXml/item20.xml>��< ? x m l   v e r s i o n = " 1 . 0 "   e n c o d i n g = " U T F - 1 6 " ? > < G e m i n i   x m l n s = " h t t p : / / g e m i n i / p i v o t c u s t o m i z a t i o n / 0 1 5 0 d d 4 6 - 9 5 9 4 - 4 6 9 7 - 9 9 b e - c 3 f 0 7 3 8 4 7 7 2 5 " > < C u s t o m C o n t e n t > < ! [ C D A T A [ < ? x m l   v e r s i o n = " 1 . 0 "   e n c o d i n g = " u t f - 1 6 " ? > < S e t t i n g s > < C a l c u l a t e d F i e l d s > < i t e m > < M e a s u r e N a m e > Q t y   H e l d < / M e a s u r e N a m e > < D i s p l a y N a m e > Q t y   H e l d < / D i s p l a y N a m e > < V i s i b l e > F a l s e < / V i s i b l e > < / i t e m > < i t e m > < M e a s u r e N a m e > E q u i t y   V a l u e < / M e a s u r e N a m e > < D i s p l a y N a m e > E q u i t y   V a l u e < / D i s p l a y N a m e > < V i s i b l e > F a l s e < / V i s i b l e > < / i t e m > < i t e m > < M e a s u r e N a m e > f x r a t e _ t o B a s e C u r r e n c y < / M e a s u r e N a m e > < D i s p l a y N a m e > f x r a t e _ t o B a s e C u r r e n c y < / D i s p l a y N a m e > < V i s i b l e > F a l s e < / V i s i b l e > < / i t e m > < i t e m > < M e a s u r e N a m e > N o B a s e C a s h   B a l a n c e < / M e a s u r e N a m e > < D i s p l a y N a m e > N o B a s e C a s h   B a l a n c e < / D i s p l a y N a m e > < V i s i b l e > F a l s e < / V i s i b l e > < / i t e m > < i t e m > < M e a s u r e N a m e > S y m b o l   P r i c e   W h i c h   H e l d < / M e a s u r e N a m e > < D i s p l a y N a m e > S y m b o l   P r i c e   W h i c h   H e l d < / D i s p l a y N a m e > < V i s i b l e > F a l s e < / V i s i b l e > < / i t e m > < i t e m > < M e a s u r e N a m e > E V   O f   B a s e C u r r e n c y < / M e a s u r e N a m e > < D i s p l a y N a m e > E V   O f   B a s e C u r r e n c y < / D i s p l a y N a m e > < V i s i b l e > F a l s e < / V i s i b l e > < / i t e m > < i t e m > < M e a s u r e N a m e > B a s e C u r r e n c y   C a s h   B a l a n c e < / M e a s u r e N a m e > < D i s p l a y N a m e > B a s e C u r r e n c y   C a s h   B a l a n c e < / D i s p l a y N a m e > < V i s i b l e > F a l s e < / V i s i b l e > < / i t e m > < i t e m > < M e a s u r e N a m e > O r i g C a s h   B a l a n c e < / M e a s u r e N a m e > < D i s p l a y N a m e > O r i g C a s h   B a l a n c e < / D i s p l a y N a m e > < V i s i b l e > F a l s e < / V i s i b l e > < / i t e m > < / C a l c u l a t e d F i e l d s > < S A H o s t H a s h > 0 < / S A H o s t H a s h > < G e m i n i F i e l d L i s t V i s i b l e > T r u e < / G e m i n i F i e l d L i s t V i s i b l e > < / S e t t i n g s > ] ] > < / C u s t o m C o n t e n t > < / G e m i n i > 
</file>

<file path=customXml/item21.xml>��< ? x m l   v e r s i o n = " 1 . 0 "   e n c o d i n g = " U T F - 1 6 " ? > < G e m i n i   x m l n s = " h t t p : / / g e m i n i / p i v o t c u s t o m i z a t i o n / 6 9 3 2 1 4 e d - c 5 5 b - 4 4 f f - 8 a 5 a - 5 3 e d 0 3 5 3 c d 9 3 " > < C u s t o m C o n t e n t > < ! [ C D A T A [ < ? x m l   v e r s i o n = " 1 . 0 "   e n c o d i n g = " u t f - 1 6 " ? > < S e t t i n g s > < C a l c u l a t e d F i e l d s > < i t e m > < M e a s u r e N a m e > Q t y   H e l d < / M e a s u r e N a m e > < D i s p l a y N a m e > Q t y   H e l d < / D i s p l a y N a m e > < V i s i b l e > F a l s e < / V i s i b l e > < / i t e m > < i t e m > < M e a s u r e N a m e > S y m b o l   P r i c e < / M e a s u r e N a m e > < D i s p l a y N a m e > S y m b o l   P r i c e < / D i s p l a y N a m e > < V i s i b l e > F a l s e < / V i s i b l e > < / i t e m > < i t e m > < M e a s u r e N a m e > E q u i t y   V a l u e < / M e a s u r e N a m e > < D i s p l a y N a m e > E q u i t y   V a l u e < / D i s p l a y N a m e > < V i s i b l e > F a l s e < / V i s i b l e > < / i t e m > < / C a l c u l a t e d F i e l d s > < S A H o s t H a s h > 0 < / S A H o s t H a s h > < G e m i n i F i e l d L i s t V i s i b l e > T r u e < / G e m i n i F i e l d L i s t V i s i b l e > < / S e t t i n g s > ] ] > < / C u s t o m C o n t e n t > < / G e m i n i > 
</file>

<file path=customXml/item22.xml>��< ? x m l   v e r s i o n = " 1 . 0 "   e n c o d i n g = " U T F - 1 6 " ? > < G e m i n i   x m l n s = " h t t p : / / g e m i n i / p i v o t c u s t o m i z a t i o n / T a b l e X M L _ T r a n s T y p e s " > < C u s t o m C o n t e n t > < ! [ C D A T A [ < T a b l e W i d g e t G r i d S e r i a l i z a t i o n   x m l n s : x s d = " h t t p : / / w w w . w 3 . o r g / 2 0 0 1 / X M L S c h e m a "   x m l n s : x s i = " h t t p : / / w w w . w 3 . o r g / 2 0 0 1 / X M L S c h e m a - i n s t a n c e " > < C o l u m n S u g g e s t e d T y p e   / > < C o l u m n F o r m a t   / > < C o l u m n A c c u r a c y   / > < C o l u m n C u r r e n c y S y m b o l   / > < C o l u m n P o s i t i v e P a t t e r n   / > < C o l u m n N e g a t i v e P a t t e r n   / > < C o l u m n W i d t h s > < i t e m > < k e y > < s t r i n g > T r a n s T y p e < / s t r i n g > < / k e y > < v a l u e > < i n t > 2 8 0 < / i n t > < / v a l u e > < / i t e m > < i t e m > < k e y > < s t r i n g > D e s c r i p t i o n < / s t r i n g > < / k e y > < v a l u e > < i n t > 2 0 3 < / i n t > < / v a l u e > < / i t e m > < i t e m > < k e y > < s t r i n g > L o n g O r S h o r t < / s t r i n g > < / k e y > < v a l u e > < i n t > 2 1 8 < / i n t > < / v a l u e > < / i t e m > < i t e m > < k e y > < s t r i n g > B o o k V a l u e S i g n < / s t r i n g > < / k e y > < v a l u e > < i n t > 2 4 3 < / i n t > < / v a l u e > < / i t e m > < i t e m > < k e y > < s t r i n g > I g o n r e Q t y < / s t r i n g > < / k e y > < v a l u e > < i n t > 1 8 6 < / i n t > < / v a l u e > < / i t e m > < i t e m > < k e y > < s t r i n g > F e e S i g n < / s t r i n g > < / k e y > < v a l u e > < i n t > 1 5 8 < / i n t > < / v a l u e > < / i t e m > < i t e m > < k e y > < s t r i n g > A m n t S i g n < / s t r i n g > < / k e y > < v a l u e > < i n t > 1 8 1 < / i n t > < / v a l u e > < / i t e m > < i t e m > < k e y > < s t r i n g > Q t y S i g n < / s t r i n g > < / k e y > < v a l u e > < i n t > 1 5 8 < / i n t > < / v a l u e > < / i t e m > < i t e m > < k e y > < s t r i n g > I g o n r e F X r a t e < / s t r i n g > < / k e y > < v a l u e > < i n t > 2 2 0 < / i n t > < / v a l u e > < / i t e m > < i t e m > < k e y > < s t r i n g > O C I t o B C I S i g n < / s t r i n g > < / k e y > < v a l u e > < i n t > 2 2 4 < / i n t > < / v a l u e > < / i t e m > < i t e m > < k e y > < s t r i n g > C l o s e O r O p e n < / s t r i n g > < / k e y > < v a l u e > < i n t > 2 2 6 < / i n t > < / v a l u e > < / i t e m > < i t e m > < k e y > < s t r i n g > G L F l a g < / s t r i n g > < / k e y > < v a l u e > < i n t > 1 4 4 < / i n t > < / v a l u e > < / i t e m > < i t e m > < k e y > < s t r i n g > F o r e x T r a d e F l a g < / s t r i n g > < / k e y > < v a l u e > < i n t > 2 4 7 < / i n t > < / v a l u e > < / i t e m > < / C o l u m n W i d t h s > < C o l u m n D i s p l a y I n d e x > < i t e m > < k e y > < s t r i n g > T r a n s T y p e < / s t r i n g > < / k e y > < v a l u e > < i n t > 0 < / i n t > < / v a l u e > < / i t e m > < i t e m > < k e y > < s t r i n g > D e s c r i p t i o n < / s t r i n g > < / k e y > < v a l u e > < i n t > 1 < / i n t > < / v a l u e > < / i t e m > < i t e m > < k e y > < s t r i n g > L o n g O r S h o r t < / s t r i n g > < / k e y > < v a l u e > < i n t > 3 < / i n t > < / v a l u e > < / i t e m > < i t e m > < k e y > < s t r i n g > B o o k V a l u e S i g n < / s t r i n g > < / k e y > < v a l u e > < i n t > 2 < / i n t > < / v a l u e > < / i t e m > < i t e m > < k e y > < s t r i n g > I g o n r e Q t y < / s t r i n g > < / k e y > < v a l u e > < i n t > 4 < / i n t > < / v a l u e > < / i t e m > < i t e m > < k e y > < s t r i n g > F e e S i g n < / s t r i n g > < / k e y > < v a l u e > < i n t > 5 < / i n t > < / v a l u e > < / i t e m > < i t e m > < k e y > < s t r i n g > A m n t S i g n < / s t r i n g > < / k e y > < v a l u e > < i n t > 6 < / i n t > < / v a l u e > < / i t e m > < i t e m > < k e y > < s t r i n g > Q t y S i g n < / s t r i n g > < / k e y > < v a l u e > < i n t > 7 < / i n t > < / v a l u e > < / i t e m > < i t e m > < k e y > < s t r i n g > I g o n r e F X r a t e < / s t r i n g > < / k e y > < v a l u e > < i n t > 8 < / i n t > < / v a l u e > < / i t e m > < i t e m > < k e y > < s t r i n g > O C I t o B C I S i g n < / s t r i n g > < / k e y > < v a l u e > < i n t > 9 < / i n t > < / v a l u e > < / i t e m > < i t e m > < k e y > < s t r i n g > C l o s e O r O p e n < / s t r i n g > < / k e y > < v a l u e > < i n t > 1 0 < / i n t > < / v a l u e > < / i t e m > < i t e m > < k e y > < s t r i n g > G L F l a g < / s t r i n g > < / k e y > < v a l u e > < i n t > 1 1 < / i n t > < / v a l u e > < / i t e m > < i t e m > < k e y > < s t r i n g > F o r e x T r a d e F l a g < / s t r i n g > < / k e y > < v a l u e > < i n t > 1 2 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0 6 b 8 5 7 8 c - 0 6 6 e - 4 b 8 7 - a a 5 d - 4 5 d e c 3 4 c 5 4 2 c " > < C u s t o m C o n t e n t > < ! [ C D A T A [ < ? x m l   v e r s i o n = " 1 . 0 "   e n c o d i n g = " u t f - 1 6 " ? > < S e t t i n g s > < C a l c u l a t e d F i e l d s > < i t e m > < M e a s u r e N a m e > S y m b o l   P r i c e   W h i c h   H e l d < / M e a s u r e N a m e > < D i s p l a y N a m e > S y m b o l   P r i c e   W h i c h   H e l d < / D i s p l a y N a m e > < V i s i b l e > F a l s e < / V i s i b l e > < / i t e m > < i t e m > < M e a s u r e N a m e > E q u i t y   V a l u e < / M e a s u r e N a m e > < D i s p l a y N a m e > E q u i t y   V a l u e < / D i s p l a y N a m e > < V i s i b l e > F a l s e < / V i s i b l e > < / i t e m > < i t e m > < M e a s u r e N a m e > f x r a t e _ t o B a s e C u r r e n c y < / M e a s u r e N a m e > < D i s p l a y N a m e > f x r a t e _ t o B a s e C u r r e n c y < / D i s p l a y N a m e > < V i s i b l e > F a l s e < / V i s i b l e > < / i t e m > < i t e m > < M e a s u r e N a m e > E V   O f   B a s e C u r r e n c y < / M e a s u r e N a m e > < D i s p l a y N a m e > E V   O f   B a s e C u r r e n c y < / D i s p l a y N a m e > < V i s i b l e > F a l s e < / V i s i b l e > < / i t e m > < i t e m > < M e a s u r e N a m e > Q t y   H e l d < / M e a s u r e N a m e > < D i s p l a y N a m e > Q t y   H e l d < / D i s p l a y N a m e > < V i s i b l e > F a l s e < / V i s i b l e > < / i t e m > < i t e m > < M e a s u r e N a m e > C a s h   B a l a n c e   o n   B a s e C u r r e n c y < / M e a s u r e N a m e > < D i s p l a y N a m e > C a s h   B a l a n c e   o n   B a s e C u r r e n c y < / D i s p l a y N a m e > < V i s i b l e > F a l s e < / V i s i b l e > < / i t e m > < i t e m > < M e a s u r e N a m e > R p t C u r r e n c y < / M e a s u r e N a m e > < D i s p l a y N a m e > R p t C u r r e n c y < / D i s p l a y N a m e > < V i s i b l e > F a l s e < / V i s i b l e > < / i t e m > < i t e m > < M e a s u r e N a m e > T o t a l   V a l u e   o n   B a s e C u r r e n c y < / M e a s u r e N a m e > < D i s p l a y N a m e > T o t a l   V a l u e   o n   B a s e C u r r e n c y < / D i s p l a y N a m e > < V i s i b l e > F a l s e < / V i s i b l e > < / i t e m > < i t e m > < M e a s u r e N a m e > f x r a t e _ t o R p t C u r r e n c y < / M e a s u r e N a m e > < D i s p l a y N a m e > f x r a t e _ t o R p t C u r r e n c y < / D i s p l a y N a m e > < V i s i b l e > F a l s e < / V i s i b l e > < / i t e m > < i t e m > < M e a s u r e N a m e > E q u i t y   V a l u e ( O r i g ) < / M e a s u r e N a m e > < D i s p l a y N a m e > E q u i t y   V a l u e ( O r i g ) < / D i s p l a y N a m e > < V i s i b l e > F a l s e < / V i s i b l e > < / i t e m > < i t e m > < M e a s u r e N a m e > C a s h   B a l a n c e ( O r i g ) < / M e a s u r e N a m e > < D i s p l a y N a m e > C a s h   B a l a n c e ( O r i g ) < / D i s p l a y N a m e > < V i s i b l e > F a l s e < / V i s i b l e > < / i t e m > < i t e m > < M e a s u r e N a m e > C a s h   B a l a n c e < / M e a s u r e N a m e > < D i s p l a y N a m e > C a s h   B a l a n c e < / D i s p l a y N a m e > < V i s i b l e > F a l s e < / V i s i b l e > < / i t e m > < i t e m > < M e a s u r e N a m e > T o t a l   V a l u e < / M e a s u r e N a m e > < D i s p l a y N a m e > T o t a l   V a l u e < / D i s p l a y N a m e > < V i s i b l e > F a l s e < / V i s i b l e > < / i t e m > < i t e m > < M e a s u r e N a m e > M a r g i n C a s h   B a l a n c e < / M e a s u r e N a m e > < D i s p l a y N a m e > M a r g i n C a s h   B a l a n c e < / D i s p l a y N a m e > < V i s i b l e > F a l s e < / V i s i b l e > < / i t e m > < i t e m > < M e a s u r e N a m e > M a r g i n C a s h   B a l a n c e ( O r i g ) < / M e a s u r e N a m e > < D i s p l a y N a m e > M a r g i n C a s h   B a l a n c e ( O r i g ) < / D i s p l a y N a m e > < V i s i b l e > F a l s e < / V i s i b l e > < / i t e m > < i t e m > < M e a s u r e N a m e > M a r g i n C a s h   B a l a n c e   o n   B a s e C u r r e n c y < / M e a s u r e N a m e > < D i s p l a y N a m e > M a r g i n C a s h   B a l a n c e   o n   B a s e C u r r e n c y < / D i s p l a y N a m e > < V i s i b l e > F a l s e < / V i s i b l e > < / i t e m > < i t e m > < M e a s u r e N a m e > S t a r t   V a l u e < / M e a s u r e N a m e > < D i s p l a y N a m e > S t a r t   V a l u e < / D i s p l a y N a m e > < V i s i b l e > F a l s e < / V i s i b l e > < / i t e m > < i t e m > < M e a s u r e N a m e > E q u i t y   S t a r t   V a l u e < / M e a s u r e N a m e > < D i s p l a y N a m e > E q u i t y   S t a r t   V a l u e < / D i s p l a y N a m e > < V i s i b l e > F a l s e < / V i s i b l e > < / i t e m > < i t e m > < M e a s u r e N a m e > S t a r t D a t e < / M e a s u r e N a m e > < D i s p l a y N a m e > S t a r t D a t e < / D i s p l a y N a m e > < V i s i b l e > F a l s e < / V i s i b l e > < / i t e m > < i t e m > < M e a s u r e N a m e > L a s t D a t e < / M e a s u r e N a m e > < D i s p l a y N a m e > L a s t D a t e < / D i s p l a y N a m e > < V i s i b l e > F a l s e < / V i s i b l e > < / i t e m > < / C a l c u l a t e d F i e l d s > < S A H o s t H a s h > 0 < / S A H o s t H a s h > < G e m i n i F i e l d L i s t V i s i b l e > T r u e < / G e m i n i F i e l d L i s t V i s i b l e > < / S e t t i n g s > ] ] > < / C u s t o m C o n t e n t > < / G e m i n i > 
</file>

<file path=customXml/item24.xml>��< ? x m l   v e r s i o n = " 1 . 0 "   e n c o d i n g = " U T F - 1 6 " ? > < G e m i n i   x m l n s = " h t t p : / / g e m i n i / p i v o t c u s t o m i z a t i o n / 9 8 1 0 c 3 8 d - 8 b f 4 - 4 1 7 9 - 9 0 0 c - 9 8 8 e c f 7 5 1 d e 1 " > < C u s t o m C o n t e n t > < ! [ C D A T A [ < ? x m l   v e r s i o n = " 1 . 0 "   e n c o d i n g = " u t f - 1 6 " ? > < S e t t i n g s > < C a l c u l a t e d F i e l d s > < i t e m > < M e a s u r e N a m e > S y m b o l   P r i c e   W h i c h   H e l d < / M e a s u r e N a m e > < D i s p l a y N a m e > S y m b o l   P r i c e   W h i c h   H e l d < / D i s p l a y N a m e > < V i s i b l e > F a l s e < / V i s i b l e > < / i t e m > < i t e m > < M e a s u r e N a m e > E q u i t y   V a l u e < / M e a s u r e N a m e > < D i s p l a y N a m e > E q u i t y   V a l u e < / D i s p l a y N a m e > < V i s i b l e > F a l s e < / V i s i b l e > < / i t e m > < i t e m > < M e a s u r e N a m e > f x r a t e _ t o B a s e C u r r e n c y < / M e a s u r e N a m e > < D i s p l a y N a m e > f x r a t e _ t o B a s e C u r r e n c y < / D i s p l a y N a m e > < V i s i b l e > F a l s e < / V i s i b l e > < / i t e m > < i t e m > < M e a s u r e N a m e > E V   O f   B a s e C u r r e n c y < / M e a s u r e N a m e > < D i s p l a y N a m e > E V   O f   B a s e C u r r e n c y < / D i s p l a y N a m e > < V i s i b l e > F a l s e < / V i s i b l e > < / i t e m > < i t e m > < M e a s u r e N a m e > Q t y   H e l d < / M e a s u r e N a m e > < D i s p l a y N a m e > Q t y   H e l d < / D i s p l a y N a m e > < V i s i b l e > F a l s e < / V i s i b l e > < / i t e m > < i t e m > < M e a s u r e N a m e > C a s h   B a l a n c e   o n   B a s e C u r r e n c y < / M e a s u r e N a m e > < D i s p l a y N a m e > C a s h   B a l a n c e   o n   B a s e C u r r e n c y < / D i s p l a y N a m e > < V i s i b l e > F a l s e < / V i s i b l e > < / i t e m > < i t e m > < M e a s u r e N a m e > R p t C u r r e n c y < / M e a s u r e N a m e > < D i s p l a y N a m e > R p t C u r r e n c y < / D i s p l a y N a m e > < V i s i b l e > F a l s e < / V i s i b l e > < / i t e m > < i t e m > < M e a s u r e N a m e > T o t a l   V a l u e   o n   B a s e C u r r e n c y < / M e a s u r e N a m e > < D i s p l a y N a m e > T o t a l   V a l u e   o n   B a s e C u r r e n c y < / D i s p l a y N a m e > < V i s i b l e > F a l s e < / V i s i b l e > < / i t e m > < i t e m > < M e a s u r e N a m e > f x r a t e _ t o R p t C u r r e n c y < / M e a s u r e N a m e > < D i s p l a y N a m e > f x r a t e _ t o R p t C u r r e n c y < / D i s p l a y N a m e > < V i s i b l e > F a l s e < / V i s i b l e > < / i t e m > < i t e m > < M e a s u r e N a m e > E q u i t y   V a l u e ( O r i g ) < / M e a s u r e N a m e > < D i s p l a y N a m e > E q u i t y   V a l u e ( O r i g ) < / D i s p l a y N a m e > < V i s i b l e > F a l s e < / V i s i b l e > < / i t e m > < i t e m > < M e a s u r e N a m e > C a s h   B a l a n c e ( O r i g ) < / M e a s u r e N a m e > < D i s p l a y N a m e > C a s h   B a l a n c e ( O r i g ) < / D i s p l a y N a m e > < V i s i b l e > F a l s e < / V i s i b l e > < / i t e m > < i t e m > < M e a s u r e N a m e > C a s h   B a l a n c e < / M e a s u r e N a m e > < D i s p l a y N a m e > C a s h   B a l a n c e < / D i s p l a y N a m e > < V i s i b l e > F a l s e < / V i s i b l e > < / i t e m > < i t e m > < M e a s u r e N a m e > T o t a l   V a l u e < / M e a s u r e N a m e > < D i s p l a y N a m e > T o t a l   V a l u e < / D i s p l a y N a m e > < V i s i b l e > F a l s e < / V i s i b l e > < / i t e m > < i t e m > < M e a s u r e N a m e > M a r g i n C a s h   B a l a n c e < / M e a s u r e N a m e > < D i s p l a y N a m e > M a r g i n C a s h   B a l a n c e < / D i s p l a y N a m e > < V i s i b l e > F a l s e < / V i s i b l e > < / i t e m > < i t e m > < M e a s u r e N a m e > M a r g i n C a s h   B a l a n c e ( O r i g ) < / M e a s u r e N a m e > < D i s p l a y N a m e > M a r g i n C a s h   B a l a n c e ( O r i g ) < / D i s p l a y N a m e > < V i s i b l e > F a l s e < / V i s i b l e > < / i t e m > < i t e m > < M e a s u r e N a m e > M a r g i n C a s h   B a l a n c e   o n   B a s e C u r r e n c y < / M e a s u r e N a m e > < D i s p l a y N a m e > M a r g i n C a s h   B a l a n c e   o n   B a s e C u r r e n c y < / D i s p l a y N a m e > < V i s i b l e > F a l s e < / V i s i b l e > < / i t e m > < i t e m > < M e a s u r e N a m e > S t a r t   V a l u e < / M e a s u r e N a m e > < D i s p l a y N a m e > S t a r t   V a l u e < / D i s p l a y N a m e > < V i s i b l e > F a l s e < / V i s i b l e > < / i t e m > < i t e m > < M e a s u r e N a m e > E q u i t y   S t a r t   V a l u e < / M e a s u r e N a m e > < D i s p l a y N a m e > E q u i t y   S t a r t   V a l u e < / D i s p l a y N a m e > < V i s i b l e > F a l s e < / V i s i b l e > < / i t e m > < i t e m > < M e a s u r e N a m e > S t a r t D a t e < / M e a s u r e N a m e > < D i s p l a y N a m e > S t a r t D a t e < / D i s p l a y N a m e > < V i s i b l e > F a l s e < / V i s i b l e > < / i t e m > < i t e m > < M e a s u r e N a m e > L a s t D a t e < / M e a s u r e N a m e > < D i s p l a y N a m e > L a s t D a t e < / D i s p l a y N a m e > < V i s i b l e > F a l s e < / V i s i b l e > < / i t e m > < / C a l c u l a t e d F i e l d s > < S A H o s t H a s h > 0 < / S A H o s t H a s h > < G e m i n i F i e l d L i s t V i s i b l e > T r u e < / G e m i n i F i e l d L i s t V i s i b l e > < / S e t t i n g s > ] ] > < / C u s t o m C o n t e n t > < / G e m i n i > 
</file>

<file path=customXml/item25.xml>��< ? x m l   v e r s i o n = " 1 . 0 "   e n c o d i n g = " U T F - 1 6 " ? > < G e m i n i   x m l n s = " h t t p : / / g e m i n i / p i v o t c u s t o m i z a t i o n / T a b l e X M L _ R e p o r t C u r r e n c y " > < C u s t o m C o n t e n t > < ! [ C D A T A [ < T a b l e W i d g e t G r i d S e r i a l i z a t i o n   x m l n s : x s d = " h t t p : / / w w w . w 3 . o r g / 2 0 0 1 / X M L S c h e m a "   x m l n s : x s i = " h t t p : / / w w w . w 3 . o r g / 2 0 0 1 / X M L S c h e m a - i n s t a n c e " > < C o l u m n S u g g e s t e d T y p e   / > < C o l u m n F o r m a t   / > < C o l u m n A c c u r a c y   / > < C o l u m n C u r r e n c y S y m b o l   / > < C o l u m n P o s i t i v e P a t t e r n   / > < C o l u m n N e g a t i v e P a t t e r n   / > < C o l u m n W i d t h s > < i t e m > < k e y > < s t r i n g > R e p o r t C u r r e n c y < / s t r i n g > < / k e y > < v a l u e > < i n t > 2 5 5 < / i n t > < / v a l u e > < / i t e m > < i t e m > < k e y > < s t r i n g > I s D e f a u l t < / s t r i n g > < / k e y > < v a l u e > < i n t > 1 7 1 < / i n t > < / v a l u e > < / i t e m > < / C o l u m n W i d t h s > < C o l u m n D i s p l a y I n d e x > < i t e m > < k e y > < s t r i n g > R e p o r t C u r r e n c y < / s t r i n g > < / k e y > < v a l u e > < i n t > 0 < / i n t > < / v a l u e > < / i t e m > < i t e m > < k e y > < s t r i n g > I s D e f a u l t < / 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T r a n s a c t i o n s " > < C u s t o m C o n t e n t > < ! [ C D A T A [ < T a b l e W i d g e t G r i d S e r i a l i z a t i o n   x m l n s : x s d = " h t t p : / / w w w . w 3 . o r g / 2 0 0 1 / X M L S c h e m a "   x m l n s : x s i = " h t t p : / / w w w . w 3 . o r g / 2 0 0 1 / X M L S c h e m a - i n s t a n c e " > < C o l u m n S u g g e s t e d T y p e   / > < C o l u m n F o r m a t   / > < C o l u m n A c c u r a c y   / > < C o l u m n C u r r e n c y S y m b o l   / > < C o l u m n P o s i t i v e P a t t e r n   / > < C o l u m n N e g a t i v e P a t t e r n   / > < C o l u m n W i d t h s > < i t e m > < k e y > < s t r i n g > A c c o u n t < / s t r i n g > < / k e y > < v a l u e > < i n t > 1 6 4 < / i n t > < / v a l u e > < / i t e m > < i t e m > < k e y > < s t r i n g > D a t e < / s t r i n g > < / k e y > < v a l u e > < i n t > 2 6 0 < / i n t > < / v a l u e > < / i t e m > < i t e m > < k e y > < s t r i n g > T r a n s T y p e < / s t r i n g > < / k e y > < v a l u e > < i n t > 1 8 6 < / i n t > < / v a l u e > < / i t e m > < i t e m > < k e y > < s t r i n g > S y m b o l < / s t r i n g > < / k e y > < v a l u e > < i n t > 1 5 4 < / i n t > < / v a l u e > < / i t e m > < i t e m > < k e y > < s t r i n g > Q t y < / s t r i n g > < / k e y > < v a l u e > < i n t > 1 0 7 < / i n t > < / v a l u e > < / i t e m > < i t e m > < k e y > < s t r i n g > P r i c e < / s t r i n g > < / k e y > < v a l u e > < i n t > 1 2 4 < / i n t > < / v a l u e > < / i t e m > < i t e m > < k e y > < s t r i n g > F e e < / s t r i n g > < / k e y > < v a l u e > < i n t > 1 0 7 < / i n t > < / v a l u e > < / i t e m > < i t e m > < k e y > < s t r i n g > A m o u n t < / s t r i n g > < / k e y > < v a l u e > < i n t > 1 6 2 < / i n t > < / v a l u e > < / i t e m > < i t e m > < k e y > < s t r i n g > O r i g C a s h I m p a c t < / s t r i n g > < / k e y > < v a l u e > < i n t > 2 5 7 < / i n t > < / v a l u e > < / i t e m > < i t e m > < k e y > < s t r i n g > T T R < / s t r i n g > < / k e y > < v a l u e > < i n t > 1 0 9 < / i n t > < / v a l u e > < / i t e m > < i t e m > < k e y > < s t r i n g > B a s e C a s h I m p a c t < / s t r i n g > < / k e y > < v a l u e > < i n t > 2 6 3 < / i n t > < / v a l u e > < / i t e m > < i t e m > < k e y > < s t r i n g > B a s e C a s h B a l a n c e < / s t r i n g > < / k e y > < v a l u e > < i n t > 2 7 3 < / i n t > < / v a l u e > < / i t e m > < i t e m > < k e y > < s t r i n g > Q t y C h a n g e < / s t r i n g > < / k e y > < v a l u e > < i n t > 1 9 8 < / i n t > < / v a l u e > < / i t e m > < i t e m > < k e y > < s t r i n g > Q t y H e l d < / s t r i n g > < / k e y > < v a l u e > < i n t > 1 6 4 < / i n t > < / v a l u e > < / i t e m > < i t e m > < k e y > < s t r i n g > T r a n s I D < / s t r i n g > < / k e y > < v a l u e > < i n t > 1 5 3 < / i n t > < / v a l u e > < / i t e m > < i t e m > < k e y > < s t r i n g > C o m m e n t < / s t r i n g > < / k e y > < v a l u e > < i n t > 1 8 4 < / i n t > < / v a l u e > < / i t e m > < i t e m > < k e y > < s t r i n g > A c c r u e d I n t e r e s t < / s t r i n g > < / k e y > < v a l u e > < i n t > 2 5 9 < / i n t > < / v a l u e > < / i t e m > < i t e m > < k e y > < s t r i n g > C o s t I m p a c t < / s t r i n g > < / k e y > < v a l u e > < i n t > 2 0 2 < / i n t > < / v a l u e > < / i t e m > < i t e m > < k e y > < s t r i n g > C o s t B a s i s < / s t r i n g > < / k e y > < v a l u e > < i n t > 1 7 8 < / i n t > < / v a l u e > < / i t e m > < i t e m > < k e y > < s t r i n g > Q H B C < / s t r i n g > < / k e y > < v a l u e > < i n t > 1 3 4 < / i n t > < / v a l u e > < / i t e m > < i t e m > < k e y > < s t r i n g > P L < / s t r i n g > < / k e y > < v a l u e > < i n t > 9 2 < / i n t > < / v a l u e > < / i t e m > < i t e m > < k e y > < s t r i n g > C a l C a s h I m p a c t < / s t r i n g > < / k e y > < v a l u e > < i n t > 2 4 3 < / i n t > < / v a l u e > < / i t e m > < i t e m > < k e y > < s t r i n g > M a r g i n C a s h I m p a c t < / s t r i n g > < / k e y > < v a l u e > < i n t > 2 9 3 < / i n t > < / v a l u e > < / i t e m > < i t e m > < k e y > < s t r i n g > C u r r e n c y < / s t r i n g > < / k e y > < v a l u e > < i n t > 1 7 3 < / i n t > < / v a l u e > < / i t e m > < i t e m > < k e y > < s t r i n g > S u b T r a n s T y p e < / s t r i n g > < / k e y > < v a l u e > < i n t > 2 3 2 < / i n t > < / v a l u e > < / i t e m > < / C o l u m n W i d t h s > < C o l u m n D i s p l a y I n d e x > < i t e m > < k e y > < s t r i n g > A c c o u n t < / s t r i n g > < / k e y > < v a l u e > < i n t > 0 < / i n t > < / v a l u e > < / i t e m > < i t e m > < k e y > < s t r i n g > D a t e < / s t r i n g > < / k e y > < v a l u e > < i n t > 1 < / i n t > < / v a l u e > < / i t e m > < i t e m > < k e y > < s t r i n g > T r a n s T y p e < / s t r i n g > < / k e y > < v a l u e > < i n t > 2 < / i n t > < / v a l u e > < / i t e m > < i t e m > < k e y > < s t r i n g > S y m b o l < / s t r i n g > < / k e y > < v a l u e > < i n t > 3 < / i n t > < / v a l u e > < / i t e m > < i t e m > < k e y > < s t r i n g > Q t y < / s t r i n g > < / k e y > < v a l u e > < i n t > 4 < / i n t > < / v a l u e > < / i t e m > < i t e m > < k e y > < s t r i n g > P r i c e < / s t r i n g > < / k e y > < v a l u e > < i n t > 5 < / i n t > < / v a l u e > < / i t e m > < i t e m > < k e y > < s t r i n g > F e e < / s t r i n g > < / k e y > < v a l u e > < i n t > 6 < / i n t > < / v a l u e > < / i t e m > < i t e m > < k e y > < s t r i n g > A m o u n t < / s t r i n g > < / k e y > < v a l u e > < i n t > 7 < / i n t > < / v a l u e > < / i t e m > < i t e m > < k e y > < s t r i n g > O r i g C a s h I m p a c t < / s t r i n g > < / k e y > < v a l u e > < i n t > 1 6 < / i n t > < / v a l u e > < / i t e m > < i t e m > < k e y > < s t r i n g > T T R < / s t r i n g > < / k e y > < v a l u e > < i n t > 1 5 < / i n t > < / v a l u e > < / i t e m > < i t e m > < k e y > < s t r i n g > B a s e C a s h I m p a c t < / s t r i n g > < / k e y > < v a l u e > < i n t > 8 < / i n t > < / v a l u e > < / i t e m > < i t e m > < k e y > < s t r i n g > B a s e C a s h B a l a n c e < / s t r i n g > < / k e y > < v a l u e > < i n t > 9 < / i n t > < / v a l u e > < / i t e m > < i t e m > < k e y > < s t r i n g > Q t y C h a n g e < / s t r i n g > < / k e y > < v a l u e > < i n t > 1 0 < / i n t > < / v a l u e > < / i t e m > < i t e m > < k e y > < s t r i n g > Q t y H e l d < / s t r i n g > < / k e y > < v a l u e > < i n t > 1 1 < / i n t > < / v a l u e > < / i t e m > < i t e m > < k e y > < s t r i n g > T r a n s I D < / s t r i n g > < / k e y > < v a l u e > < i n t > 1 2 < / i n t > < / v a l u e > < / i t e m > < i t e m > < k e y > < s t r i n g > C o m m e n t < / s t r i n g > < / k e y > < v a l u e > < i n t > 1 4 < / i n t > < / v a l u e > < / i t e m > < i t e m > < k e y > < s t r i n g > A c c r u e d I n t e r e s t < / s t r i n g > < / k e y > < v a l u e > < i n t > 1 3 < / i n t > < / v a l u e > < / i t e m > < i t e m > < k e y > < s t r i n g > C o s t I m p a c t < / s t r i n g > < / k e y > < v a l u e > < i n t > 1 7 < / i n t > < / v a l u e > < / i t e m > < i t e m > < k e y > < s t r i n g > C o s t B a s i s < / s t r i n g > < / k e y > < v a l u e > < i n t > 1 8 < / i n t > < / v a l u e > < / i t e m > < i t e m > < k e y > < s t r i n g > Q H B C < / s t r i n g > < / k e y > < v a l u e > < i n t > 1 9 < / i n t > < / v a l u e > < / i t e m > < i t e m > < k e y > < s t r i n g > P L < / s t r i n g > < / k e y > < v a l u e > < i n t > 2 0 < / i n t > < / v a l u e > < / i t e m > < i t e m > < k e y > < s t r i n g > C a l C a s h I m p a c t < / s t r i n g > < / k e y > < v a l u e > < i n t > 2 1 < / i n t > < / v a l u e > < / i t e m > < i t e m > < k e y > < s t r i n g > M a r g i n C a s h I m p a c t < / s t r i n g > < / k e y > < v a l u e > < i n t > 2 2 < / i n t > < / v a l u e > < / i t e m > < i t e m > < k e y > < s t r i n g > C u r r e n c y < / s t r i n g > < / k e y > < v a l u e > < i n t > 2 4 < / i n t > < / v a l u e > < / i t e m > < i t e m > < k e y > < s t r i n g > S u b T r a n s T y p e < / s t r i n g > < / k e y > < v a l u e > < i n t > 2 3 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a a 2 2 f 6 7 e - b 4 9 6 - 4 4 d e - b c 1 d - 5 4 4 3 1 5 5 1 4 5 8 d " > < C u s t o m C o n t e n t > < ! [ C D A T A [ < ? x m l   v e r s i o n = " 1 . 0 "   e n c o d i n g = " u t f - 1 6 " ? > < S e t t i n g s > < C a l c u l a t e d F i e l d s > < i t e m > < M e a s u r e N a m e > S y m b o l   P r i c e   W h i c h   H e l d < / M e a s u r e N a m e > < D i s p l a y N a m e > S y m b o l   P r i c e   W h i c h   H e l d < / D i s p l a y N a m e > < V i s i b l e > F a l s e < / V i s i b l e > < / i t e m > < i t e m > < M e a s u r e N a m e > E q u i t y   V a l u e < / M e a s u r e N a m e > < D i s p l a y N a m e > E q u i t y   V a l u e < / D i s p l a y N a m e > < V i s i b l e > F a l s e < / V i s i b l e > < / i t e m > < i t e m > < M e a s u r e N a m e > f x r a t e _ t o B a s e C u r r e n c y < / M e a s u r e N a m e > < D i s p l a y N a m e > f x r a t e _ t o B a s e C u r r e n c y < / D i s p l a y N a m e > < V i s i b l e > F a l s e < / V i s i b l e > < / i t e m > < i t e m > < M e a s u r e N a m e > E V   O f   B a s e C u r r e n c y < / M e a s u r e N a m e > < D i s p l a y N a m e > E V   O f   B a s e C u r r e n c y < / D i s p l a y N a m e > < V i s i b l e > F a l s e < / V i s i b l e > < / i t e m > < i t e m > < M e a s u r e N a m e > Q t y   H e l d < / M e a s u r e N a m e > < D i s p l a y N a m e > Q t y   H e l d < / D i s p l a y N a m e > < V i s i b l e > F a l s e < / V i s i b l e > < / i t e m > < i t e m > < M e a s u r e N a m e > O r i g C a s h   B a l a n c e < / M e a s u r e N a m e > < D i s p l a y N a m e > O r i g C a s h   B a l a n c e < / D i s p l a y N a m e > < V i s i b l e > F a l s e < / V i s i b l e > < / i t e m > < i t e m > < M e a s u r e N a m e > C a s h B a l a n c e   O n   B a s e C u r r e n c y < / M e a s u r e N a m e > < D i s p l a y N a m e > C a s h B a l a n c e   O n   B a s e C u r r e n c y < / D i s p l a y N a m e > < V i s i b l e > F a l s e < / V i s i b l e > < / i t e m > < i t e m > < M e a s u r e N a m e > T o t a l   V a l u e   o n   B a s e C u r r e n c y < / M e a s u r e N a m e > < D i s p l a y N a m e > T o t a l   V a l u e   o n   B a s e C u r r e n c y < / D i s p l a y N a m e > < V i s i b l e > F a l s e < / V i s i b l e > < / i t e m > < i t e m > < M e a s u r e N a m e > C B   N e w < / M e a s u r e N a m e > < D i s p l a y N a m e > C B   N e w < / D i s p l a y N a m e > < V i s i b l e > F a l s e < / V i s i b l e > < / i t e m > < / C a l c u l a t e d F i e l d s > < S A H o s t H a s h > 0 < / S A H o s t H a s h > < G e m i n i F i e l d L i s t V i s i b l e > T r u e < / G e m i n i F i e l d L i s t V i s i b l e > < / S e t t i n g s > ] ] > < / C u s t o m C o n t e n t > < / G e m i n i > 
</file>

<file path=customXml/item28.xml>��< ? x m l   v e r s i o n = " 1 . 0 "   e n c o d i n g = " U T F - 1 6 " ? > < G e m i n i   x m l n s = " h t t p : / / g e m i n i / p i v o t c u s t o m i z a t i o n / a 4 0 8 5 f 3 f - b 7 9 3 - 4 6 b 3 - a 7 b 3 - 4 b c d 1 f 0 9 c 3 d 8 " > < C u s t o m C o n t e n t > < ! [ C D A T A [ < ? x m l   v e r s i o n = " 1 . 0 "   e n c o d i n g = " u t f - 1 6 " ? > < S e t t i n g s > < C a l c u l a t e d F i e l d s > < i t e m > < M e a s u r e N a m e > S y m b o l   P r i c e   W h i c h   H e l d < / M e a s u r e N a m e > < D i s p l a y N a m e > S y m b o l   P r i c e   W h i c h   H e l d < / D i s p l a y N a m e > < V i s i b l e > F a l s e < / V i s i b l e > < / i t e m > < i t e m > < M e a s u r e N a m e > f x r a t e _ t o B a s e C u r r e n c y < / M e a s u r e N a m e > < D i s p l a y N a m e > f x r a t e _ t o B a s e C u r r e n c y < / D i s p l a y N a m e > < V i s i b l e > F a l s e < / V i s i b l e > < / i t e m > < i t e m > < M e a s u r e N a m e > Q t y   H e l d < / M e a s u r e N a m e > < D i s p l a y N a m e > Q t y   H e l d < / D i s p l a y N a m e > < V i s i b l e > F a l s e < / V i s i b l e > < / i t e m > < i t e m > < M e a s u r e N a m e > R p t C u r r e n c y < / M e a s u r e N a m e > < D i s p l a y N a m e > R p t C u r r e n c y < / D i s p l a y N a m e > < V i s i b l e > F a l s e < / V i s i b l e > < / i t e m > < i t e m > < M e a s u r e N a m e > f x r a t e _ t o R p t C u r r e n c y < / M e a s u r e N a m e > < D i s p l a y N a m e > f x r a t e _ t o R p t C u r r e n c y < / D i s p l a y N a m e > < V i s i b l e > F a l s e < / V i s i b l e > < / i t e m > < i t e m > < M e a s u r e N a m e > E q u i t y   V a l u e < / M e a s u r e N a m e > < D i s p l a y N a m e > E q u i t y   V a l u e < / D i s p l a y N a m e > < V i s i b l e > F a l s e < / V i s i b l e > < / i t e m > < i t e m > < M e a s u r e N a m e > C a s h   B a l a n c e < / M e a s u r e N a m e > < D i s p l a y N a m e > C a s h   B a l a n c e < / D i s p l a y N a m e > < V i s i b l e > F a l s e < / V i s i b l e > < / i t e m > < i t e m > < M e a s u r e N a m e > T o t a l   V a l u e < / M e a s u r e N a m e > < D i s p l a y N a m e > T o t a l   V a l u e < / D i s p l a y N a m e > < V i s i b l e > F a l s e < / V i s i b l e > < / i t e m > < i t e m > < M e a s u r e N a m e > M a r g i n C a s h   B a l a n c e < / M e a s u r e N a m e > < D i s p l a y N a m e > M a r g i n C a s h   B a l a n c e < / D i s p l a y N a m e > < V i s i b l e > F a l s e < / V i s i b l e > < / i t e m > < i t e m > < M e a s u r e N a m e > S t a r t   V a l u e < / M e a s u r e N a m e > < D i s p l a y N a m e > S t a r t   V a l u e < / D i s p l a y N a m e > < V i s i b l e > F a l s e < / V i s i b l e > < / i t e m > < i t e m > < M e a s u r e N a m e > E q u i t y   S t a r t   V a l u e < / M e a s u r e N a m e > < D i s p l a y N a m e > E q u i t y   S t a r t   V a l u e < / D i s p l a y N a m e > < V i s i b l e > F a l s e < / V i s i b l e > < / i t e m > < i t e m > < M e a s u r e N a m e > f x r a t e _ u n i v < / M e a s u r e N a m e > < D i s p l a y N a m e > f x r a t e _ u n i v < / D i s p l a y N a m e > < V i s i b l e > F a l s e < / V i s i b l e > < / i t e m > < i t e m > < M e a s u r e N a m e > h a s o n e s y m b o l < / M e a s u r e N a m e > < D i s p l a y N a m e > h a s o n e s y m b o l < / D i s p l a y N a m e > < V i s i b l e > F a l s e < / V i s i b l e > < / i t e m > < i t e m > < M e a s u r e N a m e > E q u i t y   V a l u e   o n   B a s e C u r r e n c y < / M e a s u r e N a m e > < D i s p l a y N a m e > E q u i t y   V a l u e   o n   B a s e C u r r e n c y < / D i s p l a y N a m e > < V i s i b l e > F a l s e < / V i s i b l e > < / i t e m > < i t e m > < M e a s u r e N a m e > E q u i t y   V a l u e ( O r i g ) < / M e a s u r e N a m e > < D i s p l a y N a m e > E q u i t y   V a l u e ( O r i g ) < / D i s p l a y N a m e > < V i s i b l e > F a l s e < / V i s i b l e > < / i t e m > < i t e m > < M e a s u r e N a m e > h a s o n e c u r r e n c y < / M e a s u r e N a m e > < D i s p l a y N a m e > h a s o n e c u r r e n c y < / D i s p l a y N a m e > < V i s i b l e > F a l s e < / V i s i b l e > < / i t e m > < i t e m > < M e a s u r e N a m e > C o s t B a s i s ( O r i g ) < / M e a s u r e N a m e > < D i s p l a y N a m e > C o s t B a s i s ( O r i g ) < / D i s p l a y N a m e > < V i s i b l e > F a l s e < / V i s i b l e > < / i t e m > < i t e m > < M e a s u r e N a m e > C o s t B a s i s   o f   B a s e C u r r e n c y < / M e a s u r e N a m e > < D i s p l a y N a m e > C o s t B a s i s   o f   B a s e C u r r e n c y < / D i s p l a y N a m e > < V i s i b l e > F a l s e < / V i s i b l e > < / i t e m > < i t e m > < M e a s u r e N a m e > C o s t B a s i s ( m e a n ) < / M e a s u r e N a m e > < D i s p l a y N a m e > C o s t B a s i s ( m e a n ) < / D i s p l a y N a m e > < V i s i b l e > F a l s e < / V i s i b l e > < / i t e m > < i t e m > < M e a s u r e N a m e > C o s t   B a s i s < / M e a s u r e N a m e > < D i s p l a y N a m e > C o s t   B a s i s < / D i s p l a y N a m e > < V i s i b l e > F a l s e < / V i s i b l e > < / i t e m > < i t e m > < M e a s u r e N a m e > o n e s y m b o l c u r r e n c y < / M e a s u r e N a m e > < D i s p l a y N a m e > o n e s y m b o l c u r r e n c y < / D i s p l a y N a m e > < V i s i b l e > F a l s e < / V i s i b l e > < / i t e m > < i t e m > < M e a s u r e N a m e > A v g   C o s t   P r i c e < / M e a s u r e N a m e > < D i s p l a y N a m e > A v g   C o s t   P r i c e < / D i s p l a y N a m e > < V i s i b l e > F a l s e < / V i s i b l e > < / i t e m > < i t e m > < M e a s u r e N a m e > D e p o s i t s ( o r i g ) < / M e a s u r e N a m e > < D i s p l a y N a m e > D e p o s i t s ( o r i g ) < / D i s p l a y N a m e > < V i s i b l e > F a l s e < / V i s i b l e > < / i t e m > < i t e m > < M e a s u r e N a m e > R T   D a y s   M A X < / M e a s u r e N a m e > < D i s p l a y N a m e > R T   D a y s   M A X < / D i s p l a y N a m e > < V i s i b l e > F a l s e < / V i s i b l e > < / i t e m > < i t e m > < M e a s u r e N a m e > R T   D a y s   L A S T D A T E < / M e a s u r e N a m e > < D i s p l a y N a m e > R T   D a y s   L A S T D A T E < / D i s p l a y N a m e > < V i s i b l e > F a l s e < / V i s i b l e > < / i t e m > < / C a l c u l a t e d F i e l d s > < S A H o s t H a s h > 0 < / S A H o s t H a s h > < G e m i n i F i e l d L i s t V i s i b l e > T r u e < / G e m i n i F i e l d L i s t V i s i b l e > < / S e t t i n g s > ] ] > < / C u s t o m C o n t e n t > < / G e m i n i > 
</file>

<file path=customXml/item29.xml>��< ? x m l   v e r s i o n = " 1 . 0 "   e n c o d i n g = " U T F - 1 6 " ? > < G e m i n i   x m l n s = " h t t p : / / g e m i n i / p i v o t c u s t o m i z a t i o n / 8 e 3 6 6 c e 0 - 3 1 d e - 4 c e f - 9 9 4 2 - 7 0 9 7 f 2 9 6 8 2 9 2 " > < C u s t o m C o n t e n t > < ! [ C D A T A [ < ? x m l   v e r s i o n = " 1 . 0 "   e n c o d i n g = " u t f - 1 6 " ? > < S e t t i n g s > < C a l c u l a t e d F i e l d s > < i t e m > < M e a s u r e N a m e > Q t y   H e l d < / M e a s u r e N a m e > < D i s p l a y N a m e > Q t y   H e l d < / D i s p l a y N a m e > < V i s i b l e > F a l s e < / V i s i b l e > < / i t e m > < / C a l c u l a t e d F i e l d s > < S A H o s t H a s h > 0 < / S A H o s t H a s h > < G e m i n i F i e l d L i s t V i s i b l e > T r u e < / G e m i n i F i e l d L i s t V i s i b l e > < / S e t t i n g s > ] ] > < / C u s t o m C o n t e n t > < / G e m i n i > 
</file>

<file path=customXml/item3.xml>��< ? x m l   v e r s i o n = " 1 . 0 "   e n c o d i n g = " U T F - 1 6 " ? > < G e m i n i   x m l n s = " h t t p : / / g e m i n i / p i v o t c u s t o m i z a t i o n / T a b l e X M L _ A c c o u n t s " > < C u s t o m C o n t e n t > < ! [ C D A T A [ < T a b l e W i d g e t G r i d S e r i a l i z a t i o n   x m l n s : x s d = " h t t p : / / w w w . w 3 . o r g / 2 0 0 1 / X M L S c h e m a "   x m l n s : x s i = " h t t p : / / w w w . w 3 . o r g / 2 0 0 1 / X M L S c h e m a - i n s t a n c e " > < C o l u m n S u g g e s t e d T y p e   / > < C o l u m n F o r m a t   / > < C o l u m n A c c u r a c y   / > < C o l u m n C u r r e n c y S y m b o l   / > < C o l u m n P o s i t i v e P a t t e r n   / > < C o l u m n N e g a t i v e P a t t e r n   / > < C o l u m n W i d t h s > < i t e m > < k e y > < s t r i n g > A c c o u n t N a m e < / s t r i n g > < / k e y > < v a l u e > < i n t > 2 3 6 < / i n t > < / v a l u e > < / i t e m > < i t e m > < k e y > < s t r i n g > C u r r e n c y < / s t r i n g > < / k e y > < v a l u e > < i n t > 1 7 3 < / i n t > < / v a l u e > < / i t e m > < i t e m > < k e y > < s t r i n g > A c t i v e < / s t r i n g > < / k e y > < v a l u e > < i n t > 1 3 9 < / i n t > < / v a l u e > < / i t e m > < i t e m > < k e y > < s t r i n g > D e s c r i p t i o n < / s t r i n g > < / k e y > < v a l u e > < i n t > 2 0 3 < / i n t > < / v a l u e > < / i t e m > < i t e m > < k e y > < s t r i n g > B e n c h M a r k < / s t r i n g > < / k e y > < v a l u e > < i n t > 2 0 3 < / i n t > < / v a l u e > < / i t e m > < i t e m > < k e y > < s t r i n g > O p e n D a t e < / s t r i n g > < / k e y > < v a l u e > < i n t > 1 8 7 < / i n t > < / v a l u e > < / i t e m > < i t e m > < k e y > < s t r i n g > I D _ i n _ B r o k e r < / s t r i n g > < / k e y > < v a l u e > < i n t > 2 2 2 < / i n t > < / v a l u e > < / i t e m > < i t e m > < k e y > < s t r i n g > B r o k e r < / s t r i n g > < / k e y > < v a l u e > < i n t > 1 4 3 < / i n t > < / v a l u e > < / i t e m > < i t e m > < k e y > < s t r i n g > O w n e r < / s t r i n g > < / k e y > < v a l u e > < i n t > 1 4 5 < / i n t > < / v a l u e > < / i t e m > < / C o l u m n W i d t h s > < C o l u m n D i s p l a y I n d e x > < i t e m > < k e y > < s t r i n g > A c c o u n t N a m e < / s t r i n g > < / k e y > < v a l u e > < i n t > 7 < / i n t > < / v a l u e > < / i t e m > < i t e m > < k e y > < s t r i n g > C u r r e n c y < / s t r i n g > < / k e y > < v a l u e > < i n t > 0 < / i n t > < / v a l u e > < / i t e m > < i t e m > < k e y > < s t r i n g > A c t i v e < / s t r i n g > < / k e y > < v a l u e > < i n t > 1 < / i n t > < / v a l u e > < / i t e m > < i t e m > < k e y > < s t r i n g > D e s c r i p t i o n < / s t r i n g > < / k e y > < v a l u e > < i n t > 2 < / i n t > < / v a l u e > < / i t e m > < i t e m > < k e y > < s t r i n g > B e n c h M a r k < / s t r i n g > < / k e y > < v a l u e > < i n t > 3 < / i n t > < / v a l u e > < / i t e m > < i t e m > < k e y > < s t r i n g > O p e n D a t e < / s t r i n g > < / k e y > < v a l u e > < i n t > 4 < / i n t > < / v a l u e > < / i t e m > < i t e m > < k e y > < s t r i n g > I D _ i n _ B r o k e r < / s t r i n g > < / k e y > < v a l u e > < i n t > 8 < / i n t > < / v a l u e > < / i t e m > < i t e m > < k e y > < s t r i n g > B r o k e r < / s t r i n g > < / k e y > < v a l u e > < i n t > 5 < / i n t > < / v a l u e > < / i t e m > < i t e m > < k e y > < s t r i n g > O w n e r < / 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b 7 3 0 3 2 f a - 0 e 7 1 - 4 b c e - 9 1 e b - a 7 a e 1 3 e b 5 1 4 4 " > < C u s t o m C o n t e n t > < ! [ C D A T A [ < ? x m l   v e r s i o n = " 1 . 0 "   e n c o d i n g = " u t f - 1 6 " ? > < S e t t i n g s > < C a l c u l a t e d F i e l d s > < i t e m > < M e a s u r e N a m e > Q t y   H e l d < / M e a s u r e N a m e > < D i s p l a y N a m e > Q t y   H e l d < / D i s p l a y N a m e > < V i s i b l e > F a l s e < / V i s i b l e > < / i t e m > < i t e m > < M e a s u r e N a m e > R e a l i z e d   C a p t i a l   G a i n < / M e a s u r e N a m e > < D i s p l a y N a m e > R e a l i z e d   C a p t i a l   G a i n < / D i s p l a y N a m e > < V i s i b l e > F a l s e < / V i s i b l e > < / i t e m > < / C a l c u l a t e d F i e l d s > < S A H o s t H a s h > 0 < / S A H o s t H a s h > < G e m i n i F i e l d L i s t V i s i b l e > T r u e < / G e m i n i F i e l d L i s t V i s i b l e > < / S e t t i n g s > ] ] > < / C u s t o m C o n t e n t > < / G e m i n i > 
</file>

<file path=customXml/item31.xml>��< ? x m l   v e r s i o n = " 1 . 0 "   e n c o d i n g = " U T F - 1 6 " ? > < G e m i n i   x m l n s = " h t t p : / / g e m i n i / p i v o t c u s t o m i z a t i o n / 2 a b d 8 6 a 2 - 8 7 4 4 - 4 7 1 d - 8 5 7 4 - f a f 9 7 0 e b 6 3 0 a " > < C u s t o m C o n t e n t > < ! [ C D A T A [ < ? x m l   v e r s i o n = " 1 . 0 "   e n c o d i n g = " u t f - 1 6 " ? > < S e t t i n g s > < C a l c u l a t e d F i e l d s > < i t e m > < M e a s u r e N a m e > Q t y   H e l d < / M e a s u r e N a m e > < D i s p l a y N a m e > Q t y   H e l d < / D i s p l a y N a m e > < V i s i b l e > F a l s e < / V i s i b l e > < / i t e m > < i t e m > < M e a s u r e N a m e > R e a l i z e d   C a p t i a l   G a i n < / M e a s u r e N a m e > < D i s p l a y N a m e > R e a l i z e d   C a p t i a l   G a i n < / D i s p l a y N a m e > < V i s i b l e > F a l s e < / V i s i b l e > < / i t e m > < i t e m > < M e a s u r e N a m e > S y m b o l   P r i c e < / M e a s u r e N a m e > < D i s p l a y N a m e > S y m b o l   P r i c e < / D i s p l a y N a m e > < V i s i b l e > F a l s e < / V i s i b l e > < / i t e m > < i t e m > < M e a s u r e N a m e > E q u i t y   O r g M k V a l u e < / M e a s u r e N a m e > < D i s p l a y N a m e > E q u i t y   O r g M k V a l u e < / D i s p l a y N a m e > < V i s i b l e > F a l s e < / V i s i b l e > < / i t e m > < / C a l c u l a t e d F i e l d s > < S A H o s t H a s h > 0 < / S A H o s t H a s h > < G e m i n i F i e l d L i s t V i s i b l e > T r u e < / G e m i n i F i e l d L i s t V i s i b l e > < / S e t t i n g s > ] ] > < / C u s t o m C o n t e n t > < / G e m i n i > 
</file>

<file path=customXml/item32.xml>��< ? x m l   v e r s i o n = " 1 . 0 "   e n c o d i n g = " U T F - 1 6 " ? > < G e m i n i   x m l n s = " h t t p : / / g e m i n i / p i v o t c u s t o m i z a t i o n / 5 3 8 e 1 3 f 7 - 8 0 4 5 - 4 5 2 2 - 8 2 b f - 6 d 5 3 7 5 4 0 c e 3 4 " > < C u s t o m C o n t e n t > < ! [ C D A T A [ < ? x m l   v e r s i o n = " 1 . 0 "   e n c o d i n g = " u t f - 1 6 " ? > < S e t t i n g s > < C a l c u l a t e d F i e l d s > < i t e m > < M e a s u r e N a m e > S y m b o l   P r i c e   W h i c h   H e l d < / M e a s u r e N a m e > < D i s p l a y N a m e > S y m b o l   P r i c e   W h i c h   H e l d < / D i s p l a y N a m e > < V i s i b l e > F a l s e < / V i s i b l e > < / i t e m > < i t e m > < M e a s u r e N a m e > E q u i t y   V a l u e ( O r i g ) < / M e a s u r e N a m e > < D i s p l a y N a m e > E q u i t y   V a l u e ( O r i g ) < / D i s p l a y N a m e > < V i s i b l e > F a l s e < / V i s i b l e > < / i t e m > < i t e m > < M e a s u r e N a m e > f x r a t e _ t o B a s e C u r r e n c y < / M e a s u r e N a m e > < D i s p l a y N a m e > f x r a t e _ t o B a s e C u r r e n c y < / D i s p l a y N a m e > < V i s i b l e > F a l s e < / V i s i b l e > < / i t e m > < i t e m > < M e a s u r e N a m e > E V   O f   B a s e C u r r e n c y < / M e a s u r e N a m e > < D i s p l a y N a m e > E V   O f   B a s e C u r r e n c y < / D i s p l a y N a m e > < V i s i b l e > F a l s e < / V i s i b l e > < / i t e m > < i t e m > < M e a s u r e N a m e > Q t y   H e l d < / M e a s u r e N a m e > < D i s p l a y N a m e > Q t y   H e l d < / D i s p l a y N a m e > < V i s i b l e > F a l s e < / V i s i b l e > < / i t e m > < i t e m > < M e a s u r e N a m e > C a s h   B a l a n c e ( O r i g ) < / M e a s u r e N a m e > < D i s p l a y N a m e > C a s h   B a l a n c e ( O r i g ) < / D i s p l a y N a m e > < V i s i b l e > F a l s e < / V i s i b l e > < / i t e m > < i t e m > < M e a s u r e N a m e > C a s h   B a l a n c e   o n   B a s e C u r r e n c y < / M e a s u r e N a m e > < D i s p l a y N a m e > C a s h   B a l a n c e   o n   B a s e C u r r e n c y < / D i s p l a y N a m e > < V i s i b l e > F a l s e < / V i s i b l e > < / i t e m > < i t e m > < M e a s u r e N a m e > R p t C u r r e n c y < / M e a s u r e N a m e > < D i s p l a y N a m e > R p t C u r r e n c y < / D i s p l a y N a m e > < V i s i b l e > F a l s e < / V i s i b l e > < / i t e m > < i t e m > < M e a s u r e N a m e > T o t a l   V a l u e   o n   B a s e C u r r e n c y < / M e a s u r e N a m e > < D i s p l a y N a m e > T o t a l   V a l u e   o n   B a s e C u r r e n c y < / D i s p l a y N a m e > < V i s i b l e > F a l s e < / V i s i b l e > < / i t e m > < i t e m > < M e a s u r e N a m e > f x r a t e _ t o R p t C u r r e n c y < / M e a s u r e N a m e > < D i s p l a y N a m e > f x r a t e _ t o R p t C u r r e n c y < / D i s p l a y N a m e > < V i s i b l e > F a l s e < / V i s i b l e > < / i t e m > < i t e m > < M e a s u r e N a m e > E q u i t y   V a l u e < / M e a s u r e N a m e > < D i s p l a y N a m e > E q u i t y   V a l u e < / D i s p l a y N a m e > < V i s i b l e > F a l s e < / V i s i b l e > < / i t e m > < i t e m > < M e a s u r e N a m e > C a s h   B a l a n c e < / M e a s u r e N a m e > < D i s p l a y N a m e > C a s h   B a l a n c e < / D i s p l a y N a m e > < V i s i b l e > F a l s e < / V i s i b l e > < / i t e m > < i t e m > < M e a s u r e N a m e > T o t a l   V a l u e < / M e a s u r e N a m e > < D i s p l a y N a m e > T o t a l   V a l u e < / D i s p l a y N a m e > < V i s i b l e > F a l s e < / V i s i b l e > < / i t e m > < i t e m > < M e a s u r e N a m e > M a r g i n C a s h   B a l a n c e < / M e a s u r e N a m e > < D i s p l a y N a m e > M a r g i n C a s h   B a l a n c e < / D i s p l a y N a m e > < V i s i b l e > F a l s e < / V i s i b l e > < / i t e m > < i t e m > < M e a s u r e N a m e > M a r g i n C a s h   B a l a n c e ( O r i g ) < / M e a s u r e N a m e > < D i s p l a y N a m e > M a r g i n C a s h   B a l a n c e ( O r i g ) < / D i s p l a y N a m e > < V i s i b l e > F a l s e < / V i s i b l e > < / i t e m > < i t e m > < M e a s u r e N a m e > M a r g i n C a s h   B a l a n c e   o n   B a s e C u r r e n c y < / M e a s u r e N a m e > < D i s p l a y N a m e > M a r g i n C a s h   B a l a n c e   o n   B a s e C u r r e n c y < / D i s p l a y N a m e > < V i s i b l e > F a l s e < / V i s i b l e > < / i t e m > < i t e m > < M e a s u r e N a m e > S t a r t   V a l u e < / M e a s u r e N a m e > < D i s p l a y N a m e > S t a r t   V a l u e < / D i s p l a y N a m e > < V i s i b l e > F a l s e < / V i s i b l e > < / i t e m > < i t e m > < M e a s u r e N a m e > E q u i t y   S t a r t   V a l u e < / M e a s u r e N a m e > < D i s p l a y N a m e > E q u i t y   S t a r t   V a l u e < / D i s p l a y N a m e > < V i s i b l e > F a l s e < / V i s i b l e > < / i t e m > < i t e m > < M e a s u r e N a m e > S t a r t D a t e < / M e a s u r e N a m e > < D i s p l a y N a m e > S t a r t D a t e < / D i s p l a y N a m e > < V i s i b l e > F a l s e < / V i s i b l e > < / i t e m > < i t e m > < M e a s u r e N a m e > L a s t D a t e < / M e a s u r e N a m e > < D i s p l a y N a m e > L a s t D a t e < / D i s p l a y N a m e > < V i s i b l e > F a l s e < / V i s i b l e > < / i t e m > < i t e m > < M e a s u r e N a m e > f x r a t e _ u n i v < / M e a s u r e N a m e > < D i s p l a y N a m e > f x r a t e _ u n i v < / D i s p l a y N a m e > < V i s i b l e > F a l s e < / V i s i b l e > < / i t e m > < / C a l c u l a t e d F i e l d s > < S A H o s t H a s h > 0 < / S A H o s t H a s h > < G e m i n i F i e l d L i s t V i s i b l e > T r u e < / G e m i n i F i e l d L i s t V i s i b l e > < / S e t t i n g s > ] ] > < / C u s t o m C o n t e n t > < / G e m i n i > 
</file>

<file path=customXml/item33.xml>��< ? x m l   v e r s i o n = " 1 . 0 "   e n c o d i n g = " U T F - 1 6 " ? > < G e m i n i   x m l n s = " h t t p : / / g e m i n i / p i v o t c u s t o m i z a t i o n / 6 7 a e 1 4 e 3 - b 4 a 4 - 4 5 a c - b 2 0 4 - 2 9 f 3 c 5 f b 2 6 4 7 " > < C u s t o m C o n t e n t > < ! [ C D A T A [ < ? x m l   v e r s i o n = " 1 . 0 "   e n c o d i n g = " u t f - 1 6 " ? > < S e t t i n g s > < C a l c u l a t e d F i e l d s > < i t e m > < M e a s u r e N a m e > Q t y   H e l d < / M e a s u r e N a m e > < D i s p l a y N a m e > Q t y   H e l d < / D i s p l a y N a m e > < V i s i b l e > F a l s e < / V i s i b l e > < / i t e m > < i t e m > < M e a s u r e N a m e > S y m b o l   P r i c e < / M e a s u r e N a m e > < D i s p l a y N a m e > S y m b o l   P r i c e < / D i s p l a y N a m e > < V i s i b l e > F a l s e < / V i s i b l e > < / i t e m > < i t e m > < M e a s u r e N a m e > E q u i t y   V a l u e < / M e a s u r e N a m e > < D i s p l a y N a m e > E q u i t y   V a l u e < / D i s p l a y N a m e > < V i s i b l e > F a l s e < / V i s i b l e > < / i t e m > < i t e m > < M e a s u r e N a m e > f x r a t e _ t o B a s e C u r r e n c y < / M e a s u r e N a m e > < D i s p l a y N a m e > f x r a t e _ t o B a s e C u r r e n c y < / D i s p l a y N a m e > < V i s i b l e > F a l s e < / V i s i b l e > < / i t e m > < i t e m > < M e a s u r e N a m e > N o B a s e C a s h   B a l a n c e < / M e a s u r e N a m e > < D i s p l a y N a m e > N o B a s e C a s h   B a l a n c e < / D i s p l a y N a m e > < V i s i b l e > F a l s e < / V i s i b l e > < / i t e m > < / C a l c u l a t e d F i e l d s > < S A H o s t H a s h > 0 < / S A H o s t H a s h > < G e m i n i F i e l d L i s t V i s i b l e > T r u e < / G e m i n i F i e l d L i s t V i s i b l e > < / S e t t i n g s > ] ] > < / C u s t o m C o n t e n t > < / G e m i n i > 
</file>

<file path=customXml/item34.xml>��< ? x m l   v e r s i o n = " 1 . 0 "   e n c o d i n g = " U T F - 1 6 " ? > < G e m i n i   x m l n s = " h t t p : / / g e m i n i / p i v o t c u s t o m i z a t i o n / T a b l e X M L _ A s s e s t C l a s s e s " > < C u s t o m C o n t e n t > < ! [ C D A T A [ < T a b l e W i d g e t G r i d S e r i a l i z a t i o n   x m l n s : x s d = " h t t p : / / w w w . w 3 . o r g / 2 0 0 1 / X M L S c h e m a "   x m l n s : x s i = " h t t p : / / w w w . w 3 . o r g / 2 0 0 1 / X M L S c h e m a - i n s t a n c e " > < C o l u m n S u g g e s t e d T y p e   / > < C o l u m n F o r m a t   / > < C o l u m n A c c u r a c y   / > < C o l u m n C u r r e n c y S y m b o l   / > < C o l u m n P o s i t i v e P a t t e r n   / > < C o l u m n N e g a t i v e P a t t e r n   / > < C o l u m n W i d t h s > < i t e m > < k e y > < s t r i n g > A s s e s t C l a s s e s < / s t r i n g > < / k e y > < v a l u e > < i n t > 2 2 9 < / i n t > < / v a l u e > < / i t e m > < / C o l u m n W i d t h s > < C o l u m n D i s p l a y I n d e x > < i t e m > < k e y > < s t r i n g > A s s e s t C l a s s e s < / s t r i n g > < / k e y > < v a l u e > < i n t > 0 < / 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3 6 6 f f 5 2 a - 1 6 4 2 - 4 7 2 7 - 9 0 6 0 - 3 a 1 a e 6 1 1 4 0 7 3 " > < C u s t o m C o n t e n t > < ! [ C D A T A [ < ? x m l   v e r s i o n = " 1 . 0 "   e n c o d i n g = " u t f - 1 6 " ? > < S e t t i n g s > < C a l c u l a t e d F i e l d s > < i t e m > < M e a s u r e N a m e > S y m b o l   P r i c e   W h i c h   H e l d < / M e a s u r e N a m e > < D i s p l a y N a m e > S y m b o l   P r i c e   W h i c h   H e l d < / D i s p l a y N a m e > < V i s i b l e > F a l s e < / V i s i b l e > < / i t e m > < i t e m > < M e a s u r e N a m e > E q u i t y   V a l u e < / M e a s u r e N a m e > < D i s p l a y N a m e > E q u i t y   V a l u e < / D i s p l a y N a m e > < V i s i b l e > F a l s e < / V i s i b l e > < / i t e m > < i t e m > < M e a s u r e N a m e > f x r a t e _ t o B a s e C u r r e n c y < / M e a s u r e N a m e > < D i s p l a y N a m e > f x r a t e _ t o B a s e C u r r e n c y < / D i s p l a y N a m e > < V i s i b l e > F a l s e < / V i s i b l e > < / i t e m > < i t e m > < M e a s u r e N a m e > Q t y   H e l d < / M e a s u r e N a m e > < D i s p l a y N a m e > Q t y   H e l d < / D i s p l a y N a m e > < V i s i b l e > F a l s e < / V i s i b l e > < / i t e m > < i t e m > < M e a s u r e N a m e > R p t C u r r e n c y < / M e a s u r e N a m e > < D i s p l a y N a m e > R p t C u r r e n c y < / D i s p l a y N a m e > < V i s i b l e > F a l s e < / V i s i b l e > < / i t e m > < i t e m > < M e a s u r e N a m e > f x r a t e _ t o R p t C u r r e n c y < / M e a s u r e N a m e > < D i s p l a y N a m e > f x r a t e _ t o R p t C u r r e n c y < / D i s p l a y N a m e > < V i s i b l e > F a l s e < / V i s i b l e > < / i t e m > < i t e m > < M e a s u r e N a m e > E q u i t y   V a l u e ( O r i g ) < / M e a s u r e N a m e > < D i s p l a y N a m e > E q u i t y   V a l u e ( O r i g ) < / D i s p l a y N a m e > < V i s i b l e > F a l s e < / V i s i b l e > < / i t e m > < i t e m > < M e a s u r e N a m e > C a s h   B a l a n c e < / M e a s u r e N a m e > < D i s p l a y N a m e > C a s h   B a l a n c e < / D i s p l a y N a m e > < V i s i b l e > F a l s e < / V i s i b l e > < / i t e m > < i t e m > < M e a s u r e N a m e > T o t a l   V a l u e < / M e a s u r e N a m e > < D i s p l a y N a m e > T o t a l   V a l u e < / D i s p l a y N a m e > < V i s i b l e > F a l s e < / V i s i b l e > < / i t e m > < i t e m > < M e a s u r e N a m e > M a r g i n C a s h   B a l a n c e < / M e a s u r e N a m e > < D i s p l a y N a m e > M a r g i n C a s h   B a l a n c e < / D i s p l a y N a m e > < V i s i b l e > F a l s e < / V i s i b l e > < / i t e m > < i t e m > < M e a s u r e N a m e > S t a r t   V a l u e < / M e a s u r e N a m e > < D i s p l a y N a m e > S t a r t   V a l u e < / D i s p l a y N a m e > < V i s i b l e > F a l s e < / V i s i b l e > < / i t e m > < i t e m > < M e a s u r e N a m e > E q u i t y   S t a r t   V a l u e < / M e a s u r e N a m e > < D i s p l a y N a m e > E q u i t y   S t a r t   V a l u e < / D i s p l a y N a m e > < V i s i b l e > F a l s e < / V i s i b l e > < / i t e m > < i t e m > < M e a s u r e N a m e > f x r a t e _ u n i v < / M e a s u r e N a m e > < D i s p l a y N a m e > f x r a t e _ u n i v < / D i s p l a y N a m e > < V i s i b l e > F a l s e < / V i s i b l e > < / i t e m > < i t e m > < M e a s u r e N a m e > E q u i t y   V a l u e   o n   B a s e C u r r e n c y < / M e a s u r e N a m e > < D i s p l a y N a m e > E q u i t y   V a l u e   o n   B a s e C u r r e n c y < / D i s p l a y N a m e > < V i s i b l e > F a l s e < / V i s i b l e > < / i t e m > < i t e m > < M e a s u r e N a m e > h a s o n e s y m b o l < / M e a s u r e N a m e > < D i s p l a y N a m e > h a s o n e s y m b o l < / D i s p l a y N a m e > < V i s i b l e > F a l s e < / V i s i b l e > < / i t e m > < i t e m > < M e a s u r e N a m e > h a s o n e c u r r e n c y < / M e a s u r e N a m e > < D i s p l a y N a m e > h a s o n e c u r r e n c y < / D i s p l a y N a m e > < V i s i b l e > F a l s e < / V i s i b l e > < / i t e m > < i t e m > < M e a s u r e N a m e > C o s t B a s i s ( O r i g ) < / M e a s u r e N a m e > < D i s p l a y N a m e > C o s t B a s i s ( O r i g ) < / D i s p l a y N a m e > < V i s i b l e > F a l s e < / V i s i b l e > < / i t e m > < i t e m > < M e a s u r e N a m e > C o s t B a s i s   o f   B a s e C u r r e n c y < / M e a s u r e N a m e > < D i s p l a y N a m e > C o s t B a s i s   o f   B a s e C u r r e n c y < / D i s p l a y N a m e > < V i s i b l e > F a l s e < / V i s i b l e > < / i t e m > < i t e m > < M e a s u r e N a m e > C o s t B a s i s ( m e a n ) < / M e a s u r e N a m e > < D i s p l a y N a m e > C o s t B a s i s ( m e a n ) < / D i s p l a y N a m e > < V i s i b l e > F a l s e < / V i s i b l e > < / i t e m > < i t e m > < M e a s u r e N a m e > C o s t   B a s i s < / M e a s u r e N a m e > < D i s p l a y N a m e > C o s t   B a s i s < / D i s p l a y N a m e > < V i s i b l e > F a l s e < / V i s i b l e > < / i t e m > < i t e m > < M e a s u r e N a m e > o n e s y m b o l c u r r e n c y < / M e a s u r e N a m e > < D i s p l a y N a m e > o n e s y m b o l c u r r e n c y < / D i s p l a y N a m e > < V i s i b l e > F a l s e < / V i s i b l e > < / i t e m > < i t e m > < M e a s u r e N a m e > A v g   C o s t   P r i c e < / M e a s u r e N a m e > < D i s p l a y N a m e > A v g   C o s t   P r i c e < / D i s p l a y N a m e > < V i s i b l e > F a l s e < / V i s i b l e > < / i t e m > < i t e m > < M e a s u r e N a m e > D e p o s i t s ( o r i g ) < / M e a s u r e N a m e > < D i s p l a y N a m e > D e p o s i t s ( o r i g ) < / D i s p l a y N a m e > < V i s i b l e > F a l s e < / V i s i b l e > < / i t e m > < / C a l c u l a t e d F i e l d s > < S A H o s t H a s h > 0 < / S A H o s t H a s h > < G e m i n i F i e l d L i s t V i s i b l e > T r u e < / G e m i n i F i e l d L i s t V i s i b l e > < / S e t t i n g s > ] ] > < / C u s t o m C o n t e n t > < / G e m i n i > 
</file>

<file path=customXml/item36.xml>��< ? x m l   v e r s i o n = " 1 . 0 "   e n c o d i n g = " U T F - 1 6 " ? > < G e m i n i   x m l n s = " h t t p : / / g e m i n i / p i v o t c u s t o m i z a t i o n / 2 a 5 1 8 8 2 3 - 8 3 b 3 - 4 6 b 0 - b 3 0 b - 0 6 1 1 e 3 e 2 7 8 0 0 " > < C u s t o m C o n t e n t > < ! [ C D A T A [ < ? x m l   v e r s i o n = " 1 . 0 "   e n c o d i n g = " u t f - 1 6 " ? > < S e t t i n g s > < C a l c u l a t e d F i e l d s > < i t e m > < M e a s u r e N a m e > S y m b o l   P r i c e   W h i c h   H e l d < / M e a s u r e N a m e > < D i s p l a y N a m e > S y m b o l   P r i c e   W h i c h   H e l d < / D i s p l a y N a m e > < V i s i b l e > F a l s e < / V i s i b l e > < / i t e m > < i t e m > < M e a s u r e N a m e > E q u i t y   V a l u e ( O r i g ) < / M e a s u r e N a m e > < D i s p l a y N a m e > E q u i t y   V a l u e ( O r i g ) < / D i s p l a y N a m e > < V i s i b l e > F a l s e < / V i s i b l e > < / i t e m > < i t e m > < M e a s u r e N a m e > f x r a t e _ t o B a s e C u r r e n c y < / M e a s u r e N a m e > < D i s p l a y N a m e > f x r a t e _ t o B a s e C u r r e n c y < / D i s p l a y N a m e > < V i s i b l e > F a l s e < / V i s i b l e > < / i t e m > < i t e m > < M e a s u r e N a m e > Q t y   H e l d < / M e a s u r e N a m e > < D i s p l a y N a m e > Q t y   H e l d < / D i s p l a y N a m e > < V i s i b l e > F a l s e < / V i s i b l e > < / i t e m > < i t e m > < M e a s u r e N a m e > R p t C u r r e n c y < / M e a s u r e N a m e > < D i s p l a y N a m e > R p t C u r r e n c y < / D i s p l a y N a m e > < V i s i b l e > F a l s e < / V i s i b l e > < / i t e m > < i t e m > < M e a s u r e N a m e > f x r a t e _ t o R p t C u r r e n c y < / M e a s u r e N a m e > < D i s p l a y N a m e > f x r a t e _ t o R p t C u r r e n c y < / D i s p l a y N a m e > < V i s i b l e > F a l s e < / V i s i b l e > < / i t e m > < i t e m > < M e a s u r e N a m e > E q u i t y   V a l u e < / M e a s u r e N a m e > < D i s p l a y N a m e > E q u i t y   V a l u e < / D i s p l a y N a m e > < V i s i b l e > F a l s e < / V i s i b l e > < / i t e m > < i t e m > < M e a s u r e N a m e > C a s h   B a l a n c e < / M e a s u r e N a m e > < D i s p l a y N a m e > C a s h   B a l a n c e < / D i s p l a y N a m e > < V i s i b l e > F a l s e < / V i s i b l e > < / i t e m > < i t e m > < M e a s u r e N a m e > T o t a l   V a l u e < / M e a s u r e N a m e > < D i s p l a y N a m e > T o t a l   V a l u e < / D i s p l a y N a m e > < V i s i b l e > F a l s e < / V i s i b l e > < / i t e m > < i t e m > < M e a s u r e N a m e > M a r g i n C a s h   B a l a n c e < / M e a s u r e N a m e > < D i s p l a y N a m e > M a r g i n C a s h   B a l a n c e < / D i s p l a y N a m e > < V i s i b l e > F a l s e < / V i s i b l e > < / i t e m > < i t e m > < M e a s u r e N a m e > S t a r t   V a l u e < / M e a s u r e N a m e > < D i s p l a y N a m e > S t a r t   V a l u e < / D i s p l a y N a m e > < V i s i b l e > F a l s e < / V i s i b l e > < / i t e m > < i t e m > < M e a s u r e N a m e > E q u i t y   S t a r t   V a l u e < / M e a s u r e N a m e > < D i s p l a y N a m e > E q u i t y   S t a r t   V a l u e < / D i s p l a y N a m e > < V i s i b l e > F a l s e < / V i s i b l e > < / i t e m > < i t e m > < M e a s u r e N a m e > E q u i t y   V a l u e   o n   B a s e C u r r e n c y < / M e a s u r e N a m e > < D i s p l a y N a m e > E q u i t y   V a l u e   o n   B a s e C u r r e n c y < / D i s p l a y N a m e > < V i s i b l e > F a l s e < / V i s i b l e > < / i t e m > < i t e m > < M e a s u r e N a m e > f x r a t e _ u n i v < / M e a s u r e N a m e > < D i s p l a y N a m e > f x r a t e _ u n i v < / D i s p l a y N a m e > < V i s i b l e > F a l s e < / V i s i b l e > < / i t e m > < i t e m > < M e a s u r e N a m e > h a s o n e s y m b o l < / M e a s u r e N a m e > < D i s p l a y N a m e > h a s o n e s y m b o l < / D i s p l a y N a m e > < V i s i b l e > F a l s e < / V i s i b l e > < / i t e m > < i t e m > < M e a s u r e N a m e > h a s o n e c u r r e n c y < / M e a s u r e N a m e > < D i s p l a y N a m e > h a s o n e c u r r e n c y < / D i s p l a y N a m e > < V i s i b l e > F a l s e < / V i s i b l e > < / i t e m > < i t e m > < M e a s u r e N a m e > C o s t B a s i s ( O r i g ) < / M e a s u r e N a m e > < D i s p l a y N a m e > C o s t B a s i s ( O r i g ) < / D i s p l a y N a m e > < V i s i b l e > F a l s e < / V i s i b l e > < / i t e m > < i t e m > < M e a s u r e N a m e > C o s t B a s i s   o f   B a s e C u r r e n c y < / M e a s u r e N a m e > < D i s p l a y N a m e > C o s t B a s i s   o f   B a s e C u r r e n c y < / D i s p l a y N a m e > < V i s i b l e > F a l s e < / V i s i b l e > < / i t e m > < i t e m > < M e a s u r e N a m e > C o s t B a s i s ( m e a n ) < / M e a s u r e N a m e > < D i s p l a y N a m e > C o s t B a s i s ( m e a n ) < / D i s p l a y N a m e > < V i s i b l e > F a l s e < / V i s i b l e > < / i t e m > < i t e m > < M e a s u r e N a m e > C o s t   B a s i s < / M e a s u r e N a m e > < D i s p l a y N a m e > C o s t   B a s i s < / D i s p l a y N a m e > < V i s i b l e > F a l s e < / V i s i b l e > < / i t e m > < / C a l c u l a t e d F i e l d s > < S A H o s t H a s h > 0 < / S A H o s t H a s h > < G e m i n i F i e l d L i s t V i s i b l e > T r u e < / G e m i n i F i e l d L i s t V i s i b l e > < / S e t t i n g s > ] ] > < / C u s t o m C o n t e n t > < / G e m i n i > 
</file>

<file path=customXml/item37.xml>��< ? x m l   v e r s i o n = " 1 . 0 "   e n c o d i n g = " U T F - 1 6 " ? > < G e m i n i   x m l n s = " h t t p : / / g e m i n i / p i v o t c u s t o m i z a t i o n / 9 0 9 c 7 c 5 e - 1 3 6 0 - 4 b 3 e - b 5 d 8 - 5 4 5 a 6 9 5 d 5 7 8 5 " > < C u s t o m C o n t e n t > < ! [ C D A T A [ < ? x m l   v e r s i o n = " 1 . 0 "   e n c o d i n g = " u t f - 1 6 " ? > < S e t t i n g s > < C a l c u l a t e d F i e l d s > < i t e m > < M e a s u r e N a m e > Q t y   H e l d < / M e a s u r e N a m e > < D i s p l a y N a m e > Q t y   H e l d < / D i s p l a y N a m e > < V i s i b l e > F a l s e < / V i s i b l e > < / i t e m > < / C a l c u l a t e d F i e l d s > < S A H o s t H a s h > 0 < / S A H o s t H a s h > < G e m i n i F i e l d L i s t V i s i b l e > T r u e < / G e m i n i F i e l d L i s t V i s i b l e > < / S e t t i n g s > ] ] > < / C u s t o m C o n t e n t > < / G e m i n i > 
</file>

<file path=customXml/item3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 R e p o r t C u r r e n c y 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 R e p o r t C u r r e n c y 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 C o l u m n s \ R e p o r t C u r r e n c y < / K e y > < / a : K e y > < a : V a l u e   i : t y p e = " T a b l e W i d g e t B a s e V i e w S t a t e " / > < / a : K e y V a l u e O f D i a g r a m O b j e c t K e y a n y T y p e z b w N T n L X > < a : K e y V a l u e O f D i a g r a m O b j e c t K e y a n y T y p e z b w N T n L X > < a : K e y > < K e y > C o l u m n s \ I s D e f a u l t 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 C u r r e n c y s B a c k u p 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 C u r r e n c y s B a c k u p 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 C o l u m n s \ S i g n 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 f x r a t e s 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 f x r a t e s 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9.xml>��< ? x m l   v e r s i o n = " 1 . 0 "   e n c o d i n g = " u t f - 1 6 " ? > < D a t a M a s h u p   s q m i d = " d 1 e 7 4 f a 0 - 2 a c e - 4 8 f 8 - 9 3 3 4 - d 5 c 9 7 4 a 8 6 b 0 c "   x m l n s = " h t t p : / / s c h e m a s . m i c r o s o f t . c o m / D a t a M a s h u p " > A A A A A B Y D A A B Q S w M E F A A C A A g A R 2 i Y T P 3 p k a 6 m A A A A + Q A A A B I A H A B D b 2 5 m a W c v U G F j a 2 F n Z S 5 4 b W w g o h g A K K A U A A A A A A A A A A A A A A A A A A A A A A A A A A A A h Y / B C o I w H I d f R X Z 3 m x M j 5 O 8 k v C Y E Q X Q d c + l I Z 7 j Z f L c O P V K v k F B W t 4 6 / j + / w / R 6 3 O + R T 1 w Z X N V j d m w x F m K J A G d l X 2 t Q Z G t 0 p X K O c w 0 7 I s 6 h V M M v G p p O t M t Q 4 d 0 k J 8 d 5 j H + N + q A m j N C L H c r u X j e o E + s j 6 v x x q Y 5 0 w U i E O h 1 c M Z z h Z 4 Y S y G E c R Z U A W D q U 2 X 4 f N y Z g C + Y F Q j K 0 b B 8 W V C Y s N k G U C e d / g T 1 B L A w Q U A A I A C A B H a J h 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2 i Y T C i K R 7 g O A A A A E Q A A A B M A H A B G b 3 J t d W x h c y 9 T Z W N 0 a W 9 u M S 5 t I K I Y A C i g F A A A A A A A A A A A A A A A A A A A A A A A A A A A A C t O T S 7 J z M 9 T C I b Q h t Y A U E s B A i 0 A F A A C A A g A R 2 i Y T P 3 p k a 6 m A A A A + Q A A A B I A A A A A A A A A A A A A A A A A A A A A A E N v b m Z p Z y 9 Q Y W N r Y W d l L n h t b F B L A Q I t A B Q A A g A I A E d o m E w P y u m r p A A A A O k A A A A T A A A A A A A A A A A A A A A A A P I A A A B b Q 2 9 u d G V u d F 9 U e X B l c 1 0 u e G 1 s U E s B A i 0 A F A A C A A g A R 2 i Y T 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n 7 3 S o B p A l E h Q 2 O 9 L u u s A A A A A A g A A A A A A E G Y A A A A B A A A g A A A A c j M l E V Y e M n f v 4 O h a / 8 i 5 K O n i s h z 5 w y q / y Q V f 0 1 7 g 4 Z 8 A A A A A D o A A A A A C A A A g A A A A k K A M + 7 6 P 0 8 4 W y t H t t M T + o e m B C g B g a k N v u / P v r a g c k J Z Q A A A A + 3 / u e P i Y 2 f D p O e K k G a 3 6 P T H v Y l / J 0 D x V / o u 8 t o m W + / C h a F o g I q T x V X C R K f C E J c x Z r F q R S v I M 4 5 A Z j w y j z o e E 6 a u M o i J + Z 4 H 3 i w f 4 0 R n T g I 5 A A A A A 2 8 0 d n 8 h R o 1 + o + D s p e S Z j g k 3 Z / L 1 r N E i F 3 8 o z 1 d V W v m l 3 9 V p d C o n U R 7 z B W C N M w T U N C T Y g y b X z K z 9 T q 2 8 r f N t X G w = = < / D a t a M a s h u p > 
</file>

<file path=customXml/item4.xml>��< ? x m l   v e r s i o n = " 1 . 0 "   e n c o d i n g = " U T F - 1 6 " ? > < G e m i n i   x m l n s = " h t t p : / / g e m i n i / p i v o t c u s t o m i z a t i o n / F o r m u l a B a r S t a t e " > < C u s t o m C o n t e n t > < ! [ C D A T A [ < S a n d b o x E d i t o r . F o r m u l a B a r S t a t e   x m l n s = " h t t p : / / s c h e m a s . d a t a c o n t r a c t . o r g / 2 0 0 4 / 0 7 / M i c r o s o f t . A n a l y s i s S e r v i c e s . C o m m o n "   x m l n s : i = " h t t p : / / w w w . w 3 . o r g / 2 0 0 1 / X M L S c h e m a - i n s t a n c e " > < H e i g h t > 5 2 0 < / H e i g h t > < / S a n d b o x E d i t o r . F o r m u l a B a r S t a t e > ] ] > < / C u s t o m C o n t e n t > < / G e m i n i > 
</file>

<file path=customXml/item5.xml>��< ? x m l   v e r s i o n = " 1 . 0 "   e n c o d i n g = " U T F - 1 6 " ? > < G e m i n i   x m l n s = " h t t p : / / g e m i n i / p i v o t c u s t o m i z a t i o n / c a c f 0 3 4 e - b f b f - 4 f 1 7 - 8 3 d 6 - 7 7 c d 7 c 1 5 a 6 f 6 " > < C u s t o m C o n t e n t > < ! [ C D A T A [ < ? x m l   v e r s i o n = " 1 . 0 "   e n c o d i n g = " u t f - 1 6 " ? > < S e t t i n g s > < C a l c u l a t e d F i e l d s > < i t e m > < M e a s u r e N a m e > Q t y   H e l d < / M e a s u r e N a m e > < D i s p l a y N a m e > Q t y   H e l d < / D i s p l a y N a m e > < V i s i b l e > F a l s e < / V i s i b l e > < / i t e m > < i t e m > < M e a s u r e N a m e > R e a l i z e d   C a p t i a l   G a i n < / M e a s u r e N a m e > < D i s p l a y N a m e > R e a l i z e d   C a p t i a l   G a i n < / D i s p l a y N a m e > < V i s i b l e > F a l s e < / V i s i b l e > < / i t e m > < / C a l c u l a t e d F i e l d s > < S A H o s t H a s h > 0 < / S A H o s t H a s h > < G e m i n i F i e l d L i s t V i s i b l e > T r u e < / G e m i n i F i e l d L i s t V i s i b l e > < / S e t t i n g s > ] ] > < / C u s t o m C o n t e n t > < / G e m i n i > 
</file>

<file path=customXml/item6.xml>��< ? x m l   v e r s i o n = " 1 . 0 "   e n c o d i n g = " U T F - 1 6 " ? > < G e m i n i   x m l n s = " h t t p : / / g e m i n i / p i v o t c u s t o m i z a t i o n / T a b l e X M L _ C u r r e n c y s " > < C u s t o m C o n t e n t > < ! [ C D A T A [ < T a b l e W i d g e t G r i d S e r i a l i z a t i o n   x m l n s : x s d = " h t t p : / / w w w . w 3 . o r g / 2 0 0 1 / X M L S c h e m a "   x m l n s : x s i = " h t t p : / / w w w . w 3 . o r g / 2 0 0 1 / X M L S c h e m a - i n s t a n c e " > < C o l u m n S u g g e s t e d T y p e   / > < C o l u m n F o r m a t   / > < C o l u m n A c c u r a c y   / > < C o l u m n C u r r e n c y S y m b o l   / > < C o l u m n P o s i t i v e P a t t e r n   / > < C o l u m n N e g a t i v e P a t t e r n   / > < C o l u m n W i d t h s > < i t e m > < k e y > < s t r i n g > C o d e < / s t r i n g > < / k e y > < v a l u e > < i n t > 1 2 6 < / i n t > < / v a l u e > < / i t e m > < i t e m > < k e y > < s t r i n g > D e s c r i p t i o n < / s t r i n g > < / k e y > < v a l u e > < i n t > 2 0 3 < / i n t > < / v a l u e > < / i t e m > < i t e m > < k e y > < s t r i n g > S i g n < / s t r i n g > < / k e y > < v a l u e > < i n t > 1 1 4 < / i n t > < / v a l u e > < / i t e m > < / C o l u m n W i d t h s > < C o l u m n D i s p l a y I n d e x > < i t e m > < k e y > < s t r i n g > C o d e < / s t r i n g > < / k e y > < v a l u e > < i n t > 0 < / i n t > < / v a l u e > < / i t e m > < i t e m > < k e y > < s t r i n g > D e s c r i p t i o n < / s t r i n g > < / k e y > < v a l u e > < i n t > 1 < / i n t > < / v a l u e > < / i t e m > < i t e m > < k e y > < s t r i n g > S i g n < / 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r r e n c y s B a c k u p " > < C u s t o m C o n t e n t > < ! [ C D A T A [ < T a b l e W i d g e t G r i d S e r i a l i z a t i o n   x m l n s : x s d = " h t t p : / / w w w . w 3 . o r g / 2 0 0 1 / X M L S c h e m a "   x m l n s : x s i = " h t t p : / / w w w . w 3 . o r g / 2 0 0 1 / X M L S c h e m a - i n s t a n c e " > < C o l u m n S u g g e s t e d T y p e   / > < C o l u m n F o r m a t   / > < C o l u m n A c c u r a c y   / > < C o l u m n C u r r e n c y S y m b o l   / > < C o l u m n P o s i t i v e P a t t e r n   / > < C o l u m n N e g a t i v e P a t t e r n   / > < C o l u m n W i d t h s > < i t e m > < k e y > < s t r i n g > C o d e < / s t r i n g > < / k e y > < v a l u e > < i n t > 1 2 6 < / i n t > < / v a l u e > < / i t e m > < i t e m > < k e y > < s t r i n g > D e s c r i p t i o n < / s t r i n g > < / k e y > < v a l u e > < i n t > 2 0 3 < / i n t > < / v a l u e > < / i t e m > < i t e m > < k e y > < s t r i n g > S i g n < / s t r i n g > < / k e y > < v a l u e > < i n t > 1 1 4 < / i n t > < / v a l u e > < / i t e m > < / C o l u m n W i d t h s > < C o l u m n D i s p l a y I n d e x > < i t e m > < k e y > < s t r i n g > C o d e < / s t r i n g > < / k e y > < v a l u e > < i n t > 0 < / i n t > < / v a l u e > < / i t e m > < i t e m > < k e y > < s t r i n g > D e s c r i p t i o n < / s t r i n g > < / k e y > < v a l u e > < i n t > 1 < / i n t > < / v a l u e > < / i t e m > < i t e m > < k e y > < s t r i n g > S i g n 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Q u o t e s _ 2 f 4 9 a 9 c c - 5 7 d b - 4 8 9 f - b a 5 d - 6 d b 1 e 6 9 8 d 7 2 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 2 5 0 < / i n t > < / v a l u e > < / i t e m > < i t e m > < k e y > < s t r i n g > S y m b o l < / s t r i n g > < / k e y > < v a l u e > < i n t > 1 5 4 < / i n t > < / v a l u e > < / i t e m > < i t e m > < k e y > < s t r i n g > C l o s e < / s t r i n g > < / k e y > < v a l u e > < i n t > 1 9 9 < / i n t > < / v a l u e > < / i t e m > < / C o l u m n W i d t h s > < C o l u m n D i s p l a y I n d e x > < i t e m > < k e y > < s t r i n g > D a t e < / s t r i n g > < / k e y > < v a l u e > < i n t > 0 < / i n t > < / v a l u e > < / i t e m > < i t e m > < k e y > < s t r i n g > S y m b o l < / s t r i n g > < / k e y > < v a l u e > < i n t > 1 < / i n t > < / v a l u e > < / i t e m > < i t e m > < k e y > < s t r i n g > C l o s e < / s t r i n g > < / k e y > < v a l u e > < i n t > 2 < / i n t > < / v a l u e > < / i t e m > < / C o l u m n D i s p l a y I n d e x > < C o l u m n F r o z e n   / > < C o l u m n C h e c k e d   / > < C o l u m n F i l t e r > < i t e m > < k e y > < s t r i n g > D a t e < / s t r i n g > < / k e y > < v a l u e > < F i l t e r E x p r e s s i o n   x s i : n i l = " t r u e "   / > < / v a l u e > < / i t e m > < i t e m > < k e y > < s t r i n g > S y m b o l < / s t r i n g > < / k e y > < v a l u e > < F i l t e r E x p r e s s i o n   x s i : n i l = " t r u e "   / > < / v a l u e > < / i t e m > < / C o l u m n F i l t e r > < S e l e c t i o n F i l t e r > < i t e m > < k e y > < s t r i n g > D a t e < / s t r i n g > < / k e y > < v a l u e > < S e l e c t i o n F i l t e r   x s i : n i l = " t r u e "   / > < / v a l u e > < / i t e m > < i t e m > < k e y > < s t r i n g > S y m b o l < / s t r i n g > < / k e y > < v a l u e > < S e l e c t i o n F i l t e r > < S e l e c t i o n T y p e > S e l e c t < / S e l e c t i o n T y p e > < I t e m s > < a n y T y p e   x s i : t y p e = " x s d : s t r i n g " > V N Q < / a n y T y p e > < / I t e m s > < / S e l e c t i o n F i l t e r > < / v a l u e > < / i t e m > < / S e l e c t i o n F i l t e r > < F i l t e r P a r a m e t e r s > < i t e m > < k e y > < s t r i n g > D a t e < / s t r i n g > < / k e y > < v a l u e > < C o m m a n d P a r a m e t e r s   / > < / v a l u e > < / i t e m > < i t e m > < k e y > < s t r i n g > S y m b o l < / s t r i n g > < / k e y > < v a l u e > < C o m m a n d P a r a m e t e r s   / > < / v a l u e > < / i t e m > < / F i l t e r P a r a m e t e r s > < S o r t B y C o l u m n   / > < I s S o r t D e s c e n d i n g > f a l s e < / I s S o r t D e s c e n d i n g > < / T a b l e W i d g e t G r i d S e r i a l i z a t i o n > ] ] > < / C u s t o m C o n t e n t > < / G e m i n i > 
</file>

<file path=customXml/item9.xml>��< ? x m l   v e r s i o n = " 1 . 0 "   e n c o d i n g = " U T F - 1 6 " ? > < G e m i n i   x m l n s = " h t t p : / / g e m i n i / p i v o t c u s t o m i z a t i o n / T a b l e X M L _ S e c u T y p e s " > < C u s t o m C o n t e n t > < ! [ C D A T A [ < T a b l e W i d g e t G r i d S e r i a l i z a t i o n   x m l n s : x s d = " h t t p : / / w w w . w 3 . o r g / 2 0 0 1 / X M L S c h e m a "   x m l n s : x s i = " h t t p : / / w w w . w 3 . o r g / 2 0 0 1 / X M L S c h e m a - i n s t a n c e " > < C o l u m n S u g g e s t e d T y p e   / > < C o l u m n F o r m a t   / > < C o l u m n A c c u r a c y   / > < C o l u m n C u r r e n c y S y m b o l   / > < C o l u m n P o s i t i v e P a t t e r n   / > < C o l u m n N e g a t i v e P a t t e r n   / > < C o l u m n W i d t h s > < i t e m > < k e y > < s t r i n g > S e c u T y p e < / s t r i n g > < / k e y > < v a l u e > < i n t > 1 8 0 < / i n t > < / v a l u e > < / i t e m > < / C o l u m n W i d t h s > < C o l u m n D i s p l a y I n d e x > < i t e m > < k e y > < s t r i n g > S e c u T y p e 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15476EA-6781-41BE-A6C3-46AD90475A2E}">
  <ds:schemaRefs/>
</ds:datastoreItem>
</file>

<file path=customXml/itemProps10.xml><?xml version="1.0" encoding="utf-8"?>
<ds:datastoreItem xmlns:ds="http://schemas.openxmlformats.org/officeDocument/2006/customXml" ds:itemID="{E8ABE135-A461-4B9F-8994-5FB7210D6FC8}">
  <ds:schemaRefs/>
</ds:datastoreItem>
</file>

<file path=customXml/itemProps11.xml><?xml version="1.0" encoding="utf-8"?>
<ds:datastoreItem xmlns:ds="http://schemas.openxmlformats.org/officeDocument/2006/customXml" ds:itemID="{E6D59278-B14B-4631-9D53-9E745B9C9C44}">
  <ds:schemaRefs/>
</ds:datastoreItem>
</file>

<file path=customXml/itemProps12.xml><?xml version="1.0" encoding="utf-8"?>
<ds:datastoreItem xmlns:ds="http://schemas.openxmlformats.org/officeDocument/2006/customXml" ds:itemID="{48F02BCB-B426-4E35-AD73-3A29512B4724}">
  <ds:schemaRefs/>
</ds:datastoreItem>
</file>

<file path=customXml/itemProps13.xml><?xml version="1.0" encoding="utf-8"?>
<ds:datastoreItem xmlns:ds="http://schemas.openxmlformats.org/officeDocument/2006/customXml" ds:itemID="{85A48A36-4BFF-42C8-A064-93F1EEF90D10}">
  <ds:schemaRefs/>
</ds:datastoreItem>
</file>

<file path=customXml/itemProps14.xml><?xml version="1.0" encoding="utf-8"?>
<ds:datastoreItem xmlns:ds="http://schemas.openxmlformats.org/officeDocument/2006/customXml" ds:itemID="{59BDB799-3268-4365-BDCE-83F40415EA05}">
  <ds:schemaRefs/>
</ds:datastoreItem>
</file>

<file path=customXml/itemProps15.xml><?xml version="1.0" encoding="utf-8"?>
<ds:datastoreItem xmlns:ds="http://schemas.openxmlformats.org/officeDocument/2006/customXml" ds:itemID="{ECBE104B-CF48-44EA-92EB-5927843C0063}">
  <ds:schemaRefs/>
</ds:datastoreItem>
</file>

<file path=customXml/itemProps16.xml><?xml version="1.0" encoding="utf-8"?>
<ds:datastoreItem xmlns:ds="http://schemas.openxmlformats.org/officeDocument/2006/customXml" ds:itemID="{B4A868AC-C4D6-4FA8-85CD-1FEB099B3674}">
  <ds:schemaRefs/>
</ds:datastoreItem>
</file>

<file path=customXml/itemProps17.xml><?xml version="1.0" encoding="utf-8"?>
<ds:datastoreItem xmlns:ds="http://schemas.openxmlformats.org/officeDocument/2006/customXml" ds:itemID="{20AA4155-8D5C-4EF1-9A2F-2C2F164EEFA0}">
  <ds:schemaRefs/>
</ds:datastoreItem>
</file>

<file path=customXml/itemProps18.xml><?xml version="1.0" encoding="utf-8"?>
<ds:datastoreItem xmlns:ds="http://schemas.openxmlformats.org/officeDocument/2006/customXml" ds:itemID="{506A5348-C360-4FE2-99F4-ED45D84E252D}">
  <ds:schemaRefs/>
</ds:datastoreItem>
</file>

<file path=customXml/itemProps19.xml><?xml version="1.0" encoding="utf-8"?>
<ds:datastoreItem xmlns:ds="http://schemas.openxmlformats.org/officeDocument/2006/customXml" ds:itemID="{7A2B1423-11DB-40BE-8F4A-1A5579EF5F64}">
  <ds:schemaRefs/>
</ds:datastoreItem>
</file>

<file path=customXml/itemProps2.xml><?xml version="1.0" encoding="utf-8"?>
<ds:datastoreItem xmlns:ds="http://schemas.openxmlformats.org/officeDocument/2006/customXml" ds:itemID="{39C409F9-92F8-466D-913E-8B950E46F5A0}">
  <ds:schemaRefs/>
</ds:datastoreItem>
</file>

<file path=customXml/itemProps20.xml><?xml version="1.0" encoding="utf-8"?>
<ds:datastoreItem xmlns:ds="http://schemas.openxmlformats.org/officeDocument/2006/customXml" ds:itemID="{1B4B3B5C-4B03-48D7-A5EE-C30307AD9D78}">
  <ds:schemaRefs/>
</ds:datastoreItem>
</file>

<file path=customXml/itemProps21.xml><?xml version="1.0" encoding="utf-8"?>
<ds:datastoreItem xmlns:ds="http://schemas.openxmlformats.org/officeDocument/2006/customXml" ds:itemID="{10B44136-C99F-4DC8-AC74-68B33FAE9EE2}">
  <ds:schemaRefs/>
</ds:datastoreItem>
</file>

<file path=customXml/itemProps22.xml><?xml version="1.0" encoding="utf-8"?>
<ds:datastoreItem xmlns:ds="http://schemas.openxmlformats.org/officeDocument/2006/customXml" ds:itemID="{3FEF8D66-018A-4175-BE14-43769A7BDB43}">
  <ds:schemaRefs/>
</ds:datastoreItem>
</file>

<file path=customXml/itemProps23.xml><?xml version="1.0" encoding="utf-8"?>
<ds:datastoreItem xmlns:ds="http://schemas.openxmlformats.org/officeDocument/2006/customXml" ds:itemID="{A80C36D1-6358-4410-BAA0-87D9453CCBA1}">
  <ds:schemaRefs/>
</ds:datastoreItem>
</file>

<file path=customXml/itemProps24.xml><?xml version="1.0" encoding="utf-8"?>
<ds:datastoreItem xmlns:ds="http://schemas.openxmlformats.org/officeDocument/2006/customXml" ds:itemID="{58EB0CCA-664F-413F-9851-30E4278C4419}">
  <ds:schemaRefs/>
</ds:datastoreItem>
</file>

<file path=customXml/itemProps25.xml><?xml version="1.0" encoding="utf-8"?>
<ds:datastoreItem xmlns:ds="http://schemas.openxmlformats.org/officeDocument/2006/customXml" ds:itemID="{8A75DF55-AC0B-4164-B866-D378043881C3}">
  <ds:schemaRefs/>
</ds:datastoreItem>
</file>

<file path=customXml/itemProps26.xml><?xml version="1.0" encoding="utf-8"?>
<ds:datastoreItem xmlns:ds="http://schemas.openxmlformats.org/officeDocument/2006/customXml" ds:itemID="{A6BCACB2-315E-4556-80B7-C793E8A59271}">
  <ds:schemaRefs/>
</ds:datastoreItem>
</file>

<file path=customXml/itemProps27.xml><?xml version="1.0" encoding="utf-8"?>
<ds:datastoreItem xmlns:ds="http://schemas.openxmlformats.org/officeDocument/2006/customXml" ds:itemID="{44AA8E4C-1ACC-4092-AE33-D6B9A4163422}">
  <ds:schemaRefs/>
</ds:datastoreItem>
</file>

<file path=customXml/itemProps28.xml><?xml version="1.0" encoding="utf-8"?>
<ds:datastoreItem xmlns:ds="http://schemas.openxmlformats.org/officeDocument/2006/customXml" ds:itemID="{5D23DFFA-1FB8-4365-B7F6-20E6D8D4C798}">
  <ds:schemaRefs/>
</ds:datastoreItem>
</file>

<file path=customXml/itemProps29.xml><?xml version="1.0" encoding="utf-8"?>
<ds:datastoreItem xmlns:ds="http://schemas.openxmlformats.org/officeDocument/2006/customXml" ds:itemID="{CFA53F8F-2751-4740-838F-3DDA4816CF89}">
  <ds:schemaRefs/>
</ds:datastoreItem>
</file>

<file path=customXml/itemProps3.xml><?xml version="1.0" encoding="utf-8"?>
<ds:datastoreItem xmlns:ds="http://schemas.openxmlformats.org/officeDocument/2006/customXml" ds:itemID="{6E77BF30-7944-4B93-82B6-DCD9818F62A6}">
  <ds:schemaRefs/>
</ds:datastoreItem>
</file>

<file path=customXml/itemProps30.xml><?xml version="1.0" encoding="utf-8"?>
<ds:datastoreItem xmlns:ds="http://schemas.openxmlformats.org/officeDocument/2006/customXml" ds:itemID="{1E161746-D1E9-4558-9AF2-99519F64A50D}">
  <ds:schemaRefs/>
</ds:datastoreItem>
</file>

<file path=customXml/itemProps31.xml><?xml version="1.0" encoding="utf-8"?>
<ds:datastoreItem xmlns:ds="http://schemas.openxmlformats.org/officeDocument/2006/customXml" ds:itemID="{3ECC72D5-62E2-494E-B236-41FEC22CA8AA}">
  <ds:schemaRefs/>
</ds:datastoreItem>
</file>

<file path=customXml/itemProps32.xml><?xml version="1.0" encoding="utf-8"?>
<ds:datastoreItem xmlns:ds="http://schemas.openxmlformats.org/officeDocument/2006/customXml" ds:itemID="{4E144B0E-E643-474C-B146-B70505CD9B3A}">
  <ds:schemaRefs/>
</ds:datastoreItem>
</file>

<file path=customXml/itemProps33.xml><?xml version="1.0" encoding="utf-8"?>
<ds:datastoreItem xmlns:ds="http://schemas.openxmlformats.org/officeDocument/2006/customXml" ds:itemID="{E73BB173-A53F-4D97-A475-98BE6893746C}">
  <ds:schemaRefs/>
</ds:datastoreItem>
</file>

<file path=customXml/itemProps34.xml><?xml version="1.0" encoding="utf-8"?>
<ds:datastoreItem xmlns:ds="http://schemas.openxmlformats.org/officeDocument/2006/customXml" ds:itemID="{7D120341-3DB8-46C0-928D-DAF9A14FBCB9}">
  <ds:schemaRefs/>
</ds:datastoreItem>
</file>

<file path=customXml/itemProps35.xml><?xml version="1.0" encoding="utf-8"?>
<ds:datastoreItem xmlns:ds="http://schemas.openxmlformats.org/officeDocument/2006/customXml" ds:itemID="{9A49E612-29BC-4C1B-A2F2-5EABD37D94D1}">
  <ds:schemaRefs/>
</ds:datastoreItem>
</file>

<file path=customXml/itemProps36.xml><?xml version="1.0" encoding="utf-8"?>
<ds:datastoreItem xmlns:ds="http://schemas.openxmlformats.org/officeDocument/2006/customXml" ds:itemID="{F053228E-ACA5-4838-85A4-34762EBAA568}">
  <ds:schemaRefs/>
</ds:datastoreItem>
</file>

<file path=customXml/itemProps37.xml><?xml version="1.0" encoding="utf-8"?>
<ds:datastoreItem xmlns:ds="http://schemas.openxmlformats.org/officeDocument/2006/customXml" ds:itemID="{36292237-663C-497F-BAD0-A1258EE18409}">
  <ds:schemaRefs/>
</ds:datastoreItem>
</file>

<file path=customXml/itemProps38.xml><?xml version="1.0" encoding="utf-8"?>
<ds:datastoreItem xmlns:ds="http://schemas.openxmlformats.org/officeDocument/2006/customXml" ds:itemID="{E62A946A-FF60-4BCA-A095-1E55476979E2}">
  <ds:schemaRefs/>
</ds:datastoreItem>
</file>

<file path=customXml/itemProps39.xml><?xml version="1.0" encoding="utf-8"?>
<ds:datastoreItem xmlns:ds="http://schemas.openxmlformats.org/officeDocument/2006/customXml" ds:itemID="{A1002F9F-FF11-45F9-A33F-790130E7943D}">
  <ds:schemaRefs>
    <ds:schemaRef ds:uri="http://schemas.microsoft.com/DataMashup"/>
  </ds:schemaRefs>
</ds:datastoreItem>
</file>

<file path=customXml/itemProps4.xml><?xml version="1.0" encoding="utf-8"?>
<ds:datastoreItem xmlns:ds="http://schemas.openxmlformats.org/officeDocument/2006/customXml" ds:itemID="{B8A6FBDC-5358-4545-802C-CF3A61D595AE}">
  <ds:schemaRefs/>
</ds:datastoreItem>
</file>

<file path=customXml/itemProps5.xml><?xml version="1.0" encoding="utf-8"?>
<ds:datastoreItem xmlns:ds="http://schemas.openxmlformats.org/officeDocument/2006/customXml" ds:itemID="{63A346F8-5233-4857-B053-C4E75A246D64}">
  <ds:schemaRefs/>
</ds:datastoreItem>
</file>

<file path=customXml/itemProps6.xml><?xml version="1.0" encoding="utf-8"?>
<ds:datastoreItem xmlns:ds="http://schemas.openxmlformats.org/officeDocument/2006/customXml" ds:itemID="{49C2E8FB-D282-4EBD-9246-7DAD424EC5ED}">
  <ds:schemaRefs/>
</ds:datastoreItem>
</file>

<file path=customXml/itemProps7.xml><?xml version="1.0" encoding="utf-8"?>
<ds:datastoreItem xmlns:ds="http://schemas.openxmlformats.org/officeDocument/2006/customXml" ds:itemID="{90C03A81-3D57-4EEE-9847-43AB92FCD76C}">
  <ds:schemaRefs/>
</ds:datastoreItem>
</file>

<file path=customXml/itemProps8.xml><?xml version="1.0" encoding="utf-8"?>
<ds:datastoreItem xmlns:ds="http://schemas.openxmlformats.org/officeDocument/2006/customXml" ds:itemID="{2A6EAAE4-4EF2-454E-BE88-01E580FF3A96}">
  <ds:schemaRefs/>
</ds:datastoreItem>
</file>

<file path=customXml/itemProps9.xml><?xml version="1.0" encoding="utf-8"?>
<ds:datastoreItem xmlns:ds="http://schemas.openxmlformats.org/officeDocument/2006/customXml" ds:itemID="{3CFC5AF3-74C7-4993-9CF4-6E9DAD589B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26</vt:i4>
      </vt:variant>
    </vt:vector>
  </HeadingPairs>
  <TitlesOfParts>
    <vt:vector size="34" baseType="lpstr">
      <vt:lpstr>Trans</vt:lpstr>
      <vt:lpstr>Securities</vt:lpstr>
      <vt:lpstr>GenQuotes</vt:lpstr>
      <vt:lpstr>AllAccount</vt:lpstr>
      <vt:lpstr>Currencies</vt:lpstr>
      <vt:lpstr>Misc</vt:lpstr>
      <vt:lpstr>Configs</vt:lpstr>
      <vt:lpstr>Settings</vt:lpstr>
      <vt:lpstr>ACCOUNTLIST</vt:lpstr>
      <vt:lpstr>ASSESTCLASSLIST</vt:lpstr>
      <vt:lpstr>CURRLIST</vt:lpstr>
      <vt:lpstr>SECTORLIST</vt:lpstr>
      <vt:lpstr>SECURTYPELIST</vt:lpstr>
      <vt:lpstr>SYMBOLLIST</vt:lpstr>
      <vt:lpstr>Trans!Trans_Date_without_Header</vt:lpstr>
      <vt:lpstr>TRANSTYPELIST</vt:lpstr>
      <vt:lpstr>TT_COL_AmntSign</vt:lpstr>
      <vt:lpstr>TT_COL_BookValueSign</vt:lpstr>
      <vt:lpstr>TT_COL_CLOSEOROPEN</vt:lpstr>
      <vt:lpstr>TT_COL_DepositTransSign</vt:lpstr>
      <vt:lpstr>TT_COL_DESC</vt:lpstr>
      <vt:lpstr>TT_COL_DividendFlag</vt:lpstr>
      <vt:lpstr>TT_COL_FeeSign</vt:lpstr>
      <vt:lpstr>TT_COL_ForexTradeFlag</vt:lpstr>
      <vt:lpstr>TT_COL_GLFlag</vt:lpstr>
      <vt:lpstr>TT_COL_ID</vt:lpstr>
      <vt:lpstr>TT_COL_IgnoreFXrate</vt:lpstr>
      <vt:lpstr>TT_COL_IGNOREPRICE</vt:lpstr>
      <vt:lpstr>TT_COL_IgnoreQty</vt:lpstr>
      <vt:lpstr>TT_COL_LONGORSHORT</vt:lpstr>
      <vt:lpstr>TT_COL_OCItoBCISign</vt:lpstr>
      <vt:lpstr>TT_COL_QtySign</vt:lpstr>
      <vt:lpstr>TT_COL_ReturnOfCaptialFlag</vt:lpstr>
      <vt:lpstr>TT_COL_ShareTransferFlag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WangRuoyu</dc:creator>
  <cp:lastModifiedBy>royer wang</cp:lastModifiedBy>
  <cp:lastPrinted>2018-02-04T05:48:35Z</cp:lastPrinted>
  <dcterms:created xsi:type="dcterms:W3CDTF">2018-01-21T22:57:45Z</dcterms:created>
  <dcterms:modified xsi:type="dcterms:W3CDTF">2018-04-24T20:03:29Z</dcterms:modified>
</cp:coreProperties>
</file>