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mary key index test" sheetId="1" r:id="rId4"/>
    <sheet state="visible" name="Partition Table Test" sheetId="2" r:id="rId5"/>
    <sheet state="visible" name="Transaction test" sheetId="3" r:id="rId6"/>
    <sheet state="visible" name="Insert test" sheetId="4" r:id="rId7"/>
  </sheets>
  <definedNames/>
  <calcPr/>
</workbook>
</file>

<file path=xl/sharedStrings.xml><?xml version="1.0" encoding="utf-8"?>
<sst xmlns="http://schemas.openxmlformats.org/spreadsheetml/2006/main" count="167" uniqueCount="28">
  <si>
    <t>Execution time</t>
  </si>
  <si>
    <t># of data rows</t>
  </si>
  <si>
    <t>Postgres Full Scan</t>
  </si>
  <si>
    <t>MariaDB Full Scan</t>
  </si>
  <si>
    <t>Postgres Primary Key Lookup</t>
  </si>
  <si>
    <t>MariaDB Primary Key Lookup</t>
  </si>
  <si>
    <t>Postgres Secondary Index Lookup</t>
  </si>
  <si>
    <t>MariaDB Secondary Index Lookup</t>
  </si>
  <si>
    <t>L2 Cache miss when fetching instructions (MPKI)</t>
  </si>
  <si>
    <t># of rows</t>
  </si>
  <si>
    <t>L1 Instruction Cache Miss (MPKI)</t>
  </si>
  <si>
    <t>Branch Prediction (MPKI)</t>
  </si>
  <si>
    <t>IPC = I/C</t>
  </si>
  <si>
    <t>Total # of cycles</t>
  </si>
  <si>
    <t>Postgres</t>
  </si>
  <si>
    <t>MariaDB</t>
  </si>
  <si>
    <t>Postgres-commit</t>
  </si>
  <si>
    <t>MariaDB-commit</t>
  </si>
  <si>
    <t>Postgres-rollback</t>
  </si>
  <si>
    <t>MariaDB-rollback</t>
  </si>
  <si>
    <t>Branch Prediction (%)</t>
  </si>
  <si>
    <t>10 rows</t>
  </si>
  <si>
    <t>Time</t>
  </si>
  <si>
    <t>L1 I-Cache</t>
  </si>
  <si>
    <t xml:space="preserve">L2 </t>
  </si>
  <si>
    <t>Branch Prediction</t>
  </si>
  <si>
    <t>IPC</t>
  </si>
  <si>
    <t>100 rows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</si>
</sst>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sz val="12.0"/>
      <color rgb="FF24292E"/>
      <name val="Consolas"/>
    </font>
    <font>
      <sz val="12.0"/>
      <color rgb="FF000000"/>
      <name val="Calibri"/>
    </font>
    <font>
      <sz val="9.0"/>
      <color rgb="FF24292E"/>
      <name val="SFMono-Regular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3" xfId="0" applyFont="1" applyNumberFormat="1"/>
    <xf borderId="0" fillId="0" fontId="1" numFmtId="0" xfId="0" applyAlignment="1" applyFont="1">
      <alignment readingOrder="0"/>
    </xf>
    <xf borderId="0" fillId="0" fontId="3" numFmtId="3" xfId="0" applyFont="1" applyNumberFormat="1"/>
    <xf borderId="0" fillId="0" fontId="4" numFmtId="10" xfId="0" applyAlignment="1" applyFont="1" applyNumberFormat="1">
      <alignment readingOrder="0"/>
    </xf>
    <xf borderId="0" fillId="0" fontId="2" numFmtId="10" xfId="0" applyFont="1" applyNumberFormat="1"/>
    <xf borderId="0" fillId="2" fontId="5" numFmtId="0" xfId="0" applyAlignment="1" applyFill="1" applyFont="1">
      <alignment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Execution time - Index Test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'Primary key index test'!$C$4</c:f>
            </c:strRef>
          </c:tx>
          <c:spPr>
            <a:solidFill>
              <a:schemeClr val="accent1"/>
            </a:solidFill>
          </c:spPr>
          <c:cat>
            <c:strRef>
              <c:f>'Primary key index test'!$B$5:$B$9</c:f>
            </c:strRef>
          </c:cat>
          <c:val>
            <c:numRef>
              <c:f>'Primary key index test'!$C$5:$C$9</c:f>
            </c:numRef>
          </c:val>
        </c:ser>
        <c:ser>
          <c:idx val="1"/>
          <c:order val="1"/>
          <c:tx>
            <c:strRef>
              <c:f>'Primary key index test'!$D$4</c:f>
            </c:strRef>
          </c:tx>
          <c:spPr>
            <a:solidFill>
              <a:schemeClr val="accent2"/>
            </a:solidFill>
          </c:spPr>
          <c:cat>
            <c:strRef>
              <c:f>'Primary key index test'!$B$5:$B$9</c:f>
            </c:strRef>
          </c:cat>
          <c:val>
            <c:numRef>
              <c:f>'Primary key index test'!$D$5:$D$9</c:f>
            </c:numRef>
          </c:val>
        </c:ser>
        <c:ser>
          <c:idx val="2"/>
          <c:order val="2"/>
          <c:tx>
            <c:strRef>
              <c:f>'Primary key index test'!$E$4</c:f>
            </c:strRef>
          </c:tx>
          <c:spPr>
            <a:solidFill>
              <a:schemeClr val="accent3"/>
            </a:solidFill>
          </c:spPr>
          <c:cat>
            <c:strRef>
              <c:f>'Primary key index test'!$B$5:$B$9</c:f>
            </c:strRef>
          </c:cat>
          <c:val>
            <c:numRef>
              <c:f>'Primary key index test'!$E$5:$E$9</c:f>
            </c:numRef>
          </c:val>
        </c:ser>
        <c:ser>
          <c:idx val="3"/>
          <c:order val="3"/>
          <c:tx>
            <c:strRef>
              <c:f>'Primary key index test'!$F$4</c:f>
            </c:strRef>
          </c:tx>
          <c:spPr>
            <a:solidFill>
              <a:schemeClr val="accent4"/>
            </a:solidFill>
          </c:spPr>
          <c:cat>
            <c:strRef>
              <c:f>'Primary key index test'!$B$5:$B$9</c:f>
            </c:strRef>
          </c:cat>
          <c:val>
            <c:numRef>
              <c:f>'Primary key index test'!$F$5:$F$9</c:f>
            </c:numRef>
          </c:val>
        </c:ser>
        <c:ser>
          <c:idx val="4"/>
          <c:order val="4"/>
          <c:tx>
            <c:strRef>
              <c:f>'Primary key index test'!$G$4</c:f>
            </c:strRef>
          </c:tx>
          <c:spPr>
            <a:solidFill>
              <a:schemeClr val="accent5"/>
            </a:solidFill>
          </c:spPr>
          <c:cat>
            <c:strRef>
              <c:f>'Primary key index test'!$B$5:$B$9</c:f>
            </c:strRef>
          </c:cat>
          <c:val>
            <c:numRef>
              <c:f>'Primary key index test'!$G$5:$G$9</c:f>
            </c:numRef>
          </c:val>
        </c:ser>
        <c:ser>
          <c:idx val="5"/>
          <c:order val="5"/>
          <c:tx>
            <c:strRef>
              <c:f>'Primary key index test'!$H$4</c:f>
            </c:strRef>
          </c:tx>
          <c:spPr>
            <a:solidFill>
              <a:schemeClr val="accent6"/>
            </a:solidFill>
          </c:spPr>
          <c:cat>
            <c:strRef>
              <c:f>'Primary key index test'!$B$5:$B$9</c:f>
            </c:strRef>
          </c:cat>
          <c:val>
            <c:numRef>
              <c:f>'Primary key index test'!$H$5:$H$9</c:f>
            </c:numRef>
          </c:val>
        </c:ser>
        <c:axId val="1058884117"/>
        <c:axId val="397477222"/>
      </c:barChart>
      <c:catAx>
        <c:axId val="10588841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# of data rows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7477222"/>
      </c:catAx>
      <c:valAx>
        <c:axId val="3974772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Execution 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88841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IPC - Partition Table Test (logscale)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'Partition Table Test'!$D$38</c:f>
            </c:strRef>
          </c:tx>
          <c:marker>
            <c:symbol val="none"/>
          </c:marker>
          <c:cat>
            <c:strRef>
              <c:f>'Partition Table Test'!$C$39:$C$43</c:f>
            </c:strRef>
          </c:cat>
          <c:val>
            <c:numRef>
              <c:f>'Partition Table Test'!$D$39:$D$43</c:f>
            </c:numRef>
          </c:val>
          <c:smooth val="0"/>
        </c:ser>
        <c:ser>
          <c:idx val="1"/>
          <c:order val="1"/>
          <c:tx>
            <c:strRef>
              <c:f>'Partition Table Test'!$E$38</c:f>
            </c:strRef>
          </c:tx>
          <c:marker>
            <c:symbol val="none"/>
          </c:marker>
          <c:cat>
            <c:strRef>
              <c:f>'Partition Table Test'!$C$39:$C$43</c:f>
            </c:strRef>
          </c:cat>
          <c:val>
            <c:numRef>
              <c:f>'Partition Table Test'!$E$39:$E$43</c:f>
            </c:numRef>
          </c:val>
          <c:smooth val="0"/>
        </c:ser>
        <c:axId val="1105156995"/>
        <c:axId val="174742489"/>
      </c:lineChart>
      <c:catAx>
        <c:axId val="11051569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# of rows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742489"/>
      </c:catAx>
      <c:valAx>
        <c:axId val="1747424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Instructions per second (IPC)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51569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L1 I-Cache Miss - Transaction Test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'Transaction test'!$D$15</c:f>
            </c:strRef>
          </c:tx>
          <c:spPr>
            <a:solidFill>
              <a:schemeClr val="accent1"/>
            </a:solidFill>
          </c:spPr>
          <c:cat>
            <c:strRef>
              <c:f>'Transaction test'!$C$16:$C$20</c:f>
            </c:strRef>
          </c:cat>
          <c:val>
            <c:numRef>
              <c:f>'Transaction test'!$D$16:$D$20</c:f>
            </c:numRef>
          </c:val>
        </c:ser>
        <c:ser>
          <c:idx val="1"/>
          <c:order val="1"/>
          <c:tx>
            <c:strRef>
              <c:f>'Transaction test'!$E$15</c:f>
            </c:strRef>
          </c:tx>
          <c:spPr>
            <a:solidFill>
              <a:schemeClr val="accent2"/>
            </a:solidFill>
          </c:spPr>
          <c:cat>
            <c:strRef>
              <c:f>'Transaction test'!$C$16:$C$20</c:f>
            </c:strRef>
          </c:cat>
          <c:val>
            <c:numRef>
              <c:f>'Transaction test'!$E$16:$E$20</c:f>
            </c:numRef>
          </c:val>
        </c:ser>
        <c:ser>
          <c:idx val="2"/>
          <c:order val="2"/>
          <c:tx>
            <c:strRef>
              <c:f>'Transaction test'!$F$15</c:f>
            </c:strRef>
          </c:tx>
          <c:spPr>
            <a:solidFill>
              <a:schemeClr val="accent3"/>
            </a:solidFill>
          </c:spPr>
          <c:cat>
            <c:strRef>
              <c:f>'Transaction test'!$C$16:$C$20</c:f>
            </c:strRef>
          </c:cat>
          <c:val>
            <c:numRef>
              <c:f>'Transaction test'!$F$16:$F$20</c:f>
            </c:numRef>
          </c:val>
        </c:ser>
        <c:ser>
          <c:idx val="3"/>
          <c:order val="3"/>
          <c:tx>
            <c:strRef>
              <c:f>'Transaction test'!$G$15</c:f>
            </c:strRef>
          </c:tx>
          <c:spPr>
            <a:solidFill>
              <a:schemeClr val="accent4"/>
            </a:solidFill>
          </c:spPr>
          <c:cat>
            <c:strRef>
              <c:f>'Transaction test'!$C$16:$C$20</c:f>
            </c:strRef>
          </c:cat>
          <c:val>
            <c:numRef>
              <c:f>'Transaction test'!$G$16:$G$20</c:f>
            </c:numRef>
          </c:val>
        </c:ser>
        <c:axId val="1322379213"/>
        <c:axId val="1696626883"/>
      </c:barChart>
      <c:catAx>
        <c:axId val="13223792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# of rows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6626883"/>
      </c:catAx>
      <c:valAx>
        <c:axId val="16966268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L1 i-cache miss per thousand instructions (MPKI)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23792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L2 Cache Miss When Fetching Instructions - Transaction test (logscale)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'Transaction test'!$D$24</c:f>
            </c:strRef>
          </c:tx>
          <c:spPr>
            <a:solidFill>
              <a:schemeClr val="accent1"/>
            </a:solidFill>
          </c:spPr>
          <c:cat>
            <c:strRef>
              <c:f>'Transaction test'!$C$25:$C$29</c:f>
            </c:strRef>
          </c:cat>
          <c:val>
            <c:numRef>
              <c:f>'Transaction test'!$D$25:$D$29</c:f>
            </c:numRef>
          </c:val>
        </c:ser>
        <c:ser>
          <c:idx val="1"/>
          <c:order val="1"/>
          <c:tx>
            <c:strRef>
              <c:f>'Transaction test'!$E$24</c:f>
            </c:strRef>
          </c:tx>
          <c:spPr>
            <a:solidFill>
              <a:schemeClr val="accent2"/>
            </a:solidFill>
          </c:spPr>
          <c:cat>
            <c:strRef>
              <c:f>'Transaction test'!$C$25:$C$29</c:f>
            </c:strRef>
          </c:cat>
          <c:val>
            <c:numRef>
              <c:f>'Transaction test'!$E$25:$E$29</c:f>
            </c:numRef>
          </c:val>
        </c:ser>
        <c:ser>
          <c:idx val="2"/>
          <c:order val="2"/>
          <c:tx>
            <c:strRef>
              <c:f>'Transaction test'!$F$24</c:f>
            </c:strRef>
          </c:tx>
          <c:spPr>
            <a:solidFill>
              <a:schemeClr val="accent3"/>
            </a:solidFill>
          </c:spPr>
          <c:cat>
            <c:strRef>
              <c:f>'Transaction test'!$C$25:$C$29</c:f>
            </c:strRef>
          </c:cat>
          <c:val>
            <c:numRef>
              <c:f>'Transaction test'!$F$25:$F$29</c:f>
            </c:numRef>
          </c:val>
        </c:ser>
        <c:ser>
          <c:idx val="3"/>
          <c:order val="3"/>
          <c:tx>
            <c:strRef>
              <c:f>'Transaction test'!$G$24</c:f>
            </c:strRef>
          </c:tx>
          <c:spPr>
            <a:solidFill>
              <a:schemeClr val="accent4"/>
            </a:solidFill>
          </c:spPr>
          <c:cat>
            <c:strRef>
              <c:f>'Transaction test'!$C$25:$C$29</c:f>
            </c:strRef>
          </c:cat>
          <c:val>
            <c:numRef>
              <c:f>'Transaction test'!$G$25:$G$29</c:f>
            </c:numRef>
          </c:val>
        </c:ser>
        <c:axId val="1439104856"/>
        <c:axId val="1608523129"/>
      </c:barChart>
      <c:catAx>
        <c:axId val="1439104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# of rows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8523129"/>
      </c:catAx>
      <c:valAx>
        <c:axId val="16085231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L2 miss per thousand instructions (MPKI)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91048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Branch Prediction - Transaction Test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'Transaction test'!$D$32</c:f>
            </c:strRef>
          </c:tx>
          <c:spPr>
            <a:solidFill>
              <a:schemeClr val="accent1"/>
            </a:solidFill>
          </c:spPr>
          <c:cat>
            <c:strRef>
              <c:f>'Transaction test'!$C$33:$C$37</c:f>
            </c:strRef>
          </c:cat>
          <c:val>
            <c:numRef>
              <c:f>'Transaction test'!$D$33:$D$37</c:f>
            </c:numRef>
          </c:val>
        </c:ser>
        <c:ser>
          <c:idx val="1"/>
          <c:order val="1"/>
          <c:tx>
            <c:strRef>
              <c:f>'Transaction test'!$E$32</c:f>
            </c:strRef>
          </c:tx>
          <c:spPr>
            <a:solidFill>
              <a:schemeClr val="accent2"/>
            </a:solidFill>
          </c:spPr>
          <c:cat>
            <c:strRef>
              <c:f>'Transaction test'!$C$33:$C$37</c:f>
            </c:strRef>
          </c:cat>
          <c:val>
            <c:numRef>
              <c:f>'Transaction test'!$E$33:$E$37</c:f>
            </c:numRef>
          </c:val>
        </c:ser>
        <c:ser>
          <c:idx val="2"/>
          <c:order val="2"/>
          <c:tx>
            <c:strRef>
              <c:f>'Transaction test'!$F$32</c:f>
            </c:strRef>
          </c:tx>
          <c:spPr>
            <a:solidFill>
              <a:schemeClr val="accent3"/>
            </a:solidFill>
          </c:spPr>
          <c:cat>
            <c:strRef>
              <c:f>'Transaction test'!$C$33:$C$37</c:f>
            </c:strRef>
          </c:cat>
          <c:val>
            <c:numRef>
              <c:f>'Transaction test'!$F$33:$F$37</c:f>
            </c:numRef>
          </c:val>
        </c:ser>
        <c:ser>
          <c:idx val="3"/>
          <c:order val="3"/>
          <c:tx>
            <c:strRef>
              <c:f>'Transaction test'!$G$32</c:f>
            </c:strRef>
          </c:tx>
          <c:spPr>
            <a:solidFill>
              <a:schemeClr val="accent4"/>
            </a:solidFill>
          </c:spPr>
          <c:cat>
            <c:strRef>
              <c:f>'Transaction test'!$C$33:$C$37</c:f>
            </c:strRef>
          </c:cat>
          <c:val>
            <c:numRef>
              <c:f>'Transaction test'!$G$33:$G$37</c:f>
            </c:numRef>
          </c:val>
        </c:ser>
        <c:axId val="1836076537"/>
        <c:axId val="184629754"/>
      </c:barChart>
      <c:catAx>
        <c:axId val="18360765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# of rows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629754"/>
      </c:catAx>
      <c:valAx>
        <c:axId val="1846297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Branch miss per thousand instructions (MPKI)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60765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% Success Branch Prediction - Transaction Test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'Transaction test'!$D$40</c:f>
            </c:strRef>
          </c:tx>
          <c:spPr>
            <a:solidFill>
              <a:schemeClr val="accent1"/>
            </a:solidFill>
          </c:spPr>
          <c:cat>
            <c:strRef>
              <c:f>'Transaction test'!$C$41:$C$45</c:f>
            </c:strRef>
          </c:cat>
          <c:val>
            <c:numRef>
              <c:f>'Transaction test'!$D$41:$D$45</c:f>
            </c:numRef>
          </c:val>
        </c:ser>
        <c:ser>
          <c:idx val="1"/>
          <c:order val="1"/>
          <c:tx>
            <c:strRef>
              <c:f>'Transaction test'!$E$40</c:f>
            </c:strRef>
          </c:tx>
          <c:spPr>
            <a:solidFill>
              <a:schemeClr val="accent2"/>
            </a:solidFill>
          </c:spPr>
          <c:cat>
            <c:strRef>
              <c:f>'Transaction test'!$C$41:$C$45</c:f>
            </c:strRef>
          </c:cat>
          <c:val>
            <c:numRef>
              <c:f>'Transaction test'!$E$41:$E$45</c:f>
            </c:numRef>
          </c:val>
        </c:ser>
        <c:ser>
          <c:idx val="2"/>
          <c:order val="2"/>
          <c:tx>
            <c:strRef>
              <c:f>'Transaction test'!$F$40</c:f>
            </c:strRef>
          </c:tx>
          <c:spPr>
            <a:solidFill>
              <a:schemeClr val="accent3"/>
            </a:solidFill>
          </c:spPr>
          <c:cat>
            <c:strRef>
              <c:f>'Transaction test'!$C$41:$C$45</c:f>
            </c:strRef>
          </c:cat>
          <c:val>
            <c:numRef>
              <c:f>'Transaction test'!$F$41:$F$45</c:f>
            </c:numRef>
          </c:val>
        </c:ser>
        <c:ser>
          <c:idx val="3"/>
          <c:order val="3"/>
          <c:tx>
            <c:strRef>
              <c:f>'Transaction test'!$G$40</c:f>
            </c:strRef>
          </c:tx>
          <c:spPr>
            <a:solidFill>
              <a:schemeClr val="accent4"/>
            </a:solidFill>
          </c:spPr>
          <c:cat>
            <c:strRef>
              <c:f>'Transaction test'!$C$41:$C$45</c:f>
            </c:strRef>
          </c:cat>
          <c:val>
            <c:numRef>
              <c:f>'Transaction test'!$G$41:$G$45</c:f>
            </c:numRef>
          </c:val>
        </c:ser>
        <c:axId val="1410533627"/>
        <c:axId val="2041225629"/>
      </c:barChart>
      <c:catAx>
        <c:axId val="14105336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# of rows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1225629"/>
      </c:catAx>
      <c:valAx>
        <c:axId val="20412256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% success branch prediction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05336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IPC - Transaction Test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'Transaction test'!$D$48</c:f>
            </c:strRef>
          </c:tx>
          <c:spPr>
            <a:solidFill>
              <a:schemeClr val="accent1"/>
            </a:solidFill>
          </c:spPr>
          <c:cat>
            <c:strRef>
              <c:f>'Transaction test'!$C$49:$C$53</c:f>
            </c:strRef>
          </c:cat>
          <c:val>
            <c:numRef>
              <c:f>'Transaction test'!$D$49:$D$53</c:f>
            </c:numRef>
          </c:val>
        </c:ser>
        <c:ser>
          <c:idx val="1"/>
          <c:order val="1"/>
          <c:tx>
            <c:strRef>
              <c:f>'Transaction test'!$E$48</c:f>
            </c:strRef>
          </c:tx>
          <c:spPr>
            <a:solidFill>
              <a:schemeClr val="accent2"/>
            </a:solidFill>
          </c:spPr>
          <c:cat>
            <c:strRef>
              <c:f>'Transaction test'!$C$49:$C$53</c:f>
            </c:strRef>
          </c:cat>
          <c:val>
            <c:numRef>
              <c:f>'Transaction test'!$E$49:$E$53</c:f>
            </c:numRef>
          </c:val>
        </c:ser>
        <c:ser>
          <c:idx val="2"/>
          <c:order val="2"/>
          <c:tx>
            <c:strRef>
              <c:f>'Transaction test'!$F$48</c:f>
            </c:strRef>
          </c:tx>
          <c:spPr>
            <a:solidFill>
              <a:schemeClr val="accent3"/>
            </a:solidFill>
          </c:spPr>
          <c:cat>
            <c:strRef>
              <c:f>'Transaction test'!$C$49:$C$53</c:f>
            </c:strRef>
          </c:cat>
          <c:val>
            <c:numRef>
              <c:f>'Transaction test'!$F$49:$F$53</c:f>
            </c:numRef>
          </c:val>
        </c:ser>
        <c:ser>
          <c:idx val="3"/>
          <c:order val="3"/>
          <c:tx>
            <c:strRef>
              <c:f>'Transaction test'!$G$48</c:f>
            </c:strRef>
          </c:tx>
          <c:spPr>
            <a:solidFill>
              <a:schemeClr val="accent4"/>
            </a:solidFill>
          </c:spPr>
          <c:cat>
            <c:strRef>
              <c:f>'Transaction test'!$C$49:$C$53</c:f>
            </c:strRef>
          </c:cat>
          <c:val>
            <c:numRef>
              <c:f>'Transaction test'!$G$49:$G$53</c:f>
            </c:numRef>
          </c:val>
        </c:ser>
        <c:axId val="1825057140"/>
        <c:axId val="481219939"/>
      </c:barChart>
      <c:catAx>
        <c:axId val="18250571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# of rows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1219939"/>
      </c:catAx>
      <c:valAx>
        <c:axId val="4812199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IPC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50571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Execution Time - Transaction Test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'Transaction test'!$D$6</c:f>
            </c:strRef>
          </c:tx>
          <c:spPr>
            <a:solidFill>
              <a:schemeClr val="accent1"/>
            </a:solidFill>
          </c:spPr>
          <c:cat>
            <c:strRef>
              <c:f>'Transaction test'!$C$7:$C$11</c:f>
            </c:strRef>
          </c:cat>
          <c:val>
            <c:numRef>
              <c:f>'Transaction test'!$D$7:$D$11</c:f>
            </c:numRef>
          </c:val>
        </c:ser>
        <c:ser>
          <c:idx val="1"/>
          <c:order val="1"/>
          <c:tx>
            <c:strRef>
              <c:f>'Transaction test'!$E$6</c:f>
            </c:strRef>
          </c:tx>
          <c:spPr>
            <a:solidFill>
              <a:schemeClr val="accent2"/>
            </a:solidFill>
          </c:spPr>
          <c:cat>
            <c:strRef>
              <c:f>'Transaction test'!$C$7:$C$11</c:f>
            </c:strRef>
          </c:cat>
          <c:val>
            <c:numRef>
              <c:f>'Transaction test'!$E$7:$E$11</c:f>
            </c:numRef>
          </c:val>
        </c:ser>
        <c:ser>
          <c:idx val="2"/>
          <c:order val="2"/>
          <c:tx>
            <c:strRef>
              <c:f>'Transaction test'!$F$6</c:f>
            </c:strRef>
          </c:tx>
          <c:spPr>
            <a:solidFill>
              <a:schemeClr val="accent3"/>
            </a:solidFill>
          </c:spPr>
          <c:cat>
            <c:strRef>
              <c:f>'Transaction test'!$C$7:$C$11</c:f>
            </c:strRef>
          </c:cat>
          <c:val>
            <c:numRef>
              <c:f>'Transaction test'!$F$7:$F$11</c:f>
            </c:numRef>
          </c:val>
        </c:ser>
        <c:ser>
          <c:idx val="3"/>
          <c:order val="3"/>
          <c:tx>
            <c:strRef>
              <c:f>'Transaction test'!$G$6</c:f>
            </c:strRef>
          </c:tx>
          <c:spPr>
            <a:solidFill>
              <a:schemeClr val="accent4"/>
            </a:solidFill>
          </c:spPr>
          <c:cat>
            <c:strRef>
              <c:f>'Transaction test'!$C$7:$C$11</c:f>
            </c:strRef>
          </c:cat>
          <c:val>
            <c:numRef>
              <c:f>'Transaction test'!$G$7:$G$11</c:f>
            </c:numRef>
          </c:val>
        </c:ser>
        <c:axId val="594421318"/>
        <c:axId val="942613959"/>
      </c:barChart>
      <c:catAx>
        <c:axId val="5944213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# of rows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2613959"/>
      </c:catAx>
      <c:valAx>
        <c:axId val="9426139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Execution 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44213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L1 I-Cache Miss (10 rows)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'Insert test'!$I$6</c:f>
            </c:strRef>
          </c:tx>
          <c:marker>
            <c:symbol val="none"/>
          </c:marker>
          <c:cat>
            <c:strRef>
              <c:f>'Insert test'!$J$5:$M$5</c:f>
            </c:strRef>
          </c:cat>
          <c:val>
            <c:numRef>
              <c:f>'Insert test'!$J$6:$M$6</c:f>
            </c:numRef>
          </c:val>
          <c:smooth val="0"/>
        </c:ser>
        <c:ser>
          <c:idx val="1"/>
          <c:order val="1"/>
          <c:tx>
            <c:strRef>
              <c:f>'Insert test'!$I$7</c:f>
            </c:strRef>
          </c:tx>
          <c:marker>
            <c:symbol val="none"/>
          </c:marker>
          <c:cat>
            <c:strRef>
              <c:f>'Insert test'!$J$5:$M$5</c:f>
            </c:strRef>
          </c:cat>
          <c:val>
            <c:numRef>
              <c:f>'Insert test'!$J$7:$M$7</c:f>
            </c:numRef>
          </c:val>
          <c:smooth val="0"/>
        </c:ser>
        <c:axId val="858122329"/>
        <c:axId val="971639299"/>
      </c:lineChart>
      <c:catAx>
        <c:axId val="8581223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Time (seconds)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1639299"/>
      </c:catAx>
      <c:valAx>
        <c:axId val="9716392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Miss per thousand instructions (MPKI)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81223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L2 Fetching Instructions Cache Miss (10 rows)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'Insert test'!$I$11</c:f>
            </c:strRef>
          </c:tx>
          <c:marker>
            <c:symbol val="none"/>
          </c:marker>
          <c:cat>
            <c:strRef>
              <c:f>'Insert test'!$J$10:$M$10</c:f>
            </c:strRef>
          </c:cat>
          <c:val>
            <c:numRef>
              <c:f>'Insert test'!$J$11:$M$11</c:f>
            </c:numRef>
          </c:val>
          <c:smooth val="0"/>
        </c:ser>
        <c:ser>
          <c:idx val="1"/>
          <c:order val="1"/>
          <c:tx>
            <c:strRef>
              <c:f>'Insert test'!$I$12</c:f>
            </c:strRef>
          </c:tx>
          <c:marker>
            <c:symbol val="none"/>
          </c:marker>
          <c:cat>
            <c:strRef>
              <c:f>'Insert test'!$J$10:$M$10</c:f>
            </c:strRef>
          </c:cat>
          <c:val>
            <c:numRef>
              <c:f>'Insert test'!$J$12:$M$12</c:f>
            </c:numRef>
          </c:val>
          <c:smooth val="0"/>
        </c:ser>
        <c:axId val="1120865420"/>
        <c:axId val="2041153659"/>
      </c:lineChart>
      <c:catAx>
        <c:axId val="11208654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Time (seconds)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1153659"/>
      </c:catAx>
      <c:valAx>
        <c:axId val="20411536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Miss per thousand instructions (MPKI)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08654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Branch Prediction Miss (10 rows)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'Insert test'!$I$15</c:f>
            </c:strRef>
          </c:tx>
          <c:marker>
            <c:symbol val="none"/>
          </c:marker>
          <c:cat>
            <c:strRef>
              <c:f>'Insert test'!$J$14:$M$14</c:f>
            </c:strRef>
          </c:cat>
          <c:val>
            <c:numRef>
              <c:f>'Insert test'!$J$15:$M$15</c:f>
            </c:numRef>
          </c:val>
          <c:smooth val="0"/>
        </c:ser>
        <c:ser>
          <c:idx val="1"/>
          <c:order val="1"/>
          <c:tx>
            <c:strRef>
              <c:f>'Insert test'!$I$16</c:f>
            </c:strRef>
          </c:tx>
          <c:marker>
            <c:symbol val="none"/>
          </c:marker>
          <c:cat>
            <c:strRef>
              <c:f>'Insert test'!$J$14:$M$14</c:f>
            </c:strRef>
          </c:cat>
          <c:val>
            <c:numRef>
              <c:f>'Insert test'!$J$16:$M$16</c:f>
            </c:numRef>
          </c:val>
          <c:smooth val="0"/>
        </c:ser>
        <c:axId val="576169804"/>
        <c:axId val="1651034539"/>
      </c:lineChart>
      <c:catAx>
        <c:axId val="5761698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Time (seconds)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1034539"/>
      </c:catAx>
      <c:valAx>
        <c:axId val="16510345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Miss per thousand instructions (MPKI)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61698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L2 Cache Miss When Fetching Instructions - Index Test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'Primary key index test'!$C$16</c:f>
            </c:strRef>
          </c:tx>
          <c:spPr>
            <a:solidFill>
              <a:schemeClr val="accent1"/>
            </a:solidFill>
          </c:spPr>
          <c:cat>
            <c:strRef>
              <c:f>'Primary key index test'!$B$17:$B$21</c:f>
            </c:strRef>
          </c:cat>
          <c:val>
            <c:numRef>
              <c:f>'Primary key index test'!$C$17:$C$21</c:f>
            </c:numRef>
          </c:val>
        </c:ser>
        <c:ser>
          <c:idx val="1"/>
          <c:order val="1"/>
          <c:tx>
            <c:strRef>
              <c:f>'Primary key index test'!$D$16</c:f>
            </c:strRef>
          </c:tx>
          <c:spPr>
            <a:solidFill>
              <a:schemeClr val="accent2"/>
            </a:solidFill>
          </c:spPr>
          <c:cat>
            <c:strRef>
              <c:f>'Primary key index test'!$B$17:$B$21</c:f>
            </c:strRef>
          </c:cat>
          <c:val>
            <c:numRef>
              <c:f>'Primary key index test'!$D$17:$D$21</c:f>
            </c:numRef>
          </c:val>
        </c:ser>
        <c:ser>
          <c:idx val="2"/>
          <c:order val="2"/>
          <c:tx>
            <c:strRef>
              <c:f>'Primary key index test'!$E$16</c:f>
            </c:strRef>
          </c:tx>
          <c:spPr>
            <a:solidFill>
              <a:schemeClr val="accent3"/>
            </a:solidFill>
          </c:spPr>
          <c:cat>
            <c:strRef>
              <c:f>'Primary key index test'!$B$17:$B$21</c:f>
            </c:strRef>
          </c:cat>
          <c:val>
            <c:numRef>
              <c:f>'Primary key index test'!$E$17:$E$21</c:f>
            </c:numRef>
          </c:val>
        </c:ser>
        <c:ser>
          <c:idx val="3"/>
          <c:order val="3"/>
          <c:tx>
            <c:strRef>
              <c:f>'Primary key index test'!$F$16</c:f>
            </c:strRef>
          </c:tx>
          <c:spPr>
            <a:solidFill>
              <a:schemeClr val="accent4"/>
            </a:solidFill>
          </c:spPr>
          <c:cat>
            <c:strRef>
              <c:f>'Primary key index test'!$B$17:$B$21</c:f>
            </c:strRef>
          </c:cat>
          <c:val>
            <c:numRef>
              <c:f>'Primary key index test'!$F$17:$F$21</c:f>
            </c:numRef>
          </c:val>
        </c:ser>
        <c:ser>
          <c:idx val="4"/>
          <c:order val="4"/>
          <c:tx>
            <c:strRef>
              <c:f>'Primary key index test'!$G$16</c:f>
            </c:strRef>
          </c:tx>
          <c:spPr>
            <a:solidFill>
              <a:schemeClr val="accent5"/>
            </a:solidFill>
          </c:spPr>
          <c:cat>
            <c:strRef>
              <c:f>'Primary key index test'!$B$17:$B$21</c:f>
            </c:strRef>
          </c:cat>
          <c:val>
            <c:numRef>
              <c:f>'Primary key index test'!$G$17:$G$21</c:f>
            </c:numRef>
          </c:val>
        </c:ser>
        <c:ser>
          <c:idx val="5"/>
          <c:order val="5"/>
          <c:tx>
            <c:strRef>
              <c:f>'Primary key index test'!$H$16</c:f>
            </c:strRef>
          </c:tx>
          <c:spPr>
            <a:solidFill>
              <a:schemeClr val="accent6"/>
            </a:solidFill>
          </c:spPr>
          <c:cat>
            <c:strRef>
              <c:f>'Primary key index test'!$B$17:$B$21</c:f>
            </c:strRef>
          </c:cat>
          <c:val>
            <c:numRef>
              <c:f>'Primary key index test'!$H$17:$H$21</c:f>
            </c:numRef>
          </c:val>
        </c:ser>
        <c:axId val="53305912"/>
        <c:axId val="1885181797"/>
      </c:barChart>
      <c:catAx>
        <c:axId val="53305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# of rows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5181797"/>
      </c:catAx>
      <c:valAx>
        <c:axId val="18851817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L2 cache miss per thousand instructions (MPKI)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3059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Instructions Per Cycle (IPC) (10 rows)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'Insert test'!$I$19</c:f>
            </c:strRef>
          </c:tx>
          <c:marker>
            <c:symbol val="none"/>
          </c:marker>
          <c:cat>
            <c:strRef>
              <c:f>'Insert test'!$J$18:$M$18</c:f>
            </c:strRef>
          </c:cat>
          <c:val>
            <c:numRef>
              <c:f>'Insert test'!$J$19:$M$19</c:f>
            </c:numRef>
          </c:val>
          <c:smooth val="0"/>
        </c:ser>
        <c:ser>
          <c:idx val="1"/>
          <c:order val="1"/>
          <c:tx>
            <c:strRef>
              <c:f>'Insert test'!$I$20</c:f>
            </c:strRef>
          </c:tx>
          <c:marker>
            <c:symbol val="none"/>
          </c:marker>
          <c:cat>
            <c:strRef>
              <c:f>'Insert test'!$J$18:$M$18</c:f>
            </c:strRef>
          </c:cat>
          <c:val>
            <c:numRef>
              <c:f>'Insert test'!$J$20:$M$20</c:f>
            </c:numRef>
          </c:val>
          <c:smooth val="0"/>
        </c:ser>
        <c:axId val="1641018997"/>
        <c:axId val="2108805663"/>
      </c:lineChart>
      <c:catAx>
        <c:axId val="16410189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Time (seconds)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8805663"/>
      </c:catAx>
      <c:valAx>
        <c:axId val="21088056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IPC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10189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L1 I-Cache Miss (100 rows)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'Insert test'!$D$39</c:f>
            </c:strRef>
          </c:tx>
          <c:marker>
            <c:symbol val="none"/>
          </c:marker>
          <c:cat>
            <c:strRef>
              <c:f>'Insert test'!$E$38:$AB$38</c:f>
            </c:strRef>
          </c:cat>
          <c:val>
            <c:numRef>
              <c:f>'Insert test'!$E$39:$AB$39</c:f>
            </c:numRef>
          </c:val>
          <c:smooth val="0"/>
        </c:ser>
        <c:ser>
          <c:idx val="1"/>
          <c:order val="1"/>
          <c:tx>
            <c:strRef>
              <c:f>'Insert test'!$D$40</c:f>
            </c:strRef>
          </c:tx>
          <c:marker>
            <c:symbol val="none"/>
          </c:marker>
          <c:cat>
            <c:strRef>
              <c:f>'Insert test'!$E$38:$AB$38</c:f>
            </c:strRef>
          </c:cat>
          <c:val>
            <c:numRef>
              <c:f>'Insert test'!$E$40:$AB$40</c:f>
            </c:numRef>
          </c:val>
          <c:smooth val="0"/>
        </c:ser>
        <c:axId val="1251735434"/>
        <c:axId val="325053963"/>
      </c:lineChart>
      <c:catAx>
        <c:axId val="12517354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Time (seconds)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5053963"/>
      </c:catAx>
      <c:valAx>
        <c:axId val="3250539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Miss per thousand instructions (MPKI)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17354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L2 Fetching Instructions Cache Miss (100 rows)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'Insert test'!$D$43</c:f>
            </c:strRef>
          </c:tx>
          <c:marker>
            <c:symbol val="none"/>
          </c:marker>
          <c:cat>
            <c:strRef>
              <c:f>'Insert test'!$E$42:$AB$42</c:f>
            </c:strRef>
          </c:cat>
          <c:val>
            <c:numRef>
              <c:f>'Insert test'!$E$43:$AB$43</c:f>
            </c:numRef>
          </c:val>
          <c:smooth val="0"/>
        </c:ser>
        <c:ser>
          <c:idx val="1"/>
          <c:order val="1"/>
          <c:tx>
            <c:strRef>
              <c:f>'Insert test'!$D$44</c:f>
            </c:strRef>
          </c:tx>
          <c:marker>
            <c:symbol val="none"/>
          </c:marker>
          <c:cat>
            <c:strRef>
              <c:f>'Insert test'!$E$42:$AB$42</c:f>
            </c:strRef>
          </c:cat>
          <c:val>
            <c:numRef>
              <c:f>'Insert test'!$E$44:$AB$44</c:f>
            </c:numRef>
          </c:val>
          <c:smooth val="0"/>
        </c:ser>
        <c:axId val="269595106"/>
        <c:axId val="2109381732"/>
      </c:lineChart>
      <c:catAx>
        <c:axId val="2695951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Time (seconds)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9381732"/>
      </c:catAx>
      <c:valAx>
        <c:axId val="21093817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Miss per thousand instructions (MPKI)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95951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Branch Prediction Miss (100 rows)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'Insert test'!$D$47</c:f>
            </c:strRef>
          </c:tx>
          <c:marker>
            <c:symbol val="none"/>
          </c:marker>
          <c:cat>
            <c:strRef>
              <c:f>'Insert test'!$E$46:$AB$46</c:f>
            </c:strRef>
          </c:cat>
          <c:val>
            <c:numRef>
              <c:f>'Insert test'!$E$47:$AB$47</c:f>
            </c:numRef>
          </c:val>
          <c:smooth val="0"/>
        </c:ser>
        <c:ser>
          <c:idx val="1"/>
          <c:order val="1"/>
          <c:tx>
            <c:strRef>
              <c:f>'Insert test'!$D$48</c:f>
            </c:strRef>
          </c:tx>
          <c:marker>
            <c:symbol val="none"/>
          </c:marker>
          <c:cat>
            <c:strRef>
              <c:f>'Insert test'!$E$46:$AB$46</c:f>
            </c:strRef>
          </c:cat>
          <c:val>
            <c:numRef>
              <c:f>'Insert test'!$E$48:$AB$48</c:f>
            </c:numRef>
          </c:val>
          <c:smooth val="0"/>
        </c:ser>
        <c:axId val="789636323"/>
        <c:axId val="1373186442"/>
      </c:lineChart>
      <c:catAx>
        <c:axId val="7896363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Time (seconds)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3186442"/>
      </c:catAx>
      <c:valAx>
        <c:axId val="13731864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Miss per thousand instructions (MPKI)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96363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Instructions Per Cycle (IPC) (100 rows)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'Insert test'!$D$51</c:f>
            </c:strRef>
          </c:tx>
          <c:marker>
            <c:symbol val="none"/>
          </c:marker>
          <c:cat>
            <c:strRef>
              <c:f>'Insert test'!$E$50:$AB$50</c:f>
            </c:strRef>
          </c:cat>
          <c:val>
            <c:numRef>
              <c:f>'Insert test'!$E$51:$AB$51</c:f>
            </c:numRef>
          </c:val>
          <c:smooth val="0"/>
        </c:ser>
        <c:ser>
          <c:idx val="1"/>
          <c:order val="1"/>
          <c:tx>
            <c:strRef>
              <c:f>'Insert test'!$D$52</c:f>
            </c:strRef>
          </c:tx>
          <c:marker>
            <c:symbol val="none"/>
          </c:marker>
          <c:cat>
            <c:strRef>
              <c:f>'Insert test'!$E$50:$AB$50</c:f>
            </c:strRef>
          </c:cat>
          <c:val>
            <c:numRef>
              <c:f>'Insert test'!$E$52:$AB$52</c:f>
            </c:numRef>
          </c:val>
          <c:smooth val="0"/>
        </c:ser>
        <c:axId val="779074737"/>
        <c:axId val="489919974"/>
      </c:lineChart>
      <c:catAx>
        <c:axId val="7790747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Time (seconds)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9919974"/>
      </c:catAx>
      <c:valAx>
        <c:axId val="4899199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IPC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90747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Branch Prediction Miss (10 rows)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'Insert test'!$I$15</c:f>
            </c:strRef>
          </c:tx>
          <c:marker>
            <c:symbol val="none"/>
          </c:marker>
          <c:cat>
            <c:strRef>
              <c:f>'Insert test'!$J$14:$M$14</c:f>
            </c:strRef>
          </c:cat>
          <c:val>
            <c:numRef>
              <c:f>'Insert test'!$J$15:$M$15</c:f>
            </c:numRef>
          </c:val>
          <c:smooth val="0"/>
        </c:ser>
        <c:ser>
          <c:idx val="1"/>
          <c:order val="1"/>
          <c:tx>
            <c:strRef>
              <c:f>'Insert test'!$I$16</c:f>
            </c:strRef>
          </c:tx>
          <c:marker>
            <c:symbol val="none"/>
          </c:marker>
          <c:cat>
            <c:strRef>
              <c:f>'Insert test'!$J$14:$M$14</c:f>
            </c:strRef>
          </c:cat>
          <c:val>
            <c:numRef>
              <c:f>'Insert test'!$J$16:$M$16</c:f>
            </c:numRef>
          </c:val>
          <c:smooth val="0"/>
        </c:ser>
        <c:axId val="1006876144"/>
        <c:axId val="2106262909"/>
      </c:lineChart>
      <c:catAx>
        <c:axId val="100687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Time (seconds)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6262909"/>
      </c:catAx>
      <c:valAx>
        <c:axId val="21062629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Miss per thousand instructions (MPKI)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68761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L1 I-Cache Miss - Index Test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'Primary key index test'!$C$25</c:f>
            </c:strRef>
          </c:tx>
          <c:spPr>
            <a:solidFill>
              <a:schemeClr val="accent1"/>
            </a:solidFill>
          </c:spPr>
          <c:cat>
            <c:strRef>
              <c:f>'Primary key index test'!$B$26:$B$30</c:f>
            </c:strRef>
          </c:cat>
          <c:val>
            <c:numRef>
              <c:f>'Primary key index test'!$C$26:$C$30</c:f>
            </c:numRef>
          </c:val>
        </c:ser>
        <c:ser>
          <c:idx val="1"/>
          <c:order val="1"/>
          <c:tx>
            <c:strRef>
              <c:f>'Primary key index test'!$D$25</c:f>
            </c:strRef>
          </c:tx>
          <c:spPr>
            <a:solidFill>
              <a:schemeClr val="accent2"/>
            </a:solidFill>
          </c:spPr>
          <c:cat>
            <c:strRef>
              <c:f>'Primary key index test'!$B$26:$B$30</c:f>
            </c:strRef>
          </c:cat>
          <c:val>
            <c:numRef>
              <c:f>'Primary key index test'!$D$26:$D$30</c:f>
            </c:numRef>
          </c:val>
        </c:ser>
        <c:ser>
          <c:idx val="2"/>
          <c:order val="2"/>
          <c:tx>
            <c:strRef>
              <c:f>'Primary key index test'!$E$25</c:f>
            </c:strRef>
          </c:tx>
          <c:spPr>
            <a:solidFill>
              <a:schemeClr val="accent3"/>
            </a:solidFill>
          </c:spPr>
          <c:cat>
            <c:strRef>
              <c:f>'Primary key index test'!$B$26:$B$30</c:f>
            </c:strRef>
          </c:cat>
          <c:val>
            <c:numRef>
              <c:f>'Primary key index test'!$E$26:$E$30</c:f>
            </c:numRef>
          </c:val>
        </c:ser>
        <c:ser>
          <c:idx val="3"/>
          <c:order val="3"/>
          <c:tx>
            <c:strRef>
              <c:f>'Primary key index test'!$F$25</c:f>
            </c:strRef>
          </c:tx>
          <c:spPr>
            <a:solidFill>
              <a:schemeClr val="accent4"/>
            </a:solidFill>
          </c:spPr>
          <c:cat>
            <c:strRef>
              <c:f>'Primary key index test'!$B$26:$B$30</c:f>
            </c:strRef>
          </c:cat>
          <c:val>
            <c:numRef>
              <c:f>'Primary key index test'!$F$26:$F$30</c:f>
            </c:numRef>
          </c:val>
        </c:ser>
        <c:ser>
          <c:idx val="4"/>
          <c:order val="4"/>
          <c:tx>
            <c:strRef>
              <c:f>'Primary key index test'!$G$25</c:f>
            </c:strRef>
          </c:tx>
          <c:spPr>
            <a:solidFill>
              <a:schemeClr val="accent5"/>
            </a:solidFill>
          </c:spPr>
          <c:cat>
            <c:strRef>
              <c:f>'Primary key index test'!$B$26:$B$30</c:f>
            </c:strRef>
          </c:cat>
          <c:val>
            <c:numRef>
              <c:f>'Primary key index test'!$G$26:$G$30</c:f>
            </c:numRef>
          </c:val>
        </c:ser>
        <c:ser>
          <c:idx val="5"/>
          <c:order val="5"/>
          <c:tx>
            <c:strRef>
              <c:f>'Primary key index test'!$H$25</c:f>
            </c:strRef>
          </c:tx>
          <c:spPr>
            <a:solidFill>
              <a:schemeClr val="accent6"/>
            </a:solidFill>
          </c:spPr>
          <c:cat>
            <c:strRef>
              <c:f>'Primary key index test'!$B$26:$B$30</c:f>
            </c:strRef>
          </c:cat>
          <c:val>
            <c:numRef>
              <c:f>'Primary key index test'!$H$26:$H$30</c:f>
            </c:numRef>
          </c:val>
        </c:ser>
        <c:axId val="229572335"/>
        <c:axId val="459636806"/>
      </c:barChart>
      <c:catAx>
        <c:axId val="229572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# of rows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9636806"/>
      </c:catAx>
      <c:valAx>
        <c:axId val="4596368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L1 i-cache miss per thousand instructions (MPKI)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95723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Branch Prediction - Index Test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'Primary key index test'!$C$35</c:f>
            </c:strRef>
          </c:tx>
          <c:spPr>
            <a:solidFill>
              <a:schemeClr val="accent1"/>
            </a:solidFill>
          </c:spPr>
          <c:cat>
            <c:strRef>
              <c:f>'Primary key index test'!$B$36:$B$40</c:f>
            </c:strRef>
          </c:cat>
          <c:val>
            <c:numRef>
              <c:f>'Primary key index test'!$C$36:$C$40</c:f>
            </c:numRef>
          </c:val>
        </c:ser>
        <c:ser>
          <c:idx val="1"/>
          <c:order val="1"/>
          <c:tx>
            <c:strRef>
              <c:f>'Primary key index test'!$D$35</c:f>
            </c:strRef>
          </c:tx>
          <c:spPr>
            <a:solidFill>
              <a:schemeClr val="accent2"/>
            </a:solidFill>
          </c:spPr>
          <c:cat>
            <c:strRef>
              <c:f>'Primary key index test'!$B$36:$B$40</c:f>
            </c:strRef>
          </c:cat>
          <c:val>
            <c:numRef>
              <c:f>'Primary key index test'!$D$36:$D$40</c:f>
            </c:numRef>
          </c:val>
        </c:ser>
        <c:ser>
          <c:idx val="2"/>
          <c:order val="2"/>
          <c:tx>
            <c:strRef>
              <c:f>'Primary key index test'!$E$35</c:f>
            </c:strRef>
          </c:tx>
          <c:spPr>
            <a:solidFill>
              <a:schemeClr val="accent3"/>
            </a:solidFill>
          </c:spPr>
          <c:cat>
            <c:strRef>
              <c:f>'Primary key index test'!$B$36:$B$40</c:f>
            </c:strRef>
          </c:cat>
          <c:val>
            <c:numRef>
              <c:f>'Primary key index test'!$E$36:$E$40</c:f>
            </c:numRef>
          </c:val>
        </c:ser>
        <c:ser>
          <c:idx val="3"/>
          <c:order val="3"/>
          <c:tx>
            <c:strRef>
              <c:f>'Primary key index test'!$F$35</c:f>
            </c:strRef>
          </c:tx>
          <c:spPr>
            <a:solidFill>
              <a:schemeClr val="accent4"/>
            </a:solidFill>
          </c:spPr>
          <c:cat>
            <c:strRef>
              <c:f>'Primary key index test'!$B$36:$B$40</c:f>
            </c:strRef>
          </c:cat>
          <c:val>
            <c:numRef>
              <c:f>'Primary key index test'!$F$36:$F$40</c:f>
            </c:numRef>
          </c:val>
        </c:ser>
        <c:ser>
          <c:idx val="4"/>
          <c:order val="4"/>
          <c:tx>
            <c:strRef>
              <c:f>'Primary key index test'!$G$35</c:f>
            </c:strRef>
          </c:tx>
          <c:spPr>
            <a:solidFill>
              <a:schemeClr val="accent5"/>
            </a:solidFill>
          </c:spPr>
          <c:cat>
            <c:strRef>
              <c:f>'Primary key index test'!$B$36:$B$40</c:f>
            </c:strRef>
          </c:cat>
          <c:val>
            <c:numRef>
              <c:f>'Primary key index test'!$G$36:$G$40</c:f>
            </c:numRef>
          </c:val>
        </c:ser>
        <c:ser>
          <c:idx val="5"/>
          <c:order val="5"/>
          <c:tx>
            <c:strRef>
              <c:f>'Primary key index test'!$H$35</c:f>
            </c:strRef>
          </c:tx>
          <c:spPr>
            <a:solidFill>
              <a:schemeClr val="accent6"/>
            </a:solidFill>
          </c:spPr>
          <c:cat>
            <c:strRef>
              <c:f>'Primary key index test'!$B$36:$B$40</c:f>
            </c:strRef>
          </c:cat>
          <c:val>
            <c:numRef>
              <c:f>'Primary key index test'!$H$36:$H$40</c:f>
            </c:numRef>
          </c:val>
        </c:ser>
        <c:axId val="903025424"/>
        <c:axId val="1939490086"/>
      </c:barChart>
      <c:catAx>
        <c:axId val="903025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# of rows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9490086"/>
      </c:catAx>
      <c:valAx>
        <c:axId val="19394900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Branch miss per thousand instructions (MPKI)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30254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IPC - Index Test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'Primary key index test'!$C$44</c:f>
            </c:strRef>
          </c:tx>
          <c:spPr>
            <a:solidFill>
              <a:schemeClr val="accent1"/>
            </a:solidFill>
          </c:spPr>
          <c:cat>
            <c:strRef>
              <c:f>'Primary key index test'!$B$45:$B$49</c:f>
            </c:strRef>
          </c:cat>
          <c:val>
            <c:numRef>
              <c:f>'Primary key index test'!$C$45:$C$49</c:f>
            </c:numRef>
          </c:val>
        </c:ser>
        <c:ser>
          <c:idx val="1"/>
          <c:order val="1"/>
          <c:tx>
            <c:strRef>
              <c:f>'Primary key index test'!$D$44</c:f>
            </c:strRef>
          </c:tx>
          <c:spPr>
            <a:solidFill>
              <a:schemeClr val="accent2"/>
            </a:solidFill>
          </c:spPr>
          <c:cat>
            <c:strRef>
              <c:f>'Primary key index test'!$B$45:$B$49</c:f>
            </c:strRef>
          </c:cat>
          <c:val>
            <c:numRef>
              <c:f>'Primary key index test'!$D$45:$D$49</c:f>
            </c:numRef>
          </c:val>
        </c:ser>
        <c:ser>
          <c:idx val="2"/>
          <c:order val="2"/>
          <c:tx>
            <c:strRef>
              <c:f>'Primary key index test'!$E$44</c:f>
            </c:strRef>
          </c:tx>
          <c:spPr>
            <a:solidFill>
              <a:schemeClr val="accent3"/>
            </a:solidFill>
          </c:spPr>
          <c:cat>
            <c:strRef>
              <c:f>'Primary key index test'!$B$45:$B$49</c:f>
            </c:strRef>
          </c:cat>
          <c:val>
            <c:numRef>
              <c:f>'Primary key index test'!$E$45:$E$49</c:f>
            </c:numRef>
          </c:val>
        </c:ser>
        <c:ser>
          <c:idx val="3"/>
          <c:order val="3"/>
          <c:tx>
            <c:strRef>
              <c:f>'Primary key index test'!$F$44</c:f>
            </c:strRef>
          </c:tx>
          <c:spPr>
            <a:solidFill>
              <a:schemeClr val="accent4"/>
            </a:solidFill>
          </c:spPr>
          <c:cat>
            <c:strRef>
              <c:f>'Primary key index test'!$B$45:$B$49</c:f>
            </c:strRef>
          </c:cat>
          <c:val>
            <c:numRef>
              <c:f>'Primary key index test'!$F$45:$F$49</c:f>
            </c:numRef>
          </c:val>
        </c:ser>
        <c:ser>
          <c:idx val="4"/>
          <c:order val="4"/>
          <c:tx>
            <c:strRef>
              <c:f>'Primary key index test'!$G$44</c:f>
            </c:strRef>
          </c:tx>
          <c:spPr>
            <a:solidFill>
              <a:schemeClr val="accent5"/>
            </a:solidFill>
          </c:spPr>
          <c:cat>
            <c:strRef>
              <c:f>'Primary key index test'!$B$45:$B$49</c:f>
            </c:strRef>
          </c:cat>
          <c:val>
            <c:numRef>
              <c:f>'Primary key index test'!$G$45:$G$49</c:f>
            </c:numRef>
          </c:val>
        </c:ser>
        <c:ser>
          <c:idx val="5"/>
          <c:order val="5"/>
          <c:tx>
            <c:strRef>
              <c:f>'Primary key index test'!$H$44</c:f>
            </c:strRef>
          </c:tx>
          <c:spPr>
            <a:solidFill>
              <a:schemeClr val="accent6"/>
            </a:solidFill>
          </c:spPr>
          <c:cat>
            <c:strRef>
              <c:f>'Primary key index test'!$B$45:$B$49</c:f>
            </c:strRef>
          </c:cat>
          <c:val>
            <c:numRef>
              <c:f>'Primary key index test'!$H$45:$H$49</c:f>
            </c:numRef>
          </c:val>
        </c:ser>
        <c:axId val="2052669386"/>
        <c:axId val="856904626"/>
      </c:barChart>
      <c:catAx>
        <c:axId val="20526693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# of rows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6904626"/>
      </c:catAx>
      <c:valAx>
        <c:axId val="8569046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Instructions per cycle (IPC)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26693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Execution Time - Partition Table Test (logscale)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'Partition Table Test'!$D$5</c:f>
            </c:strRef>
          </c:tx>
          <c:marker>
            <c:symbol val="none"/>
          </c:marker>
          <c:cat>
            <c:strRef>
              <c:f>'Partition Table Test'!$C$6:$C$10</c:f>
            </c:strRef>
          </c:cat>
          <c:val>
            <c:numRef>
              <c:f>'Partition Table Test'!$D$6:$D$10</c:f>
            </c:numRef>
          </c:val>
          <c:smooth val="0"/>
        </c:ser>
        <c:ser>
          <c:idx val="1"/>
          <c:order val="1"/>
          <c:tx>
            <c:strRef>
              <c:f>'Partition Table Test'!$E$5</c:f>
            </c:strRef>
          </c:tx>
          <c:marker>
            <c:symbol val="none"/>
          </c:marker>
          <c:cat>
            <c:strRef>
              <c:f>'Partition Table Test'!$C$6:$C$10</c:f>
            </c:strRef>
          </c:cat>
          <c:val>
            <c:numRef>
              <c:f>'Partition Table Test'!$E$6:$E$10</c:f>
            </c:numRef>
          </c:val>
          <c:smooth val="0"/>
        </c:ser>
        <c:axId val="636360218"/>
        <c:axId val="888127505"/>
      </c:lineChart>
      <c:catAx>
        <c:axId val="636360218"/>
        <c:scaling>
          <c:orientation val="minMax"/>
          <c:max val="100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# of rows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8127505"/>
      </c:catAx>
      <c:valAx>
        <c:axId val="8881275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6363602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L1 Instruction Cache Miss (MPKI) - Partition Table Test (logscale)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'Partition Table Test'!$D$14</c:f>
            </c:strRef>
          </c:tx>
          <c:marker>
            <c:symbol val="none"/>
          </c:marker>
          <c:cat>
            <c:strRef>
              <c:f>'Partition Table Test'!$C$15:$C$19</c:f>
            </c:strRef>
          </c:cat>
          <c:val>
            <c:numRef>
              <c:f>'Partition Table Test'!$D$15:$D$19</c:f>
            </c:numRef>
          </c:val>
          <c:smooth val="0"/>
        </c:ser>
        <c:ser>
          <c:idx val="1"/>
          <c:order val="1"/>
          <c:tx>
            <c:strRef>
              <c:f>'Partition Table Test'!$E$14</c:f>
            </c:strRef>
          </c:tx>
          <c:marker>
            <c:symbol val="none"/>
          </c:marker>
          <c:cat>
            <c:strRef>
              <c:f>'Partition Table Test'!$C$15:$C$19</c:f>
            </c:strRef>
          </c:cat>
          <c:val>
            <c:numRef>
              <c:f>'Partition Table Test'!$E$15:$E$19</c:f>
            </c:numRef>
          </c:val>
          <c:smooth val="0"/>
        </c:ser>
        <c:axId val="1031509027"/>
        <c:axId val="1138415570"/>
      </c:lineChart>
      <c:catAx>
        <c:axId val="10315090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# of rows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8415570"/>
      </c:catAx>
      <c:valAx>
        <c:axId val="11384155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L1 miss per thousand instructions (MPKI)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15090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L2 Cache Miss When Fetching Instructions - Partition Table Test (logscale)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'Partition Table Test'!$D$22</c:f>
            </c:strRef>
          </c:tx>
          <c:marker>
            <c:symbol val="none"/>
          </c:marker>
          <c:cat>
            <c:strRef>
              <c:f>'Partition Table Test'!$C$23:$C$27</c:f>
            </c:strRef>
          </c:cat>
          <c:val>
            <c:numRef>
              <c:f>'Partition Table Test'!$D$23:$D$27</c:f>
            </c:numRef>
          </c:val>
          <c:smooth val="0"/>
        </c:ser>
        <c:ser>
          <c:idx val="1"/>
          <c:order val="1"/>
          <c:tx>
            <c:strRef>
              <c:f>'Partition Table Test'!$E$22</c:f>
            </c:strRef>
          </c:tx>
          <c:marker>
            <c:symbol val="none"/>
          </c:marker>
          <c:cat>
            <c:strRef>
              <c:f>'Partition Table Test'!$C$23:$C$27</c:f>
            </c:strRef>
          </c:cat>
          <c:val>
            <c:numRef>
              <c:f>'Partition Table Test'!$E$23:$E$27</c:f>
            </c:numRef>
          </c:val>
          <c:smooth val="0"/>
        </c:ser>
        <c:axId val="1438096186"/>
        <c:axId val="1398562079"/>
      </c:lineChart>
      <c:catAx>
        <c:axId val="14380961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# of rows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8562079"/>
      </c:catAx>
      <c:valAx>
        <c:axId val="13985620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L2 miss per thousand instructions (MPKI)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80961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Branch Miss - Partition Table Test (logscale)</a:t>
            </a:r>
          </a:p>
        </c:rich>
      </c:tx>
      <c:layout>
        <c:manualLayout>
          <c:xMode val="edge"/>
          <c:yMode val="edge"/>
          <c:x val="0.03091666666666667"/>
          <c:y val="0.05"/>
        </c:manualLayout>
      </c:layout>
      <c:overlay val="0"/>
    </c:title>
    <c:plotArea>
      <c:layout/>
      <c:lineChart>
        <c:ser>
          <c:idx val="0"/>
          <c:order val="0"/>
          <c:tx>
            <c:strRef>
              <c:f>'Partition Table Test'!$D$30</c:f>
            </c:strRef>
          </c:tx>
          <c:marker>
            <c:symbol val="none"/>
          </c:marker>
          <c:cat>
            <c:strRef>
              <c:f>'Partition Table Test'!$C$31:$C$35</c:f>
            </c:strRef>
          </c:cat>
          <c:val>
            <c:numRef>
              <c:f>'Partition Table Test'!$D$31:$D$35</c:f>
            </c:numRef>
          </c:val>
          <c:smooth val="0"/>
        </c:ser>
        <c:ser>
          <c:idx val="1"/>
          <c:order val="1"/>
          <c:tx>
            <c:strRef>
              <c:f>'Partition Table Test'!$E$30</c:f>
            </c:strRef>
          </c:tx>
          <c:marker>
            <c:symbol val="none"/>
          </c:marker>
          <c:cat>
            <c:strRef>
              <c:f>'Partition Table Test'!$C$31:$C$35</c:f>
            </c:strRef>
          </c:cat>
          <c:val>
            <c:numRef>
              <c:f>'Partition Table Test'!$E$31:$E$35</c:f>
            </c:numRef>
          </c:val>
          <c:smooth val="0"/>
        </c:ser>
        <c:axId val="817961814"/>
        <c:axId val="1592793741"/>
      </c:lineChart>
      <c:catAx>
        <c:axId val="8179618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# of rows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2793741"/>
      </c:catAx>
      <c:valAx>
        <c:axId val="15927937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Branch miss per thousand instructions (MPKI)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79618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6" Type="http://schemas.openxmlformats.org/officeDocument/2006/relationships/chart" Target="../charts/chart1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5" Type="http://schemas.openxmlformats.org/officeDocument/2006/relationships/chart" Target="../charts/chart21.xml"/><Relationship Id="rId6" Type="http://schemas.openxmlformats.org/officeDocument/2006/relationships/chart" Target="../charts/chart22.xml"/><Relationship Id="rId7" Type="http://schemas.openxmlformats.org/officeDocument/2006/relationships/chart" Target="../charts/chart23.xml"/><Relationship Id="rId8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38100</xdr:colOff>
      <xdr:row>1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171450</xdr:colOff>
      <xdr:row>9</xdr:row>
      <xdr:rowOff>38100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485775</xdr:colOff>
      <xdr:row>16</xdr:row>
      <xdr:rowOff>104775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2181225</xdr:colOff>
      <xdr:row>24</xdr:row>
      <xdr:rowOff>57150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2181225</xdr:colOff>
      <xdr:row>37</xdr:row>
      <xdr:rowOff>180975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552450</xdr:colOff>
      <xdr:row>0</xdr:row>
      <xdr:rowOff>28575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790575</xdr:colOff>
      <xdr:row>6</xdr:row>
      <xdr:rowOff>190500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161925</xdr:colOff>
      <xdr:row>9</xdr:row>
      <xdr:rowOff>104775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485775</xdr:colOff>
      <xdr:row>13</xdr:row>
      <xdr:rowOff>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695325</xdr:colOff>
      <xdr:row>17</xdr:row>
      <xdr:rowOff>28575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514350</xdr:colOff>
      <xdr:row>3</xdr:row>
      <xdr:rowOff>123825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152400</xdr:colOff>
      <xdr:row>21</xdr:row>
      <xdr:rowOff>57150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1409700</xdr:colOff>
      <xdr:row>31</xdr:row>
      <xdr:rowOff>104775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723900</xdr:colOff>
      <xdr:row>36</xdr:row>
      <xdr:rowOff>123825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266700</xdr:colOff>
      <xdr:row>31</xdr:row>
      <xdr:rowOff>171450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10</xdr:col>
      <xdr:colOff>1352550</xdr:colOff>
      <xdr:row>13</xdr:row>
      <xdr:rowOff>171450</xdr:rowOff>
    </xdr:from>
    <xdr:ext cx="5715000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333375</xdr:colOff>
      <xdr:row>0</xdr:row>
      <xdr:rowOff>0</xdr:rowOff>
    </xdr:from>
    <xdr:ext cx="5715000" cy="35337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123825</xdr:colOff>
      <xdr:row>0</xdr:row>
      <xdr:rowOff>0</xdr:rowOff>
    </xdr:from>
    <xdr:ext cx="5715000" cy="35337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676275</xdr:colOff>
      <xdr:row>0</xdr:row>
      <xdr:rowOff>0</xdr:rowOff>
    </xdr:from>
    <xdr:ext cx="5715000" cy="353377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19</xdr:col>
      <xdr:colOff>123825</xdr:colOff>
      <xdr:row>0</xdr:row>
      <xdr:rowOff>57150</xdr:rowOff>
    </xdr:from>
    <xdr:ext cx="5715000" cy="3533775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781050</xdr:colOff>
      <xdr:row>18</xdr:row>
      <xdr:rowOff>104775</xdr:rowOff>
    </xdr:from>
    <xdr:ext cx="5715000" cy="3533775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11</xdr:col>
      <xdr:colOff>628650</xdr:colOff>
      <xdr:row>21</xdr:row>
      <xdr:rowOff>57150</xdr:rowOff>
    </xdr:from>
    <xdr:ext cx="5715000" cy="3533775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16</xdr:col>
      <xdr:colOff>609600</xdr:colOff>
      <xdr:row>12</xdr:row>
      <xdr:rowOff>66675</xdr:rowOff>
    </xdr:from>
    <xdr:ext cx="5715000" cy="3533775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20</xdr:col>
      <xdr:colOff>695325</xdr:colOff>
      <xdr:row>22</xdr:row>
      <xdr:rowOff>161925</xdr:rowOff>
    </xdr:from>
    <xdr:ext cx="5715000" cy="3533775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20</xdr:col>
      <xdr:colOff>676275</xdr:colOff>
      <xdr:row>56</xdr:row>
      <xdr:rowOff>0</xdr:rowOff>
    </xdr:from>
    <xdr:ext cx="5715000" cy="3533775"/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1.22" defaultRowHeight="15.0"/>
  <cols>
    <col customWidth="1" min="1" max="1" width="10.56"/>
    <col customWidth="1" min="2" max="2" width="11.89"/>
    <col customWidth="1" min="3" max="3" width="18.44"/>
    <col customWidth="1" min="4" max="4" width="18.67"/>
    <col customWidth="1" min="5" max="5" width="23.44"/>
    <col customWidth="1" min="6" max="6" width="21.67"/>
    <col customWidth="1" min="7" max="7" width="24.56"/>
    <col customWidth="1" min="8" max="8" width="27.78"/>
    <col customWidth="1" min="9" max="26" width="10.56"/>
  </cols>
  <sheetData>
    <row r="1" ht="15.75" customHeight="1"/>
    <row r="2" ht="15.75" customHeight="1">
      <c r="A2" s="1" t="s">
        <v>0</v>
      </c>
      <c r="B2" s="1" t="s">
        <v>0</v>
      </c>
    </row>
    <row r="3" ht="15.75" customHeight="1"/>
    <row r="4" ht="15.75" customHeight="1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</row>
    <row r="5" ht="15.75" customHeight="1">
      <c r="B5" s="1">
        <v>1.0</v>
      </c>
      <c r="C5" s="1">
        <v>0.09247</v>
      </c>
      <c r="D5" s="1">
        <v>0.02617</v>
      </c>
      <c r="E5" s="1">
        <v>0.09021</v>
      </c>
      <c r="F5" s="1">
        <v>0.02371</v>
      </c>
      <c r="G5" s="1">
        <v>0.09297</v>
      </c>
      <c r="H5" s="1">
        <v>0.02609</v>
      </c>
    </row>
    <row r="6" ht="15.75" customHeight="1">
      <c r="B6" s="1">
        <v>10.0</v>
      </c>
      <c r="C6" s="1">
        <v>0.0936</v>
      </c>
      <c r="D6" s="1">
        <v>0.02553</v>
      </c>
      <c r="E6" s="1">
        <v>0.09411</v>
      </c>
      <c r="F6" s="1">
        <v>0.02663</v>
      </c>
      <c r="G6" s="1">
        <v>0.09409</v>
      </c>
      <c r="H6" s="1">
        <v>0.02447</v>
      </c>
    </row>
    <row r="7" ht="15.75" customHeight="1">
      <c r="B7" s="1">
        <v>100.0</v>
      </c>
      <c r="C7" s="1">
        <v>0.80097</v>
      </c>
      <c r="D7" s="1">
        <v>0.02744</v>
      </c>
      <c r="E7" s="1">
        <v>0.09943</v>
      </c>
      <c r="F7" s="1">
        <v>0.023</v>
      </c>
      <c r="G7" s="1">
        <v>1.0646</v>
      </c>
      <c r="H7" s="1">
        <v>0.02419</v>
      </c>
    </row>
    <row r="8" ht="15.75" customHeight="1">
      <c r="B8" s="1">
        <v>1000.0</v>
      </c>
      <c r="C8" s="1">
        <v>0.53733</v>
      </c>
      <c r="D8" s="1">
        <v>0.03102</v>
      </c>
      <c r="E8" s="1">
        <v>0.09249</v>
      </c>
      <c r="F8" s="1">
        <v>0.0255</v>
      </c>
      <c r="G8" s="1">
        <v>2.09998</v>
      </c>
      <c r="H8" s="1">
        <v>0.02616</v>
      </c>
    </row>
    <row r="9" ht="15.75" customHeight="1">
      <c r="B9" s="1">
        <v>10000.0</v>
      </c>
      <c r="C9" s="1">
        <v>0.80968</v>
      </c>
      <c r="D9" s="1">
        <v>0.12157</v>
      </c>
      <c r="E9" s="1">
        <v>0.090966</v>
      </c>
      <c r="F9" s="1">
        <v>0.02481</v>
      </c>
      <c r="G9" s="1">
        <v>1.46715</v>
      </c>
      <c r="H9" s="1">
        <v>0.07502</v>
      </c>
    </row>
    <row r="10" ht="15.75" customHeight="1"/>
    <row r="11" ht="15.75" customHeight="1"/>
    <row r="12" ht="15.75" customHeight="1"/>
    <row r="13" ht="15.75" customHeight="1"/>
    <row r="14" ht="15.75" customHeight="1">
      <c r="A14" s="1" t="s">
        <v>8</v>
      </c>
    </row>
    <row r="15" ht="15.75" customHeight="1"/>
    <row r="16" ht="15.75" customHeight="1">
      <c r="B16" s="1" t="s">
        <v>9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7</v>
      </c>
    </row>
    <row r="17" ht="15.75" customHeight="1">
      <c r="B17" s="1">
        <v>1.0</v>
      </c>
      <c r="C17" s="1">
        <f>485264/18787864*1000</f>
        <v>25.82858807</v>
      </c>
      <c r="D17" s="2">
        <f>397077/79727289*1000</f>
        <v>4.980440261</v>
      </c>
      <c r="E17" s="3">
        <f>544203/19134842*1000</f>
        <v>28.44042297</v>
      </c>
      <c r="F17" s="1">
        <f>359197/12497938*1000</f>
        <v>28.74050103</v>
      </c>
      <c r="G17" s="1">
        <f>514707/37418659*1000</f>
        <v>13.75535665</v>
      </c>
      <c r="H17" s="1">
        <f>216026/5050146*1000</f>
        <v>42.77618904</v>
      </c>
    </row>
    <row r="18" ht="15.75" customHeight="1">
      <c r="B18" s="1">
        <v>10.0</v>
      </c>
      <c r="C18" s="1">
        <f>594135/22972114*1000</f>
        <v>25.8633141</v>
      </c>
      <c r="D18" s="1">
        <f>433651/19913519*1000</f>
        <v>21.7767136</v>
      </c>
      <c r="E18" s="1">
        <f>586155/22203793*1000</f>
        <v>26.39886798</v>
      </c>
      <c r="F18" s="1">
        <f>267444/20414258*1000</f>
        <v>13.10084354</v>
      </c>
      <c r="G18" s="1">
        <f>714444/41206741*1000</f>
        <v>17.338037</v>
      </c>
      <c r="H18" s="1">
        <f>345525/16355427*1000</f>
        <v>21.12601524</v>
      </c>
    </row>
    <row r="19" ht="15.75" customHeight="1">
      <c r="B19" s="1">
        <v>100.0</v>
      </c>
      <c r="C19" s="1">
        <f>4190153/48403630*1000</f>
        <v>86.56691657</v>
      </c>
      <c r="D19" s="1">
        <f>330852/21960006*1000</f>
        <v>15.0661161</v>
      </c>
      <c r="E19" s="1">
        <f>952887/20551684*1000</f>
        <v>46.3653976</v>
      </c>
      <c r="F19" s="1">
        <f>252403/1252844*1000</f>
        <v>201.464029</v>
      </c>
      <c r="G19" s="1">
        <f>5883237/70419902*1000</f>
        <v>83.54508928</v>
      </c>
      <c r="H19" s="1">
        <f>325289/63775980*1000</f>
        <v>5.100493948</v>
      </c>
    </row>
    <row r="20" ht="15.75" customHeight="1">
      <c r="B20" s="1">
        <v>1000.0</v>
      </c>
      <c r="C20" s="1">
        <f>3165633/80852871*1000</f>
        <v>39.1530067</v>
      </c>
      <c r="D20" s="1">
        <f>260365/79149246*1000</f>
        <v>3.289544919</v>
      </c>
      <c r="E20" s="1">
        <f>653677/85965924*1000</f>
        <v>7.603908265</v>
      </c>
      <c r="F20" s="1">
        <f>293063/19338520*1000</f>
        <v>15.15436548</v>
      </c>
      <c r="G20" s="1">
        <f>7629550/180022352*1000</f>
        <v>42.38112609</v>
      </c>
      <c r="H20" s="1">
        <f>248419/12117653*1000</f>
        <v>20.50058704</v>
      </c>
    </row>
    <row r="21" ht="15.75" customHeight="1">
      <c r="B21" s="1">
        <v>10000.0</v>
      </c>
      <c r="C21" s="1">
        <f>3053979/89798164*1000</f>
        <v>34.00937017</v>
      </c>
      <c r="D21" s="1">
        <f>1210037/238967506*1000</f>
        <v>5.063604756</v>
      </c>
      <c r="E21" s="1">
        <f>627086/11943126*1000</f>
        <v>52.50601894</v>
      </c>
      <c r="F21" s="1">
        <f>365234/9729482*1000</f>
        <v>37.53889467</v>
      </c>
      <c r="G21" s="1">
        <f>7353476/132190700*1000</f>
        <v>55.62778622</v>
      </c>
      <c r="H21" s="1">
        <f>1068199/281680935*1000</f>
        <v>3.792230383</v>
      </c>
    </row>
    <row r="22" ht="15.75" customHeight="1"/>
    <row r="23" ht="15.75" customHeight="1">
      <c r="A23" s="1" t="s">
        <v>10</v>
      </c>
    </row>
    <row r="24" ht="15.75" customHeight="1"/>
    <row r="25" ht="15.75" customHeight="1">
      <c r="B25" s="1" t="s">
        <v>9</v>
      </c>
      <c r="C25" s="1" t="s">
        <v>2</v>
      </c>
      <c r="D25" s="1" t="s">
        <v>3</v>
      </c>
      <c r="E25" s="1" t="s">
        <v>4</v>
      </c>
      <c r="F25" s="1" t="s">
        <v>5</v>
      </c>
      <c r="G25" s="1" t="s">
        <v>6</v>
      </c>
      <c r="H25" s="1" t="s">
        <v>7</v>
      </c>
    </row>
    <row r="26" ht="15.75" customHeight="1">
      <c r="B26" s="1">
        <v>1.0</v>
      </c>
      <c r="C26" s="1">
        <f>332453/18787864*1000</f>
        <v>17.69509296</v>
      </c>
      <c r="D26" s="2">
        <f>528572/79727289*1000</f>
        <v>6.629750072</v>
      </c>
      <c r="E26" s="1">
        <f>363627/19134842*1000</f>
        <v>19.00339705</v>
      </c>
      <c r="F26" s="1">
        <f>314785/12497938*1000</f>
        <v>25.18695484</v>
      </c>
      <c r="G26" s="1">
        <f>542985/37418659*1000</f>
        <v>14.51107588</v>
      </c>
      <c r="H26" s="1">
        <f>154065/5050146*1000</f>
        <v>30.50703881</v>
      </c>
    </row>
    <row r="27" ht="15.75" customHeight="1">
      <c r="B27" s="1">
        <v>10.0</v>
      </c>
      <c r="C27" s="1">
        <f>480479/22972114*1000</f>
        <v>20.91575029</v>
      </c>
      <c r="D27" s="1">
        <f>441800/19913519*1000</f>
        <v>22.18593308</v>
      </c>
      <c r="E27" s="1">
        <f>521776/22203793*1000</f>
        <v>23.49940841</v>
      </c>
      <c r="F27" s="1">
        <f>170545/20414258*1000</f>
        <v>8.354210082</v>
      </c>
      <c r="G27" s="1">
        <f>636925/41206741*1000</f>
        <v>15.45681567</v>
      </c>
      <c r="H27" s="1">
        <f>286950/16355427*1000</f>
        <v>17.54463518</v>
      </c>
    </row>
    <row r="28" ht="15.75" customHeight="1">
      <c r="B28" s="1">
        <v>100.0</v>
      </c>
      <c r="C28" s="1">
        <f>2145716/48403630*1000</f>
        <v>44.32965048</v>
      </c>
      <c r="D28" s="1">
        <f>282420/21960006*1000</f>
        <v>12.86065222</v>
      </c>
      <c r="E28" s="1">
        <f>859325/20551684*1000</f>
        <v>41.81287529</v>
      </c>
      <c r="F28" s="1">
        <f>159022/1252844*1000</f>
        <v>126.9288116</v>
      </c>
      <c r="G28" s="1">
        <f>3270956/70419902*1000</f>
        <v>46.44931201</v>
      </c>
      <c r="H28" s="1">
        <f>575872/63775980*1000</f>
        <v>9.029606444</v>
      </c>
    </row>
    <row r="29" ht="15.75" customHeight="1">
      <c r="B29" s="1">
        <v>1000.0</v>
      </c>
      <c r="C29" s="1">
        <f>2516891/80852871*1000</f>
        <v>31.12927184</v>
      </c>
      <c r="D29" s="1">
        <f>657034/79149246*1000</f>
        <v>8.301203526</v>
      </c>
      <c r="E29" s="1">
        <f>915760/85965924*1000</f>
        <v>10.652593</v>
      </c>
      <c r="F29" s="1">
        <f>202234/19338520*1000</f>
        <v>10.4575738</v>
      </c>
      <c r="G29" s="1">
        <f>5137324/180022352*1000</f>
        <v>28.53714521</v>
      </c>
      <c r="H29" s="1">
        <f>360419/12117653*1000</f>
        <v>29.74330095</v>
      </c>
    </row>
    <row r="30" ht="15.75" customHeight="1">
      <c r="B30" s="1">
        <v>10000.0</v>
      </c>
      <c r="C30" s="1">
        <f>2421430/89798164*1000</f>
        <v>26.96525065</v>
      </c>
      <c r="D30" s="1">
        <f>2550535/238967506*1000</f>
        <v>10.67314566</v>
      </c>
      <c r="E30" s="1">
        <f>500425/11943126*1000</f>
        <v>41.90067157</v>
      </c>
      <c r="F30" s="1">
        <f>290142/9729482*1000</f>
        <v>29.82090927</v>
      </c>
      <c r="G30" s="1">
        <f>4933980/132190700*1000</f>
        <v>37.32471346</v>
      </c>
      <c r="H30" s="1">
        <f>1193834/281680935*1000</f>
        <v>4.238249209</v>
      </c>
    </row>
    <row r="31" ht="15.75" customHeight="1"/>
    <row r="32" ht="15.75" customHeight="1"/>
    <row r="33" ht="15.75" customHeight="1">
      <c r="A33" s="1" t="s">
        <v>11</v>
      </c>
    </row>
    <row r="34" ht="15.75" customHeight="1"/>
    <row r="35" ht="15.75" customHeight="1">
      <c r="B35" s="1" t="s">
        <v>9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</row>
    <row r="36" ht="15.75" customHeight="1">
      <c r="B36" s="1">
        <v>1.0</v>
      </c>
      <c r="C36" s="3">
        <v>3.655019006</v>
      </c>
      <c r="D36" s="1">
        <f>990947/79727289*1000</f>
        <v>12.42920727</v>
      </c>
      <c r="E36" s="1">
        <f>56411/19134842*1000</f>
        <v>2.948077648</v>
      </c>
      <c r="F36" s="1">
        <f>37750/12497938*1000</f>
        <v>3.020498261</v>
      </c>
      <c r="G36" s="1">
        <f>89225/37418659*1000</f>
        <v>2.384505548</v>
      </c>
      <c r="H36" s="1">
        <f>68755/5050146*1000</f>
        <v>13.61445788</v>
      </c>
    </row>
    <row r="37" ht="15.75" customHeight="1">
      <c r="B37" s="1">
        <v>10.0</v>
      </c>
      <c r="C37" s="3">
        <f>111343/22972114*1000</f>
        <v>4.846876522</v>
      </c>
      <c r="D37" s="1">
        <f>117098/19913519*1000</f>
        <v>5.880326827</v>
      </c>
      <c r="E37" s="1">
        <f>171114/22203793*1000</f>
        <v>7.706521134</v>
      </c>
      <c r="F37" s="1">
        <f>15741/20414258*1000</f>
        <v>0.7710787235</v>
      </c>
      <c r="G37" s="1">
        <f>191638/41206741*1000</f>
        <v>4.650646844</v>
      </c>
      <c r="H37" s="1">
        <f>69319/16355427*1000</f>
        <v>4.238287389</v>
      </c>
    </row>
    <row r="38" ht="15.75" customHeight="1">
      <c r="B38" s="1">
        <v>100.0</v>
      </c>
      <c r="C38" s="1">
        <f>942809/48403630*1000</f>
        <v>19.47806394</v>
      </c>
      <c r="D38" s="1">
        <f>121183/21960006*1000</f>
        <v>5.518350041</v>
      </c>
      <c r="E38" s="1">
        <f>146567/20551684*1000</f>
        <v>7.1316297</v>
      </c>
      <c r="F38" s="1">
        <f>12879/1252844*1000</f>
        <v>10.27981137</v>
      </c>
      <c r="G38" s="1">
        <f>1294557/70419902*1000</f>
        <v>18.38339678</v>
      </c>
      <c r="H38" s="1">
        <f>933499/63775980*1000</f>
        <v>14.6371565</v>
      </c>
    </row>
    <row r="39" ht="15.75" customHeight="1">
      <c r="B39" s="1">
        <v>1000.0</v>
      </c>
      <c r="C39" s="1">
        <f>733564/80852871*1000</f>
        <v>9.072825627</v>
      </c>
      <c r="D39" s="1">
        <f>1144430/79149246*1000</f>
        <v>14.45913964</v>
      </c>
      <c r="E39" s="1">
        <f>578625/85965924*1000</f>
        <v>6.730864662</v>
      </c>
      <c r="F39" s="1">
        <f>12333/19338520*1000</f>
        <v>0.6377427021</v>
      </c>
      <c r="G39" s="1">
        <f>2090563/180022352*1000</f>
        <v>11.61279684</v>
      </c>
      <c r="H39" s="1">
        <f>155093/12117653*1000</f>
        <v>12.79893062</v>
      </c>
    </row>
    <row r="40" ht="15.75" customHeight="1">
      <c r="B40" s="1">
        <v>10000.0</v>
      </c>
      <c r="C40" s="1">
        <f>1092113/89798164*1000</f>
        <v>12.16186335</v>
      </c>
      <c r="D40" s="1">
        <f>1168203/238967506*1000</f>
        <v>4.888543298</v>
      </c>
      <c r="E40" s="1">
        <f>64666/11943126*1000</f>
        <v>5.414495334</v>
      </c>
      <c r="F40" s="1">
        <f>64513/9729482*1000</f>
        <v>6.630671602</v>
      </c>
      <c r="G40" s="1">
        <f>1940562/132190700*1000</f>
        <v>14.68001909</v>
      </c>
      <c r="H40" s="1">
        <f>798932/281680935*1000</f>
        <v>2.836301292</v>
      </c>
    </row>
    <row r="41" ht="15.75" customHeight="1"/>
    <row r="42" ht="15.75" customHeight="1">
      <c r="A42" s="1" t="s">
        <v>12</v>
      </c>
    </row>
    <row r="43" ht="15.75" customHeight="1"/>
    <row r="44" ht="15.75" customHeight="1">
      <c r="B44" s="1" t="s">
        <v>9</v>
      </c>
      <c r="C44" s="1" t="s">
        <v>2</v>
      </c>
      <c r="D44" s="1" t="s">
        <v>3</v>
      </c>
      <c r="E44" s="1" t="s">
        <v>4</v>
      </c>
      <c r="F44" s="1" t="s">
        <v>5</v>
      </c>
      <c r="G44" s="1" t="s">
        <v>6</v>
      </c>
      <c r="H44" s="1" t="s">
        <v>7</v>
      </c>
    </row>
    <row r="45" ht="15.75" customHeight="1">
      <c r="B45" s="1">
        <v>1.0</v>
      </c>
      <c r="C45" s="3">
        <v>0.54</v>
      </c>
      <c r="D45" s="3">
        <v>0.56</v>
      </c>
      <c r="E45" s="3">
        <v>0.45</v>
      </c>
      <c r="F45" s="3">
        <v>0.25</v>
      </c>
      <c r="G45" s="3">
        <v>1.15</v>
      </c>
      <c r="H45" s="3">
        <v>0.26</v>
      </c>
    </row>
    <row r="46" ht="15.75" customHeight="1">
      <c r="B46" s="1">
        <v>10.0</v>
      </c>
      <c r="C46" s="3">
        <v>0.46</v>
      </c>
      <c r="D46" s="3">
        <v>0.3</v>
      </c>
      <c r="E46" s="3">
        <v>0.49</v>
      </c>
      <c r="F46" s="3">
        <v>0.52</v>
      </c>
      <c r="G46" s="1">
        <v>0.78</v>
      </c>
      <c r="H46" s="1">
        <v>0.47</v>
      </c>
    </row>
    <row r="47" ht="15.75" customHeight="1">
      <c r="B47" s="1">
        <v>100.0</v>
      </c>
      <c r="C47" s="1">
        <v>0.22</v>
      </c>
      <c r="D47" s="1">
        <v>0.36</v>
      </c>
      <c r="E47" s="1">
        <v>0.31</v>
      </c>
      <c r="F47" s="1">
        <v>0.24</v>
      </c>
      <c r="G47" s="1">
        <v>0.23</v>
      </c>
      <c r="H47" s="1">
        <v>0.61</v>
      </c>
    </row>
    <row r="48" ht="15.75" customHeight="1">
      <c r="B48" s="1">
        <v>1000.0</v>
      </c>
      <c r="C48" s="1">
        <v>0.37</v>
      </c>
      <c r="D48" s="1">
        <v>0.63</v>
      </c>
      <c r="E48" s="1">
        <v>0.65</v>
      </c>
      <c r="F48" s="1">
        <v>0.54</v>
      </c>
      <c r="G48" s="1">
        <v>0.3</v>
      </c>
      <c r="H48" s="1">
        <v>0.48</v>
      </c>
    </row>
    <row r="49" ht="15.75" customHeight="1">
      <c r="B49" s="1">
        <v>10000.0</v>
      </c>
      <c r="C49" s="1">
        <v>0.33</v>
      </c>
      <c r="D49" s="1">
        <v>0.57</v>
      </c>
      <c r="E49" s="1">
        <v>0.35</v>
      </c>
      <c r="F49" s="1">
        <v>0.31</v>
      </c>
      <c r="G49" s="1">
        <v>0.28</v>
      </c>
      <c r="H49" s="1">
        <v>0.94</v>
      </c>
    </row>
    <row r="50" ht="15.75" customHeight="1"/>
    <row r="51" ht="15.75" customHeight="1"/>
    <row r="52" ht="15.75" customHeight="1">
      <c r="B52" s="1" t="s">
        <v>13</v>
      </c>
    </row>
    <row r="53" ht="15.75" customHeight="1"/>
    <row r="54" ht="15.75" customHeight="1">
      <c r="B54" s="1" t="s">
        <v>9</v>
      </c>
      <c r="C54" s="1" t="s">
        <v>2</v>
      </c>
      <c r="D54" s="1" t="s">
        <v>3</v>
      </c>
      <c r="E54" s="1" t="s">
        <v>4</v>
      </c>
      <c r="F54" s="1" t="s">
        <v>5</v>
      </c>
      <c r="G54" s="1" t="s">
        <v>6</v>
      </c>
      <c r="H54" s="1" t="s">
        <v>7</v>
      </c>
    </row>
    <row r="55" ht="15.75" customHeight="1">
      <c r="B55" s="1">
        <v>1.0</v>
      </c>
      <c r="C55" s="1">
        <v>3.4845258E7</v>
      </c>
      <c r="D55" s="4">
        <v>1.4111713E8</v>
      </c>
      <c r="E55" s="1">
        <v>4.2364241E7</v>
      </c>
      <c r="F55" s="1">
        <v>4.9737534E7</v>
      </c>
      <c r="G55" s="1">
        <v>3.2610043E7</v>
      </c>
      <c r="H55" s="1">
        <v>1.9438042E7</v>
      </c>
    </row>
    <row r="56" ht="15.75" customHeight="1">
      <c r="B56" s="1">
        <v>10.0</v>
      </c>
      <c r="C56" s="1">
        <v>4.9803153E7</v>
      </c>
      <c r="D56" s="1">
        <v>6.6637476E7</v>
      </c>
      <c r="E56" s="1">
        <v>4.5286545E7</v>
      </c>
      <c r="F56" s="1">
        <v>3.893914E7</v>
      </c>
      <c r="G56" s="1">
        <v>5.2894409E7</v>
      </c>
      <c r="H56" s="1">
        <v>3.4512861E7</v>
      </c>
    </row>
    <row r="57" ht="15.75" customHeight="1">
      <c r="B57" s="1">
        <v>100.0</v>
      </c>
      <c r="C57" s="1">
        <v>2.23922415E8</v>
      </c>
      <c r="D57" s="1">
        <v>6.1822009E7</v>
      </c>
      <c r="E57" s="1">
        <v>6.5858892E7</v>
      </c>
      <c r="F57" s="1">
        <v>5114011.0</v>
      </c>
      <c r="G57" s="1">
        <v>3.04115983E8</v>
      </c>
      <c r="H57" s="1">
        <v>1.05078276E8</v>
      </c>
    </row>
    <row r="58" ht="15.75" customHeight="1">
      <c r="B58" s="1">
        <v>1000.0</v>
      </c>
      <c r="C58" s="1">
        <v>2.19362662E8</v>
      </c>
      <c r="D58" s="1">
        <v>1.25420111E8</v>
      </c>
      <c r="E58" s="1">
        <v>1.32730227E8</v>
      </c>
      <c r="F58" s="1">
        <v>3.6089486E7</v>
      </c>
      <c r="G58" s="1">
        <v>6.096199E8</v>
      </c>
      <c r="H58" s="1">
        <v>2.529144E7</v>
      </c>
    </row>
    <row r="59" ht="15.75" customHeight="1">
      <c r="B59" s="1">
        <v>10000.0</v>
      </c>
      <c r="C59" s="1">
        <v>2.7269395E8</v>
      </c>
      <c r="D59" s="1">
        <v>4.18731756E8</v>
      </c>
      <c r="E59" s="1">
        <v>3.3813887E7</v>
      </c>
      <c r="F59" s="1">
        <v>3.14659E7</v>
      </c>
      <c r="G59" s="1">
        <v>4.79744344E8</v>
      </c>
      <c r="H59" s="1">
        <v>2.9832856E8</v>
      </c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1.22" defaultRowHeight="15.0"/>
  <cols>
    <col customWidth="1" min="1" max="2" width="10.56"/>
    <col customWidth="1" min="3" max="3" width="14.11"/>
    <col customWidth="1" min="4" max="4" width="16.33"/>
    <col customWidth="1" min="5" max="5" width="20.0"/>
    <col customWidth="1" min="6" max="16" width="10.56"/>
    <col customWidth="1" min="17" max="17" width="12.78"/>
    <col customWidth="1" min="18" max="26" width="10.56"/>
  </cols>
  <sheetData>
    <row r="1" ht="15.75" customHeight="1"/>
    <row r="2" ht="15.75" customHeight="1"/>
    <row r="3" ht="15.75" customHeight="1">
      <c r="B3" s="1" t="s">
        <v>0</v>
      </c>
    </row>
    <row r="4" ht="15.75" customHeight="1"/>
    <row r="5" ht="15.75" customHeight="1">
      <c r="C5" s="1" t="s">
        <v>9</v>
      </c>
      <c r="D5" s="1" t="s">
        <v>14</v>
      </c>
      <c r="E5" s="1" t="s">
        <v>15</v>
      </c>
    </row>
    <row r="6" ht="15.75" customHeight="1">
      <c r="C6" s="1">
        <v>1.0</v>
      </c>
      <c r="D6" s="1">
        <v>0.09149</v>
      </c>
      <c r="E6" s="1">
        <v>0.0255</v>
      </c>
    </row>
    <row r="7" ht="15.75" customHeight="1">
      <c r="C7" s="1">
        <v>10.0</v>
      </c>
      <c r="D7" s="1">
        <v>0.093967</v>
      </c>
      <c r="E7" s="1">
        <v>0.024829</v>
      </c>
    </row>
    <row r="8" ht="15.75" customHeight="1">
      <c r="C8" s="1">
        <v>100.0</v>
      </c>
      <c r="D8" s="1">
        <v>0.0925119</v>
      </c>
      <c r="E8" s="1">
        <v>0.02561</v>
      </c>
    </row>
    <row r="9" ht="15.75" customHeight="1">
      <c r="C9" s="1">
        <v>1000.0</v>
      </c>
      <c r="D9" s="1">
        <v>0.09217</v>
      </c>
      <c r="E9" s="1">
        <v>0.027301</v>
      </c>
    </row>
    <row r="10" ht="15.75" customHeight="1">
      <c r="C10" s="1">
        <v>10000.0</v>
      </c>
      <c r="D10" s="1">
        <v>0.093466</v>
      </c>
      <c r="E10" s="1">
        <v>0.027902</v>
      </c>
    </row>
    <row r="11" ht="15.75" customHeight="1"/>
    <row r="12" ht="15.75" customHeight="1">
      <c r="B12" s="1" t="s">
        <v>10</v>
      </c>
    </row>
    <row r="13" ht="15.75" customHeight="1"/>
    <row r="14" ht="15.75" customHeight="1">
      <c r="C14" s="1" t="s">
        <v>9</v>
      </c>
      <c r="D14" s="1" t="s">
        <v>14</v>
      </c>
      <c r="E14" s="1" t="s">
        <v>15</v>
      </c>
    </row>
    <row r="15" ht="15.75" customHeight="1">
      <c r="C15" s="1">
        <v>1.0</v>
      </c>
      <c r="D15" s="1">
        <f>872291/73148405*1000</f>
        <v>11.92494901</v>
      </c>
      <c r="E15" s="2">
        <f>213304/21998958*1000</f>
        <v>9.696095606</v>
      </c>
    </row>
    <row r="16" ht="15.75" customHeight="1">
      <c r="C16" s="1">
        <v>10.0</v>
      </c>
      <c r="D16" s="1">
        <f>487113/27390603*1000</f>
        <v>17.78394583</v>
      </c>
      <c r="E16" s="1">
        <f>153010/2129515*1000</f>
        <v>71.85204143</v>
      </c>
    </row>
    <row r="17" ht="15.75" customHeight="1">
      <c r="C17" s="1">
        <v>100.0</v>
      </c>
      <c r="D17" s="1">
        <f>522388/28576661*1000</f>
        <v>18.28023225</v>
      </c>
      <c r="E17" s="1">
        <f>280980/9550196*1000</f>
        <v>29.4213857</v>
      </c>
    </row>
    <row r="18" ht="15.75" customHeight="1">
      <c r="C18" s="1">
        <v>1000.0</v>
      </c>
      <c r="D18" s="1">
        <f>524268/16510889*1000</f>
        <v>31.75286322</v>
      </c>
      <c r="E18" s="1">
        <f>269477/10518674*1000</f>
        <v>25.61891356</v>
      </c>
    </row>
    <row r="19" ht="15.75" customHeight="1">
      <c r="C19" s="1">
        <v>10000.0</v>
      </c>
      <c r="D19" s="1">
        <f>593375/16767885*1000</f>
        <v>35.38758764</v>
      </c>
      <c r="E19" s="1">
        <f>398661/20587423*1000</f>
        <v>19.36429829</v>
      </c>
    </row>
    <row r="20" ht="15.75" customHeight="1"/>
    <row r="21" ht="15.75" customHeight="1">
      <c r="B21" s="1" t="s">
        <v>8</v>
      </c>
    </row>
    <row r="22" ht="15.75" customHeight="1">
      <c r="C22" s="1" t="s">
        <v>9</v>
      </c>
      <c r="D22" s="1" t="s">
        <v>14</v>
      </c>
      <c r="E22" s="1" t="s">
        <v>15</v>
      </c>
    </row>
    <row r="23" ht="15.75" customHeight="1">
      <c r="C23" s="1">
        <v>1.0</v>
      </c>
      <c r="D23" s="1">
        <f>643744/73148405*1000</f>
        <v>8.800519984</v>
      </c>
      <c r="E23" s="2">
        <f>308662/21998958*1000</f>
        <v>14.03075546</v>
      </c>
    </row>
    <row r="24" ht="15.75" customHeight="1">
      <c r="C24" s="1">
        <v>10.0</v>
      </c>
      <c r="D24" s="1">
        <f>498377/27390603*1000</f>
        <v>18.19518176</v>
      </c>
      <c r="E24" s="1">
        <f>167295/2129515*1000</f>
        <v>78.56014163</v>
      </c>
    </row>
    <row r="25" ht="15.75" customHeight="1">
      <c r="C25" s="1">
        <v>100.0</v>
      </c>
      <c r="D25" s="1">
        <f>567312/28576661*1000</f>
        <v>19.85228435</v>
      </c>
      <c r="E25" s="1">
        <f>344636/9550196*1000</f>
        <v>36.08679864</v>
      </c>
    </row>
    <row r="26" ht="15.75" customHeight="1">
      <c r="C26" s="1">
        <v>1000.0</v>
      </c>
      <c r="D26" s="1">
        <f>593372/16510889*1000</f>
        <v>35.93822235</v>
      </c>
      <c r="E26" s="1">
        <f>377392/10518674*1000</f>
        <v>35.87828656</v>
      </c>
    </row>
    <row r="27" ht="15.75" customHeight="1">
      <c r="C27" s="1">
        <v>10000.0</v>
      </c>
      <c r="D27" s="1">
        <f>695788/16767885*1000</f>
        <v>41.49527505</v>
      </c>
      <c r="E27" s="1">
        <f>423973/20587423*1000</f>
        <v>20.5937868</v>
      </c>
    </row>
    <row r="28" ht="15.75" customHeight="1">
      <c r="B28" s="1" t="s">
        <v>11</v>
      </c>
    </row>
    <row r="29" ht="15.75" customHeight="1"/>
    <row r="30" ht="15.75" customHeight="1">
      <c r="C30" s="1" t="s">
        <v>9</v>
      </c>
      <c r="D30" s="1" t="s">
        <v>14</v>
      </c>
      <c r="E30" s="1" t="s">
        <v>15</v>
      </c>
    </row>
    <row r="31" ht="15.75" customHeight="1">
      <c r="C31" s="1">
        <v>1.0</v>
      </c>
      <c r="D31" s="1">
        <f>621388/73148405*1000</f>
        <v>8.494894728</v>
      </c>
      <c r="E31" s="1">
        <f>13580/21998958*1000</f>
        <v>0.6173019649</v>
      </c>
    </row>
    <row r="32" ht="15.75" customHeight="1">
      <c r="C32" s="1">
        <v>10.0</v>
      </c>
      <c r="D32" s="1">
        <f>102823/27390603*1000</f>
        <v>3.753951675</v>
      </c>
      <c r="E32" s="1">
        <f>69912/2129515*1000</f>
        <v>32.83001059</v>
      </c>
    </row>
    <row r="33" ht="15.75" customHeight="1">
      <c r="C33" s="1">
        <v>100.0</v>
      </c>
      <c r="D33" s="1">
        <f>142163/28576661*1000</f>
        <v>4.974793941</v>
      </c>
      <c r="E33" s="1">
        <f>70677/9550196*1000</f>
        <v>7.400581098</v>
      </c>
    </row>
    <row r="34" ht="15.75" customHeight="1">
      <c r="C34" s="1">
        <v>1000.0</v>
      </c>
      <c r="D34" s="1">
        <f>81951/16510889*1000</f>
        <v>4.963451695</v>
      </c>
      <c r="E34" s="1">
        <f>12390/10518674*1000</f>
        <v>1.177905124</v>
      </c>
    </row>
    <row r="35" ht="15.75" customHeight="1">
      <c r="C35" s="1">
        <v>10000.0</v>
      </c>
      <c r="D35" s="1">
        <f>119119/16767885*1000</f>
        <v>7.103996718</v>
      </c>
      <c r="E35" s="1">
        <f>17782/20587423*1000</f>
        <v>0.8637312208</v>
      </c>
    </row>
    <row r="36" ht="15.75" customHeight="1">
      <c r="B36" s="1" t="s">
        <v>12</v>
      </c>
    </row>
    <row r="37" ht="15.75" customHeight="1"/>
    <row r="38" ht="15.75" customHeight="1">
      <c r="C38" s="1" t="s">
        <v>9</v>
      </c>
      <c r="D38" s="1" t="s">
        <v>14</v>
      </c>
      <c r="E38" s="1" t="s">
        <v>15</v>
      </c>
    </row>
    <row r="39" ht="15.75" customHeight="1">
      <c r="C39" s="1">
        <v>1.0</v>
      </c>
      <c r="D39" s="3">
        <v>0.64</v>
      </c>
      <c r="E39" s="3">
        <v>0.59</v>
      </c>
    </row>
    <row r="40" ht="15.75" customHeight="1">
      <c r="C40" s="1">
        <v>10.0</v>
      </c>
      <c r="D40" s="3">
        <v>0.39</v>
      </c>
      <c r="E40" s="3">
        <v>0.19</v>
      </c>
    </row>
    <row r="41" ht="15.75" customHeight="1">
      <c r="C41" s="1">
        <v>100.0</v>
      </c>
      <c r="D41" s="3">
        <v>0.36</v>
      </c>
      <c r="E41" s="3">
        <v>0.33</v>
      </c>
    </row>
    <row r="42" ht="15.75" customHeight="1">
      <c r="C42" s="1">
        <v>1000.0</v>
      </c>
      <c r="D42" s="3">
        <v>0.42</v>
      </c>
      <c r="E42" s="3">
        <v>0.34</v>
      </c>
    </row>
    <row r="43" ht="15.75" customHeight="1">
      <c r="C43" s="1">
        <v>10000.0</v>
      </c>
      <c r="D43" s="3">
        <v>0.36</v>
      </c>
      <c r="E43" s="3">
        <v>0.63</v>
      </c>
    </row>
    <row r="44" ht="15.75" customHeight="1"/>
    <row r="45" ht="15.75" customHeight="1"/>
    <row r="46" ht="15.75" customHeight="1">
      <c r="C46" s="1" t="s">
        <v>13</v>
      </c>
    </row>
    <row r="47" ht="15.75" customHeight="1"/>
    <row r="48" ht="15.75" customHeight="1">
      <c r="C48" s="1" t="s">
        <v>9</v>
      </c>
      <c r="D48" s="1" t="s">
        <v>14</v>
      </c>
      <c r="E48" s="1" t="s">
        <v>15</v>
      </c>
    </row>
    <row r="49" ht="15.75" customHeight="1">
      <c r="C49" s="1">
        <v>1.0</v>
      </c>
      <c r="D49" s="1">
        <v>1.13441613E8</v>
      </c>
      <c r="E49" s="4">
        <v>3.7543963E7</v>
      </c>
    </row>
    <row r="50" ht="15.75" customHeight="1">
      <c r="C50" s="1">
        <v>10.0</v>
      </c>
      <c r="D50" s="1">
        <v>6.9728431E7</v>
      </c>
      <c r="E50" s="1">
        <v>1.0998005E7</v>
      </c>
    </row>
    <row r="51" ht="15.75" customHeight="1">
      <c r="C51" s="1">
        <v>100.0</v>
      </c>
      <c r="D51" s="1">
        <v>7.8457769E7</v>
      </c>
      <c r="E51" s="1">
        <v>2.8577117E7</v>
      </c>
    </row>
    <row r="52" ht="15.75" customHeight="1">
      <c r="C52" s="1">
        <v>1000.0</v>
      </c>
      <c r="D52" s="1">
        <v>3.917799E7</v>
      </c>
      <c r="E52" s="1">
        <v>3.0581674E7</v>
      </c>
    </row>
    <row r="53" ht="15.75" customHeight="1">
      <c r="C53" s="1">
        <v>10000.0</v>
      </c>
      <c r="D53" s="1">
        <v>4.6583481E7</v>
      </c>
      <c r="E53" s="1">
        <v>3.2432713E7</v>
      </c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1.22" defaultRowHeight="15.0"/>
  <cols>
    <col customWidth="1" min="1" max="3" width="10.56"/>
    <col customWidth="1" min="4" max="4" width="16.78"/>
    <col customWidth="1" min="5" max="5" width="17.11"/>
    <col customWidth="1" min="6" max="6" width="19.11"/>
    <col customWidth="1" min="7" max="7" width="21.78"/>
    <col customWidth="1" min="8" max="9" width="10.56"/>
    <col customWidth="1" min="10" max="10" width="16.44"/>
    <col customWidth="1" min="11" max="12" width="17.0"/>
    <col customWidth="1" min="13" max="13" width="15.33"/>
    <col customWidth="1" min="14" max="26" width="10.56"/>
  </cols>
  <sheetData>
    <row r="1" ht="15.75" customHeight="1"/>
    <row r="2" ht="15.75" customHeight="1"/>
    <row r="3" ht="15.75" customHeight="1"/>
    <row r="4" ht="15.75" customHeight="1">
      <c r="B4" s="1" t="s">
        <v>0</v>
      </c>
    </row>
    <row r="5" ht="15.75" customHeight="1"/>
    <row r="6" ht="15.75" customHeight="1">
      <c r="C6" s="1" t="s">
        <v>9</v>
      </c>
      <c r="D6" s="1" t="s">
        <v>16</v>
      </c>
      <c r="E6" s="1" t="s">
        <v>17</v>
      </c>
      <c r="F6" s="1" t="s">
        <v>18</v>
      </c>
      <c r="G6" s="1" t="s">
        <v>19</v>
      </c>
    </row>
    <row r="7" ht="15.75" customHeight="1">
      <c r="C7" s="1">
        <v>1.0</v>
      </c>
      <c r="D7" s="1">
        <v>0.11952</v>
      </c>
      <c r="E7" s="1">
        <v>0.8536</v>
      </c>
      <c r="F7" s="1">
        <v>0.091778</v>
      </c>
      <c r="G7" s="1">
        <v>0.12986</v>
      </c>
    </row>
    <row r="8" ht="15.75" customHeight="1">
      <c r="C8" s="1">
        <v>10.0</v>
      </c>
      <c r="D8" s="1">
        <v>0.11265</v>
      </c>
      <c r="E8" s="1">
        <v>0.085111</v>
      </c>
      <c r="F8" s="1">
        <v>0.92259</v>
      </c>
      <c r="G8" s="1">
        <v>0.067899</v>
      </c>
    </row>
    <row r="9" ht="15.75" customHeight="1">
      <c r="C9" s="1">
        <v>100.0</v>
      </c>
      <c r="D9" s="1">
        <v>0.11843</v>
      </c>
      <c r="E9" s="1">
        <v>0.1024995</v>
      </c>
      <c r="F9" s="1">
        <v>0.090629</v>
      </c>
      <c r="G9" s="1">
        <v>0.10777</v>
      </c>
    </row>
    <row r="10" ht="15.75" customHeight="1">
      <c r="C10" s="1">
        <v>1000.0</v>
      </c>
      <c r="D10" s="1">
        <v>0.118589</v>
      </c>
      <c r="E10" s="1">
        <v>0.08721</v>
      </c>
      <c r="F10" s="1">
        <v>0.09143</v>
      </c>
      <c r="G10" s="1">
        <v>0.108237</v>
      </c>
    </row>
    <row r="11" ht="15.75" customHeight="1">
      <c r="C11" s="1">
        <v>10000.0</v>
      </c>
      <c r="D11" s="1">
        <v>0.13134</v>
      </c>
      <c r="E11" s="1">
        <v>0.84724</v>
      </c>
      <c r="F11" s="1">
        <v>0.094046</v>
      </c>
      <c r="G11" s="1">
        <v>0.0898404</v>
      </c>
    </row>
    <row r="12" ht="15.75" customHeight="1"/>
    <row r="13" ht="15.75" customHeight="1">
      <c r="B13" s="1" t="s">
        <v>10</v>
      </c>
    </row>
    <row r="14" ht="15.75" customHeight="1"/>
    <row r="15" ht="15.75" customHeight="1">
      <c r="C15" s="1" t="s">
        <v>9</v>
      </c>
      <c r="D15" s="1" t="s">
        <v>16</v>
      </c>
      <c r="E15" s="1" t="s">
        <v>17</v>
      </c>
      <c r="F15" s="1" t="s">
        <v>18</v>
      </c>
      <c r="G15" s="1" t="s">
        <v>19</v>
      </c>
    </row>
    <row r="16" ht="15.75" customHeight="1">
      <c r="C16" s="1">
        <v>1.0</v>
      </c>
      <c r="D16" s="1">
        <f>668562/20993143*1000</f>
        <v>31.84668442</v>
      </c>
      <c r="E16" s="2">
        <f>561459/12315038*1000</f>
        <v>45.59133313</v>
      </c>
      <c r="F16" s="1">
        <f>734396/21762777*1000</f>
        <v>33.74550959</v>
      </c>
      <c r="G16" s="1">
        <f>883758/23021284*1000</f>
        <v>38.38873627</v>
      </c>
    </row>
    <row r="17" ht="15.75" customHeight="1">
      <c r="C17" s="1">
        <v>10.0</v>
      </c>
      <c r="D17" s="1">
        <f>827994/14688466*1000</f>
        <v>56.37035208</v>
      </c>
      <c r="E17" s="1">
        <f>466774/16927064*1000</f>
        <v>27.57560319</v>
      </c>
      <c r="F17" s="1">
        <f>561899/12483873*1000</f>
        <v>45.00999009</v>
      </c>
      <c r="G17" s="1">
        <f>419099/11585614*1000</f>
        <v>36.17408624</v>
      </c>
    </row>
    <row r="18" ht="15.75" customHeight="1">
      <c r="C18" s="1">
        <v>100.0</v>
      </c>
      <c r="D18" s="1">
        <f>701086/25146333*1000</f>
        <v>27.88024799</v>
      </c>
      <c r="E18" s="1">
        <f>539460/25848227*1000</f>
        <v>20.87029025</v>
      </c>
      <c r="F18" s="1">
        <f>815222/70808376*1000</f>
        <v>11.51307297</v>
      </c>
      <c r="G18" s="1">
        <f>496698/32606610*1000</f>
        <v>15.23304631</v>
      </c>
    </row>
    <row r="19" ht="15.75" customHeight="1">
      <c r="C19" s="1">
        <v>1000.0</v>
      </c>
      <c r="D19" s="1">
        <f>968912/44482288*1000</f>
        <v>21.78197309</v>
      </c>
      <c r="E19" s="1">
        <f>381097/24345763*1000</f>
        <v>15.6535246</v>
      </c>
      <c r="F19" s="1">
        <f>452894/40867813*1000</f>
        <v>11.08192406</v>
      </c>
      <c r="G19" s="1">
        <f>582804/24138320*1000</f>
        <v>24.14434807</v>
      </c>
    </row>
    <row r="20" ht="15.75" customHeight="1">
      <c r="C20" s="1">
        <v>10000.0</v>
      </c>
      <c r="D20" s="1">
        <f>896305/36079693*1000</f>
        <v>24.8423677</v>
      </c>
      <c r="E20" s="1">
        <f>641230/15514225*1000</f>
        <v>41.33174554</v>
      </c>
      <c r="F20" s="1">
        <f>769040/32321759*1000</f>
        <v>23.79325952</v>
      </c>
      <c r="G20" s="1">
        <f>760698/67694167*1000</f>
        <v>11.23727544</v>
      </c>
    </row>
    <row r="21" ht="15.75" customHeight="1"/>
    <row r="22" ht="15.75" customHeight="1">
      <c r="B22" s="1" t="s">
        <v>8</v>
      </c>
    </row>
    <row r="23" ht="15.75" customHeight="1"/>
    <row r="24" ht="15.75" customHeight="1">
      <c r="C24" s="1" t="s">
        <v>9</v>
      </c>
      <c r="D24" s="1" t="s">
        <v>16</v>
      </c>
      <c r="E24" s="1" t="s">
        <v>17</v>
      </c>
      <c r="F24" s="1" t="s">
        <v>18</v>
      </c>
      <c r="G24" s="1" t="s">
        <v>19</v>
      </c>
    </row>
    <row r="25" ht="15.75" customHeight="1">
      <c r="C25" s="1">
        <v>1.0</v>
      </c>
      <c r="D25" s="1">
        <f>810084/20993143*1000</f>
        <v>38.58802848</v>
      </c>
      <c r="E25" s="2">
        <f>576034/12315038*1000</f>
        <v>46.77484552</v>
      </c>
      <c r="F25" s="1">
        <f>765004/21762777*1000</f>
        <v>35.15194775</v>
      </c>
      <c r="G25" s="1">
        <f>903122/23021284*1000</f>
        <v>39.22987093</v>
      </c>
    </row>
    <row r="26" ht="15.75" customHeight="1">
      <c r="C26" s="1">
        <v>10.0</v>
      </c>
      <c r="D26" s="1">
        <f>1014004/14688466*1000</f>
        <v>69.03402983</v>
      </c>
      <c r="E26" s="1">
        <f>403367/16927064*1000</f>
        <v>23.82970845</v>
      </c>
      <c r="F26" s="1">
        <f>553485/12483873*1000</f>
        <v>44.33600053</v>
      </c>
      <c r="G26" s="1">
        <f>394392/11585614*1000</f>
        <v>34.04152771</v>
      </c>
    </row>
    <row r="27" ht="15.75" customHeight="1">
      <c r="C27" s="1">
        <v>100.0</v>
      </c>
      <c r="D27" s="1">
        <f>980596/25146333*1000</f>
        <v>38.99558635</v>
      </c>
      <c r="E27" s="1">
        <f>723839/25848227*1000</f>
        <v>28.0034294</v>
      </c>
      <c r="F27" s="1">
        <f>206552/70808376*1000</f>
        <v>2.917056027</v>
      </c>
      <c r="G27" s="1">
        <f>728528/32606610*1000</f>
        <v>22.34295439</v>
      </c>
    </row>
    <row r="28" ht="15.75" customHeight="1">
      <c r="C28" s="1">
        <v>1000.0</v>
      </c>
      <c r="D28" s="1">
        <f>1266945/44482288*1000</f>
        <v>28.48201064</v>
      </c>
      <c r="E28" s="1">
        <f>659922/24345763*1000</f>
        <v>27.1062361</v>
      </c>
      <c r="F28" s="1">
        <f>304326/40867813*1000</f>
        <v>7.446593729</v>
      </c>
      <c r="G28" s="1">
        <f>796530/24138320*1000</f>
        <v>32.99856825</v>
      </c>
    </row>
    <row r="29" ht="15.75" customHeight="1">
      <c r="C29" s="1">
        <v>10000.0</v>
      </c>
      <c r="D29" s="1">
        <f>1140010/36079693*1000</f>
        <v>31.59699834</v>
      </c>
      <c r="E29" s="1">
        <f>460091/15514225*1000</f>
        <v>29.6560737</v>
      </c>
      <c r="F29" s="1">
        <f>912420/15514225*1000</f>
        <v>58.81183237</v>
      </c>
      <c r="G29" s="1">
        <f>529338/67694167*1000</f>
        <v>7.819551129</v>
      </c>
    </row>
    <row r="30" ht="15.75" customHeight="1"/>
    <row r="31" ht="15.75" customHeight="1">
      <c r="B31" s="3" t="s">
        <v>11</v>
      </c>
    </row>
    <row r="32" ht="15.75" customHeight="1">
      <c r="C32" s="1" t="s">
        <v>9</v>
      </c>
      <c r="D32" s="1" t="s">
        <v>16</v>
      </c>
      <c r="E32" s="1" t="s">
        <v>17</v>
      </c>
      <c r="F32" s="1" t="s">
        <v>18</v>
      </c>
      <c r="G32" s="1" t="s">
        <v>19</v>
      </c>
    </row>
    <row r="33" ht="15.75" customHeight="1">
      <c r="C33" s="1">
        <v>1.0</v>
      </c>
      <c r="D33" s="1">
        <f>222210/20993143*1000</f>
        <v>10.58488479</v>
      </c>
      <c r="E33" s="2">
        <f>205001/12315038*1000</f>
        <v>16.64639606</v>
      </c>
      <c r="F33" s="3">
        <f>149138/21762777*1000</f>
        <v>6.85289382</v>
      </c>
      <c r="G33" s="3">
        <f>328439/23021284*1000</f>
        <v>14.26675419</v>
      </c>
    </row>
    <row r="34" ht="15.75" customHeight="1">
      <c r="C34" s="1">
        <v>10.0</v>
      </c>
      <c r="D34" s="1">
        <f>162741/14688466*1000</f>
        <v>11.0795096</v>
      </c>
      <c r="E34" s="1">
        <f>173719/16927064*1000</f>
        <v>10.26279572</v>
      </c>
      <c r="F34" s="1">
        <f>132951/12483873*1000</f>
        <v>10.64981997</v>
      </c>
      <c r="G34" s="1">
        <f>159502/11585614*1000</f>
        <v>13.76724617</v>
      </c>
    </row>
    <row r="35" ht="15.75" customHeight="1">
      <c r="C35" s="1">
        <v>100.0</v>
      </c>
      <c r="D35" s="1">
        <f>215690/25146333*1000</f>
        <v>8.57739377</v>
      </c>
      <c r="E35" s="1">
        <f>125909/25848227*1000</f>
        <v>4.87108845</v>
      </c>
      <c r="F35" s="1">
        <f>450136/70808376*1000</f>
        <v>6.35710103</v>
      </c>
      <c r="G35" s="1">
        <f>123932/32606610*1000</f>
        <v>3.800824434</v>
      </c>
    </row>
    <row r="36" ht="15.75" customHeight="1">
      <c r="C36" s="1">
        <v>1000.0</v>
      </c>
      <c r="D36" s="1">
        <f>262720/44482288*1000</f>
        <v>5.906171014</v>
      </c>
      <c r="E36" s="1">
        <f>110939/24345763*1000</f>
        <v>4.556809331</v>
      </c>
      <c r="F36" s="1">
        <f>89249/40867813*1000</f>
        <v>2.183845757</v>
      </c>
      <c r="G36" s="1">
        <f>149317/24138320*1000</f>
        <v>6.185890319</v>
      </c>
    </row>
    <row r="37" ht="15.75" customHeight="1">
      <c r="C37" s="1">
        <v>10000.0</v>
      </c>
      <c r="D37" s="1">
        <f>210649/36079693*1000</f>
        <v>5.838436596</v>
      </c>
      <c r="E37" s="1">
        <f>203501/15514225*1000</f>
        <v>13.1170587</v>
      </c>
      <c r="F37" s="1">
        <f>152295/15514225*1000</f>
        <v>9.81647488</v>
      </c>
      <c r="G37" s="1">
        <f>471354/67694167*1000</f>
        <v>6.962992838</v>
      </c>
    </row>
    <row r="38" ht="15.75" customHeight="1">
      <c r="B38" s="3"/>
    </row>
    <row r="39" ht="15.75" customHeight="1">
      <c r="B39" s="3" t="s">
        <v>20</v>
      </c>
    </row>
    <row r="40" ht="15.75" customHeight="1">
      <c r="C40" s="1" t="s">
        <v>9</v>
      </c>
      <c r="D40" s="1" t="s">
        <v>16</v>
      </c>
      <c r="E40" s="1" t="s">
        <v>17</v>
      </c>
      <c r="F40" s="1" t="s">
        <v>18</v>
      </c>
      <c r="G40" s="1" t="s">
        <v>19</v>
      </c>
    </row>
    <row r="41" ht="15.75" customHeight="1">
      <c r="C41" s="1">
        <v>1.0</v>
      </c>
      <c r="D41" s="5">
        <v>0.0549</v>
      </c>
      <c r="E41" s="6">
        <v>0.132</v>
      </c>
      <c r="F41" s="6">
        <v>0.0367</v>
      </c>
      <c r="G41" s="6">
        <v>0.2222</v>
      </c>
    </row>
    <row r="42" ht="15.75" customHeight="1">
      <c r="C42" s="1">
        <v>10.0</v>
      </c>
      <c r="D42" s="6">
        <v>0.1025</v>
      </c>
      <c r="E42" s="6">
        <v>0.1459</v>
      </c>
      <c r="F42" s="6">
        <v>0.2298</v>
      </c>
      <c r="G42" s="6">
        <v>0.2326</v>
      </c>
    </row>
    <row r="43" ht="15.75" customHeight="1">
      <c r="C43" s="1">
        <v>100.0</v>
      </c>
      <c r="D43" s="6">
        <v>0.0435</v>
      </c>
      <c r="E43" s="6">
        <v>0.0798</v>
      </c>
      <c r="F43" s="6">
        <v>0.0363</v>
      </c>
      <c r="G43" s="6">
        <v>0.0876</v>
      </c>
    </row>
    <row r="44" ht="15.75" customHeight="1">
      <c r="C44" s="1">
        <v>1000.0</v>
      </c>
      <c r="D44" s="6">
        <v>0.0234</v>
      </c>
      <c r="E44" s="6">
        <v>0.017</v>
      </c>
      <c r="F44" s="6">
        <v>0.0112</v>
      </c>
      <c r="G44" s="6">
        <v>0.0923</v>
      </c>
    </row>
    <row r="45" ht="15.75" customHeight="1">
      <c r="C45" s="1">
        <v>10000.0</v>
      </c>
      <c r="D45" s="6">
        <v>0.031</v>
      </c>
      <c r="E45" s="6">
        <v>0.0611</v>
      </c>
      <c r="F45" s="6">
        <v>0.1114</v>
      </c>
      <c r="G45" s="6">
        <v>0.0402</v>
      </c>
    </row>
    <row r="46" ht="15.75" customHeight="1"/>
    <row r="47" ht="15.75" customHeight="1">
      <c r="B47" s="1" t="s">
        <v>12</v>
      </c>
    </row>
    <row r="48" ht="15.75" customHeight="1">
      <c r="C48" s="1" t="s">
        <v>9</v>
      </c>
      <c r="D48" s="1" t="s">
        <v>16</v>
      </c>
      <c r="E48" s="1" t="s">
        <v>17</v>
      </c>
      <c r="F48" s="1" t="s">
        <v>18</v>
      </c>
      <c r="G48" s="1" t="s">
        <v>19</v>
      </c>
    </row>
    <row r="49" ht="15.75" customHeight="1">
      <c r="C49" s="1">
        <v>1.0</v>
      </c>
      <c r="D49" s="1">
        <v>0.35</v>
      </c>
      <c r="E49" s="1">
        <v>0.28</v>
      </c>
      <c r="F49" s="1">
        <v>0.39</v>
      </c>
      <c r="G49" s="1">
        <v>0.33</v>
      </c>
    </row>
    <row r="50" ht="15.75" customHeight="1">
      <c r="C50" s="1">
        <v>10.0</v>
      </c>
      <c r="D50" s="1">
        <v>0.3</v>
      </c>
      <c r="E50" s="1">
        <v>0.45</v>
      </c>
      <c r="F50" s="1">
        <v>0.31</v>
      </c>
      <c r="G50" s="1">
        <v>0.34</v>
      </c>
    </row>
    <row r="51" ht="15.75" customHeight="1">
      <c r="C51" s="1">
        <v>100.0</v>
      </c>
      <c r="D51" s="1">
        <v>0.4</v>
      </c>
      <c r="E51" s="1">
        <v>0.45</v>
      </c>
      <c r="F51" s="1">
        <v>0.68</v>
      </c>
      <c r="G51" s="1">
        <v>0.98</v>
      </c>
    </row>
    <row r="52" ht="15.75" customHeight="1">
      <c r="C52" s="1">
        <v>1000.0</v>
      </c>
      <c r="D52" s="1">
        <v>0.46</v>
      </c>
      <c r="E52" s="1">
        <v>0.33</v>
      </c>
      <c r="F52" s="1">
        <v>1.18</v>
      </c>
      <c r="G52" s="1">
        <v>0.45</v>
      </c>
    </row>
    <row r="53" ht="15.75" customHeight="1">
      <c r="C53" s="1">
        <v>10000.0</v>
      </c>
      <c r="D53" s="1">
        <v>0.48</v>
      </c>
      <c r="E53" s="1">
        <v>0.27</v>
      </c>
      <c r="F53" s="1">
        <v>0.51</v>
      </c>
      <c r="G53" s="1">
        <v>0.66</v>
      </c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>
      <c r="C59" s="1" t="s">
        <v>13</v>
      </c>
    </row>
    <row r="60" ht="15.75" customHeight="1"/>
    <row r="61" ht="15.75" customHeight="1">
      <c r="C61" s="1" t="s">
        <v>9</v>
      </c>
      <c r="D61" s="1" t="s">
        <v>16</v>
      </c>
      <c r="E61" s="1" t="s">
        <v>17</v>
      </c>
      <c r="F61" s="1" t="s">
        <v>18</v>
      </c>
      <c r="G61" s="1" t="s">
        <v>19</v>
      </c>
    </row>
    <row r="62" ht="15.75" customHeight="1">
      <c r="C62" s="1">
        <v>1.0</v>
      </c>
      <c r="D62" s="1">
        <v>5.9139941E7</v>
      </c>
      <c r="E62" s="4">
        <v>4.4762963E7</v>
      </c>
      <c r="F62" s="1">
        <v>5.5182075E7</v>
      </c>
      <c r="G62" s="1">
        <v>7.0547661E7</v>
      </c>
    </row>
    <row r="63" ht="15.75" customHeight="1">
      <c r="C63" s="1">
        <v>10.0</v>
      </c>
      <c r="D63" s="1">
        <v>4.8898091E7</v>
      </c>
      <c r="E63" s="1">
        <v>3.7264923E7</v>
      </c>
      <c r="F63" s="1">
        <v>4.0010229E7</v>
      </c>
      <c r="G63" s="1">
        <v>3.4020746E7</v>
      </c>
    </row>
    <row r="64" ht="15.75" customHeight="1">
      <c r="C64" s="1">
        <v>100.0</v>
      </c>
      <c r="D64" s="1">
        <v>6.3530244E7</v>
      </c>
      <c r="E64" s="1">
        <v>5.721692E7</v>
      </c>
      <c r="F64" s="1">
        <v>1.04024763E8</v>
      </c>
      <c r="G64" s="1">
        <v>3.3348753E7</v>
      </c>
    </row>
    <row r="65" ht="15.75" customHeight="1">
      <c r="C65" s="1">
        <v>1000.0</v>
      </c>
      <c r="D65" s="1">
        <v>9.7506211E7</v>
      </c>
      <c r="E65" s="1">
        <v>7.3539356E7</v>
      </c>
      <c r="F65" s="1">
        <v>3.459524E7</v>
      </c>
      <c r="G65" s="1">
        <v>5.4118513E7</v>
      </c>
    </row>
    <row r="66" ht="15.75" customHeight="1">
      <c r="C66" s="1">
        <v>10000.0</v>
      </c>
      <c r="D66" s="1">
        <v>7.4642946E7</v>
      </c>
      <c r="E66" s="1">
        <v>5.6846883E7</v>
      </c>
      <c r="F66" s="1">
        <v>6.3835711E7</v>
      </c>
      <c r="G66" s="1">
        <v>1.02318861E8</v>
      </c>
    </row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3" width="14.44"/>
  </cols>
  <sheetData>
    <row r="4">
      <c r="A4" s="1" t="s">
        <v>15</v>
      </c>
      <c r="B4" s="3" t="s">
        <v>21</v>
      </c>
    </row>
    <row r="5">
      <c r="C5" s="3" t="s">
        <v>22</v>
      </c>
      <c r="D5" s="7">
        <v>0.400489851</v>
      </c>
      <c r="E5" s="7">
        <v>0.801261663</v>
      </c>
      <c r="F5" s="7">
        <v>1.201712142</v>
      </c>
      <c r="G5" s="7">
        <v>1.353198533</v>
      </c>
      <c r="I5" s="3" t="s">
        <v>22</v>
      </c>
      <c r="J5" s="3">
        <v>0.4</v>
      </c>
      <c r="K5" s="3">
        <v>0.8</v>
      </c>
      <c r="L5" s="3">
        <v>1.2</v>
      </c>
      <c r="M5" s="3">
        <v>1.35</v>
      </c>
    </row>
    <row r="6">
      <c r="C6" s="3" t="s">
        <v>23</v>
      </c>
      <c r="D6" s="1">
        <f>1408591/38080980*1000</f>
        <v>36.98935794</v>
      </c>
      <c r="E6" s="2">
        <f>1461163/23686584*1000</f>
        <v>61.68736699</v>
      </c>
      <c r="F6" s="3">
        <f>1424148/41919821*1000</f>
        <v>33.97314125</v>
      </c>
      <c r="G6" s="1">
        <f>554545/15945374*1000</f>
        <v>34.77779825</v>
      </c>
      <c r="I6" s="3" t="s">
        <v>15</v>
      </c>
      <c r="J6" s="1">
        <f>1408591/38080980*1000</f>
        <v>36.98935794</v>
      </c>
      <c r="K6" s="2">
        <f>1461163/23686584*1000</f>
        <v>61.68736699</v>
      </c>
      <c r="L6" s="3">
        <f>1424148/41919821*1000</f>
        <v>33.97314125</v>
      </c>
      <c r="M6" s="1">
        <f>554545/15945374*1000</f>
        <v>34.77779825</v>
      </c>
    </row>
    <row r="7">
      <c r="C7" s="3" t="s">
        <v>24</v>
      </c>
      <c r="D7" s="1">
        <f>2019641/38080980*1000</f>
        <v>53.03542608</v>
      </c>
      <c r="E7" s="1">
        <f>2322883/23686584*1000</f>
        <v>98.06745456</v>
      </c>
      <c r="F7" s="3">
        <f>2080007/41919821*1000</f>
        <v>49.61869947</v>
      </c>
      <c r="G7" s="3">
        <f>950916/15945374*1000</f>
        <v>59.63585426</v>
      </c>
      <c r="I7" s="8" t="s">
        <v>14</v>
      </c>
      <c r="J7" s="1">
        <f>2475862/187722545*1000</f>
        <v>13.18894329</v>
      </c>
      <c r="K7" s="2">
        <f>2860579/191676466*1000</f>
        <v>14.92399698</v>
      </c>
      <c r="L7" s="1">
        <f>2455460/68424534*1000</f>
        <v>35.88566639</v>
      </c>
    </row>
    <row r="8">
      <c r="C8" s="3" t="s">
        <v>25</v>
      </c>
      <c r="D8" s="3">
        <f>622077/38080980*1000</f>
        <v>16.33563527</v>
      </c>
      <c r="E8" s="3">
        <f>503599/23686584*1000</f>
        <v>21.26093826</v>
      </c>
      <c r="F8" s="1">
        <f>515224/41919821*1000</f>
        <v>12.29070134</v>
      </c>
      <c r="G8" s="1">
        <f>259500/15945374*1000</f>
        <v>16.27431254</v>
      </c>
    </row>
    <row r="9">
      <c r="C9" s="3" t="s">
        <v>26</v>
      </c>
      <c r="D9" s="3">
        <v>0.26</v>
      </c>
      <c r="E9" s="3">
        <v>0.18</v>
      </c>
      <c r="F9" s="3">
        <v>0.3</v>
      </c>
      <c r="G9" s="3">
        <v>0.14</v>
      </c>
    </row>
    <row r="10">
      <c r="I10" s="3" t="s">
        <v>22</v>
      </c>
      <c r="J10" s="3">
        <v>0.4</v>
      </c>
      <c r="K10" s="3">
        <v>0.8</v>
      </c>
      <c r="L10" s="3">
        <v>1.2</v>
      </c>
      <c r="M10" s="3">
        <v>1.35</v>
      </c>
    </row>
    <row r="11">
      <c r="I11" s="8" t="s">
        <v>15</v>
      </c>
      <c r="J11" s="1">
        <f>2019641/38080980*1000</f>
        <v>53.03542608</v>
      </c>
      <c r="K11" s="1">
        <f>2322883/23686584*1000</f>
        <v>98.06745456</v>
      </c>
      <c r="L11" s="3">
        <f>2080007/41919821*1000</f>
        <v>49.61869947</v>
      </c>
      <c r="M11" s="3">
        <f>950916/15945374*1000</f>
        <v>59.63585426</v>
      </c>
    </row>
    <row r="12">
      <c r="A12" s="3" t="s">
        <v>14</v>
      </c>
      <c r="B12" s="3" t="s">
        <v>21</v>
      </c>
      <c r="I12" s="8" t="s">
        <v>14</v>
      </c>
      <c r="J12" s="3">
        <f>2600624/187722545*1000</f>
        <v>13.85355179</v>
      </c>
      <c r="K12" s="3">
        <f>2719388/191676466*1000</f>
        <v>14.18738595</v>
      </c>
      <c r="L12" s="3">
        <f>3029647/68424534*1000</f>
        <v>44.27720326</v>
      </c>
    </row>
    <row r="13">
      <c r="C13" s="3" t="s">
        <v>22</v>
      </c>
      <c r="D13" s="7">
        <v>0.400491888</v>
      </c>
      <c r="E13" s="3">
        <v>0.800890653</v>
      </c>
      <c r="F13" s="7">
        <v>1.088973923</v>
      </c>
    </row>
    <row r="14">
      <c r="C14" s="3" t="s">
        <v>23</v>
      </c>
      <c r="D14" s="1">
        <f>2475862/187722545*1000</f>
        <v>13.18894329</v>
      </c>
      <c r="E14" s="2">
        <f>2860579/191676466*1000</f>
        <v>14.92399698</v>
      </c>
      <c r="F14" s="1">
        <f>2455460/68424534*1000</f>
        <v>35.88566639</v>
      </c>
      <c r="I14" s="3" t="s">
        <v>22</v>
      </c>
      <c r="J14" s="3">
        <v>0.4</v>
      </c>
      <c r="K14" s="3">
        <v>0.8</v>
      </c>
      <c r="L14" s="3">
        <v>1.2</v>
      </c>
      <c r="M14" s="3">
        <v>1.35</v>
      </c>
    </row>
    <row r="15">
      <c r="C15" s="3" t="s">
        <v>24</v>
      </c>
      <c r="D15" s="3">
        <f>2600624/187722545*1000</f>
        <v>13.85355179</v>
      </c>
      <c r="E15" s="3">
        <f>2719388/191676466*1000</f>
        <v>14.18738595</v>
      </c>
      <c r="F15" s="3">
        <f>3029647/68424534*1000</f>
        <v>44.27720326</v>
      </c>
      <c r="I15" s="3" t="s">
        <v>15</v>
      </c>
      <c r="J15" s="3">
        <f>622077/38080980*1000</f>
        <v>16.33563527</v>
      </c>
      <c r="K15" s="3">
        <f>503599/23686584*1000</f>
        <v>21.26093826</v>
      </c>
      <c r="L15" s="1">
        <f>515224/41919821*1000</f>
        <v>12.29070134</v>
      </c>
      <c r="M15" s="1">
        <f>259500/15945374*1000</f>
        <v>16.27431254</v>
      </c>
    </row>
    <row r="16">
      <c r="C16" s="3" t="s">
        <v>25</v>
      </c>
      <c r="D16" s="1">
        <f>940377/187722545*1000</f>
        <v>5.009398312</v>
      </c>
      <c r="E16" s="3">
        <f>1251536/191676466*1000</f>
        <v>6.529419214</v>
      </c>
      <c r="F16" s="1">
        <f>765724/68424534*1000</f>
        <v>11.19078137</v>
      </c>
      <c r="I16" s="3" t="s">
        <v>14</v>
      </c>
      <c r="J16" s="1">
        <f>940377/187722545*1000</f>
        <v>5.009398312</v>
      </c>
      <c r="K16" s="3">
        <f>1251536/191676466*1000</f>
        <v>6.529419214</v>
      </c>
      <c r="L16" s="1">
        <f>765724/68424534*1000</f>
        <v>11.19078137</v>
      </c>
    </row>
    <row r="17">
      <c r="C17" s="3" t="s">
        <v>26</v>
      </c>
      <c r="D17" s="3">
        <v>0.58</v>
      </c>
      <c r="E17" s="3">
        <v>0.61</v>
      </c>
      <c r="F17" s="3">
        <v>0.24</v>
      </c>
    </row>
    <row r="18">
      <c r="I18" s="3" t="s">
        <v>22</v>
      </c>
      <c r="J18" s="3">
        <v>0.4</v>
      </c>
      <c r="K18" s="3">
        <v>0.8</v>
      </c>
      <c r="L18" s="3">
        <v>1.2</v>
      </c>
      <c r="M18" s="3">
        <v>1.35</v>
      </c>
    </row>
    <row r="19">
      <c r="I19" s="3" t="s">
        <v>15</v>
      </c>
      <c r="J19" s="3">
        <v>0.26</v>
      </c>
      <c r="K19" s="3">
        <v>0.18</v>
      </c>
      <c r="L19" s="3">
        <v>0.3</v>
      </c>
      <c r="M19" s="3">
        <v>0.14</v>
      </c>
    </row>
    <row r="20">
      <c r="I20" s="3" t="s">
        <v>14</v>
      </c>
      <c r="J20" s="3">
        <v>0.58</v>
      </c>
      <c r="K20" s="3">
        <v>0.61</v>
      </c>
      <c r="L20" s="3">
        <v>0.24</v>
      </c>
    </row>
    <row r="23">
      <c r="A23" s="1" t="s">
        <v>15</v>
      </c>
      <c r="B23" s="3" t="s">
        <v>27</v>
      </c>
    </row>
    <row r="24">
      <c r="C24" s="3" t="s">
        <v>22</v>
      </c>
      <c r="D24" s="7">
        <v>0.40051646</v>
      </c>
      <c r="E24" s="7">
        <v>0.801281592</v>
      </c>
      <c r="F24" s="7">
        <v>1.202038871</v>
      </c>
      <c r="G24" s="7">
        <v>1.602567543</v>
      </c>
      <c r="H24" s="3">
        <v>2.00292966</v>
      </c>
      <c r="I24" s="7">
        <v>2.40343271</v>
      </c>
      <c r="J24" s="7">
        <v>2.804066781</v>
      </c>
      <c r="K24" s="7">
        <v>3.204372864</v>
      </c>
      <c r="L24" s="3">
        <v>3.604732842</v>
      </c>
      <c r="M24" s="7">
        <v>4.005111185</v>
      </c>
      <c r="N24" s="7">
        <v>4.405820882</v>
      </c>
      <c r="O24" s="7">
        <v>4.80621264</v>
      </c>
      <c r="P24" s="7">
        <v>5.206743291</v>
      </c>
      <c r="Q24" s="7">
        <v>5.607223957</v>
      </c>
      <c r="R24" s="7">
        <v>6.007933547</v>
      </c>
      <c r="S24" s="7">
        <v>6.408398651</v>
      </c>
      <c r="T24" s="7">
        <v>6.809043936</v>
      </c>
      <c r="U24" s="3">
        <v>7.028063154</v>
      </c>
    </row>
    <row r="25">
      <c r="C25" s="3" t="s">
        <v>23</v>
      </c>
      <c r="D25" s="1">
        <f>1083217/41478346*1000</f>
        <v>26.11524095</v>
      </c>
      <c r="E25" s="2">
        <f>997007/15921272*1000</f>
        <v>62.62106445</v>
      </c>
      <c r="F25" s="1">
        <f>1359286/35877113*1000</f>
        <v>37.88727371</v>
      </c>
      <c r="G25" s="1">
        <f>1120037/19909164*1000</f>
        <v>56.25735968</v>
      </c>
      <c r="H25" s="1">
        <f>1516915/45388106*1000</f>
        <v>33.42098038</v>
      </c>
      <c r="I25" s="1">
        <f>1661096/37262351*1000</f>
        <v>44.57840033</v>
      </c>
      <c r="J25" s="1">
        <f>1530717/49359107*1000</f>
        <v>31.01184549</v>
      </c>
      <c r="K25" s="1">
        <f>2121915/68436182*1000</f>
        <v>31.00574781</v>
      </c>
      <c r="L25" s="1">
        <f>1627995/30093956*1000</f>
        <v>54.09707517</v>
      </c>
      <c r="M25" s="1">
        <f>2025904/49348578*1000</f>
        <v>41.05293571</v>
      </c>
      <c r="N25" s="1">
        <f>1455131/27648264*1000</f>
        <v>52.63010365</v>
      </c>
      <c r="O25" s="1">
        <f>2139598/46966315*1000</f>
        <v>45.55601179</v>
      </c>
      <c r="P25" s="3">
        <f>1684840/30122778*1000</f>
        <v>55.93242429</v>
      </c>
      <c r="Q25" s="1">
        <f>1766572/32224873*1000</f>
        <v>54.82013847</v>
      </c>
      <c r="R25" s="1">
        <f>1549623/31531115*1000</f>
        <v>49.14583579</v>
      </c>
      <c r="S25" s="1">
        <f>1443102/30340685*1000</f>
        <v>47.56326365</v>
      </c>
      <c r="T25" s="1">
        <f>1705454/28470306*1000</f>
        <v>59.90290375</v>
      </c>
      <c r="U25" s="1">
        <f>606909/8230179*1000</f>
        <v>73.74189553</v>
      </c>
    </row>
    <row r="26">
      <c r="C26" s="3" t="s">
        <v>24</v>
      </c>
      <c r="D26" s="1">
        <f>1668403/41478346*1000</f>
        <v>40.22346986</v>
      </c>
      <c r="E26" s="3">
        <f>1917175/15921272*1000</f>
        <v>120.4159442</v>
      </c>
      <c r="F26" s="1">
        <f>1766450/35877113*1000</f>
        <v>49.23612443</v>
      </c>
      <c r="G26" s="1">
        <f>1847444/19909164*1000</f>
        <v>92.7936502</v>
      </c>
      <c r="H26" s="1">
        <f>1943568/45388106*1000</f>
        <v>42.82108621</v>
      </c>
      <c r="I26" s="3">
        <f>2051274/37262351*1000</f>
        <v>55.0495056</v>
      </c>
      <c r="J26" s="3">
        <f>2061328/49359107*1000</f>
        <v>41.76185764</v>
      </c>
      <c r="K26" s="1">
        <f>2882274/68436182*1000</f>
        <v>42.11623027</v>
      </c>
      <c r="L26" s="1">
        <f>2283945/30093956*1000</f>
        <v>75.8938107</v>
      </c>
      <c r="M26" s="1">
        <f>2588110/49348578*1000</f>
        <v>52.44548283</v>
      </c>
      <c r="N26" s="1">
        <f>2538382/27648264*1000</f>
        <v>91.80981489</v>
      </c>
      <c r="O26" s="1">
        <f>2919161/46966315*1000</f>
        <v>62.15435467</v>
      </c>
      <c r="P26" s="1">
        <f>2507040/30122778*1000</f>
        <v>83.22738361</v>
      </c>
      <c r="Q26" s="1">
        <f>2677270/32224873*1000</f>
        <v>83.08085497</v>
      </c>
      <c r="R26" s="3">
        <f>2356550/31531115*1000</f>
        <v>74.73728728</v>
      </c>
      <c r="S26" s="1">
        <f>2284251/30340685*1000</f>
        <v>75.28673133</v>
      </c>
      <c r="T26" s="3">
        <f>2460638/28470306*1000</f>
        <v>86.42822455</v>
      </c>
      <c r="U26" s="3">
        <f>926186/8230179*1000</f>
        <v>112.535341</v>
      </c>
    </row>
    <row r="27">
      <c r="C27" s="3" t="s">
        <v>25</v>
      </c>
      <c r="D27" s="1">
        <f>416598/41478346*1000</f>
        <v>10.04374668</v>
      </c>
      <c r="E27" s="1">
        <f>288316/15921272*1000</f>
        <v>18.10885462</v>
      </c>
      <c r="F27" s="3">
        <f>599785/35877113*1000</f>
        <v>16.71776099</v>
      </c>
      <c r="G27" s="1">
        <f>433309/19909164*1000</f>
        <v>21.76429909</v>
      </c>
      <c r="H27" s="1">
        <f>678717/45388106*1000</f>
        <v>14.95363124</v>
      </c>
      <c r="I27" s="1">
        <f>586726/37262351*1000</f>
        <v>15.74581271</v>
      </c>
      <c r="J27" s="1">
        <f>689565/49359107*1000</f>
        <v>13.97037025</v>
      </c>
      <c r="K27" s="1">
        <f>826256/68436182*1000</f>
        <v>12.07337955</v>
      </c>
      <c r="L27" s="1">
        <f>701001/30093956*1000</f>
        <v>23.29374709</v>
      </c>
      <c r="M27" s="1">
        <f>726484/49348578*1000</f>
        <v>14.72147789</v>
      </c>
      <c r="N27" s="1">
        <f>641434/27648264*1000</f>
        <v>23.19979294</v>
      </c>
      <c r="O27" s="1">
        <f>816939/46966315*1000</f>
        <v>17.39414727</v>
      </c>
      <c r="P27" s="3">
        <f>609243/30122778*1000</f>
        <v>20.22532583</v>
      </c>
      <c r="Q27" s="1">
        <f>653706/32224873*1000</f>
        <v>20.28575877</v>
      </c>
      <c r="R27" s="3">
        <f>526228/31531115*1000</f>
        <v>16.68916561</v>
      </c>
      <c r="S27" s="1">
        <f>591214/30340685*1000</f>
        <v>19.48584879</v>
      </c>
      <c r="T27" s="1">
        <f>489799/28470306*1000</f>
        <v>17.20385443</v>
      </c>
      <c r="U27" s="1">
        <f>215751/8230179*1000</f>
        <v>26.21461818</v>
      </c>
    </row>
    <row r="28">
      <c r="C28" s="3" t="s">
        <v>26</v>
      </c>
      <c r="D28" s="3">
        <v>0.32</v>
      </c>
      <c r="E28" s="3">
        <v>0.15</v>
      </c>
      <c r="F28" s="3">
        <v>0.3</v>
      </c>
      <c r="G28" s="3">
        <v>0.17</v>
      </c>
      <c r="H28" s="3">
        <v>0.36</v>
      </c>
      <c r="I28" s="3">
        <v>0.29</v>
      </c>
      <c r="J28" s="3">
        <v>0.37</v>
      </c>
      <c r="K28" s="3">
        <v>0.46</v>
      </c>
      <c r="L28" s="3">
        <v>0.21</v>
      </c>
      <c r="M28" s="3">
        <v>0.33</v>
      </c>
      <c r="N28" s="3">
        <v>0.19</v>
      </c>
      <c r="O28" s="3">
        <v>0.3</v>
      </c>
      <c r="P28" s="3">
        <v>0.19</v>
      </c>
      <c r="Q28" s="3">
        <v>0.21</v>
      </c>
      <c r="R28" s="3">
        <v>0.2</v>
      </c>
      <c r="S28" s="3">
        <v>0.2</v>
      </c>
      <c r="T28" s="3">
        <v>0.19</v>
      </c>
      <c r="U28" s="3">
        <v>0.06</v>
      </c>
    </row>
    <row r="31">
      <c r="A31" s="3" t="s">
        <v>14</v>
      </c>
      <c r="B31" s="3" t="s">
        <v>27</v>
      </c>
    </row>
    <row r="32">
      <c r="C32" s="3" t="s">
        <v>22</v>
      </c>
      <c r="D32" s="7">
        <v>0.400449244</v>
      </c>
      <c r="E32" s="3">
        <v>0.800859926</v>
      </c>
      <c r="F32" s="7">
        <v>1.201233308</v>
      </c>
      <c r="G32" s="7">
        <v>1.602007529</v>
      </c>
      <c r="H32" s="7">
        <v>2.002598854</v>
      </c>
      <c r="I32" s="3">
        <v>2.40297558</v>
      </c>
      <c r="J32" s="7">
        <v>2.803393188</v>
      </c>
      <c r="K32" s="7">
        <v>3.203810066</v>
      </c>
      <c r="L32" s="7">
        <v>3.604167677</v>
      </c>
      <c r="M32" s="7">
        <v>4.004582554</v>
      </c>
      <c r="N32" s="7">
        <v>4.404928224</v>
      </c>
      <c r="O32" s="7">
        <v>4.805244748</v>
      </c>
      <c r="P32" s="7">
        <v>5.205592021</v>
      </c>
      <c r="Q32" s="7">
        <v>5.605920107</v>
      </c>
      <c r="R32" s="7">
        <v>6.006255437</v>
      </c>
      <c r="S32" s="7">
        <v>6.406599886</v>
      </c>
      <c r="T32" s="7">
        <v>6.806925705</v>
      </c>
      <c r="U32" s="7">
        <v>7.207254001</v>
      </c>
      <c r="V32" s="7">
        <v>7.607640152</v>
      </c>
      <c r="W32" s="7">
        <v>8.007982647</v>
      </c>
      <c r="X32" s="7">
        <v>8.408317003</v>
      </c>
      <c r="Y32" s="7">
        <v>8.808720368</v>
      </c>
      <c r="Z32" s="7">
        <v>9.209308647</v>
      </c>
      <c r="AA32" s="7">
        <v>9.583156796</v>
      </c>
      <c r="AB32" s="7"/>
    </row>
    <row r="33">
      <c r="C33" s="3" t="s">
        <v>23</v>
      </c>
      <c r="D33" s="1">
        <f>3356617/144904004*1000</f>
        <v>23.16441856</v>
      </c>
      <c r="E33" s="2">
        <f>5263676/190091694*1000</f>
        <v>27.69019461</v>
      </c>
      <c r="F33" s="1">
        <f>2865627/120279852*1000</f>
        <v>23.8246635</v>
      </c>
      <c r="G33" s="1">
        <f>2688322/85719544*1000</f>
        <v>31.36183272</v>
      </c>
      <c r="H33" s="1">
        <f>2944694/103481079*1000</f>
        <v>28.45635191</v>
      </c>
      <c r="I33" s="1">
        <f>2575629/517348181*1000</f>
        <v>4.978521419</v>
      </c>
      <c r="J33" s="1">
        <f>2978337/110210149*1000</f>
        <v>27.02416272</v>
      </c>
      <c r="K33" s="1">
        <f>2902562/73777981*1000</f>
        <v>39.34184645</v>
      </c>
      <c r="L33" s="1">
        <f>2955644/106071159*1000</f>
        <v>27.86472805</v>
      </c>
      <c r="M33" s="1">
        <f>2825972/109876368*1000</f>
        <v>25.71956146</v>
      </c>
      <c r="N33" s="1">
        <f>2824464/105812909*1000</f>
        <v>26.69300019</v>
      </c>
      <c r="O33" s="1">
        <f>2951196/93154458*1000</f>
        <v>31.68067383</v>
      </c>
      <c r="P33" s="3">
        <f>3225116/94383534*1000</f>
        <v>34.17032467</v>
      </c>
      <c r="Q33" s="1">
        <f>3561615/108673211*1000</f>
        <v>32.7736244</v>
      </c>
      <c r="R33" s="1">
        <f>2811233/82083879*1000</f>
        <v>34.24829618</v>
      </c>
      <c r="S33" s="1">
        <f>3075891/128814956*1000</f>
        <v>23.8783686</v>
      </c>
      <c r="T33" s="1">
        <f>2971124/97614001*1000</f>
        <v>30.43747792</v>
      </c>
      <c r="U33" s="1">
        <f>2600641/81921474*1000</f>
        <v>31.74553475</v>
      </c>
      <c r="V33" s="1">
        <f>3233437/67839378*1000</f>
        <v>47.66312863</v>
      </c>
      <c r="W33" s="1">
        <f>3250951/127135375*1000</f>
        <v>25.57078233</v>
      </c>
      <c r="X33" s="1">
        <f>2679157/61335946*1000</f>
        <v>43.68004693</v>
      </c>
      <c r="Y33" s="1">
        <f>1807845/71640609*1000</f>
        <v>25.23491949</v>
      </c>
      <c r="Z33" s="3">
        <f>2656452/81804890*1000</f>
        <v>32.47302209</v>
      </c>
      <c r="AA33" s="1">
        <f>2665064/69475078*1000</f>
        <v>38.36000011</v>
      </c>
    </row>
    <row r="34">
      <c r="C34" s="3" t="s">
        <v>24</v>
      </c>
      <c r="D34" s="3">
        <f>3366421/144904004*1000</f>
        <v>23.23207715</v>
      </c>
      <c r="E34" s="1">
        <f>4212414/190091694*1000</f>
        <v>22.15990563</v>
      </c>
      <c r="F34" s="1">
        <f>5752065/120279852*1000</f>
        <v>47.8223485</v>
      </c>
      <c r="G34" s="1">
        <f>3811891/85719544*1000</f>
        <v>44.46933362</v>
      </c>
      <c r="H34" s="1">
        <f>2846205/103481079*1000</f>
        <v>27.50459338</v>
      </c>
      <c r="I34" s="1">
        <f>3233772/517348181*1000</f>
        <v>6.250668542</v>
      </c>
      <c r="J34" s="1">
        <f>4141880/110210149*1000</f>
        <v>37.58165684</v>
      </c>
      <c r="K34" s="1">
        <f>2771616/73777981*1000</f>
        <v>37.56698086</v>
      </c>
      <c r="L34" s="1">
        <f>3446146/106071159*1000</f>
        <v>32.48900109</v>
      </c>
      <c r="M34" s="1">
        <f>3977966/109876368*1000</f>
        <v>36.20401796</v>
      </c>
      <c r="N34" s="1">
        <f>3499280/105812909*1000</f>
        <v>33.07044512</v>
      </c>
      <c r="O34" s="1">
        <f>3440428/93154458*1000</f>
        <v>36.93251052</v>
      </c>
      <c r="P34" s="1">
        <f>3712228/94383534*1000</f>
        <v>39.33130963</v>
      </c>
      <c r="Q34" s="1">
        <f>3092085/108673211*1000</f>
        <v>28.45305638</v>
      </c>
      <c r="R34" s="1">
        <f>3165091/82083879*1000</f>
        <v>38.55922793</v>
      </c>
      <c r="S34" s="1">
        <f>2539643/128814956*1000</f>
        <v>19.71543584</v>
      </c>
      <c r="T34" s="1">
        <f>3164496/97614001*1000</f>
        <v>32.41846423</v>
      </c>
      <c r="U34" s="1">
        <f>2479134/81921474*1000</f>
        <v>30.2623217</v>
      </c>
      <c r="V34" s="1">
        <f>3081572/67839378*1000</f>
        <v>45.42453205</v>
      </c>
      <c r="W34" s="1">
        <f>3637213/127135375*1000</f>
        <v>28.60897685</v>
      </c>
      <c r="X34" s="1">
        <f>2552949/61335946*1000</f>
        <v>41.62239545</v>
      </c>
      <c r="Y34" s="1">
        <f>2099496/71640609*1000</f>
        <v>29.30594853</v>
      </c>
      <c r="Z34" s="1">
        <f>3370528/81804890*1000</f>
        <v>41.20203572</v>
      </c>
      <c r="AA34" s="1">
        <f>2536254/69475078*1000</f>
        <v>36.50595398</v>
      </c>
    </row>
    <row r="35">
      <c r="C35" s="3" t="s">
        <v>25</v>
      </c>
      <c r="D35" s="3">
        <f>983941/144904004*1000</f>
        <v>6.790295457</v>
      </c>
      <c r="E35" s="3">
        <f>1909334/190091694*1000</f>
        <v>10.04427895</v>
      </c>
      <c r="F35" s="1">
        <f>869790/120279852*1000</f>
        <v>7.231385685</v>
      </c>
      <c r="G35" s="1">
        <f>960568/85719544*1000</f>
        <v>11.20593922</v>
      </c>
      <c r="H35" s="1">
        <f>1098242/103481079*1000</f>
        <v>10.61297399</v>
      </c>
      <c r="I35" s="1">
        <f>2203289/517348181*1000</f>
        <v>4.258812693</v>
      </c>
      <c r="J35" s="3">
        <f>1357543/110210149*1000</f>
        <v>12.31776758</v>
      </c>
      <c r="K35" s="1">
        <f>866031/73777981*1000</f>
        <v>11.73833965</v>
      </c>
      <c r="L35" s="3">
        <f>1051187/106071159*1000</f>
        <v>9.910205657</v>
      </c>
      <c r="M35" s="1">
        <f>1143414/109876368*1000</f>
        <v>10.40636873</v>
      </c>
      <c r="N35" s="3">
        <f>1324365/105812909*1000</f>
        <v>12.51610047</v>
      </c>
      <c r="O35" s="1">
        <f>1078680/93154458*1000</f>
        <v>11.57947803</v>
      </c>
      <c r="P35" s="1">
        <f>1130533/94383534*1000</f>
        <v>11.97807448</v>
      </c>
      <c r="Q35" s="1">
        <f>1191212/108673211*1000</f>
        <v>10.96141348</v>
      </c>
      <c r="R35" s="1">
        <f>1087199/82083879*1000</f>
        <v>13.24497591</v>
      </c>
      <c r="S35" s="1">
        <f>912092/128814956*1000</f>
        <v>7.080637438</v>
      </c>
      <c r="T35" s="1">
        <f>1023945/97614001*1000</f>
        <v>10.48973497</v>
      </c>
      <c r="U35" s="1">
        <f>925926/81921474*1000</f>
        <v>11.30260425</v>
      </c>
      <c r="V35" s="1">
        <f>904318/67839378*1000</f>
        <v>13.33028142</v>
      </c>
      <c r="W35" s="1">
        <f>1045199/127135375*1000</f>
        <v>8.221150093</v>
      </c>
      <c r="X35" s="1">
        <f>879344/61335946*1000</f>
        <v>14.33651973</v>
      </c>
      <c r="Y35" s="1">
        <f>774237/71640609*1000</f>
        <v>10.80723644</v>
      </c>
      <c r="Z35" s="1">
        <f>1110895/81804890*1000</f>
        <v>13.57981167</v>
      </c>
      <c r="AA35" s="1">
        <f>789231/69475078*1000</f>
        <v>11.35991528</v>
      </c>
    </row>
    <row r="36">
      <c r="C36" s="3" t="s">
        <v>26</v>
      </c>
      <c r="D36" s="3">
        <v>0.47</v>
      </c>
      <c r="E36" s="3">
        <v>0.54</v>
      </c>
      <c r="F36" s="3">
        <v>0.39</v>
      </c>
      <c r="G36" s="3">
        <v>0.3</v>
      </c>
      <c r="H36" s="3">
        <v>0.36</v>
      </c>
      <c r="I36" s="3">
        <v>1.37</v>
      </c>
      <c r="J36" s="3">
        <v>0.3</v>
      </c>
      <c r="K36" s="3">
        <v>0.21</v>
      </c>
      <c r="L36" s="3">
        <v>0.31</v>
      </c>
      <c r="M36" s="3">
        <v>0.32</v>
      </c>
      <c r="N36" s="3">
        <v>0.31</v>
      </c>
      <c r="O36" s="3">
        <v>0.28</v>
      </c>
      <c r="P36" s="3">
        <v>0.29</v>
      </c>
      <c r="Q36" s="3">
        <v>0.33</v>
      </c>
      <c r="R36" s="1">
        <f>0.26</f>
        <v>0.26</v>
      </c>
      <c r="S36" s="1">
        <f>0.41</f>
        <v>0.41</v>
      </c>
      <c r="T36" s="3">
        <v>0.31</v>
      </c>
      <c r="U36" s="1">
        <f>0.26</f>
        <v>0.26</v>
      </c>
      <c r="V36" s="3">
        <v>0.22</v>
      </c>
      <c r="W36" s="3">
        <v>0.41</v>
      </c>
      <c r="X36" s="3">
        <v>0.2</v>
      </c>
      <c r="Y36" s="3">
        <v>0.24</v>
      </c>
      <c r="Z36" s="1">
        <f>0.28</f>
        <v>0.28</v>
      </c>
      <c r="AA36" s="3">
        <v>0.24</v>
      </c>
      <c r="AB36" s="3"/>
    </row>
    <row r="38">
      <c r="D38" s="3" t="s">
        <v>22</v>
      </c>
      <c r="E38" s="3">
        <v>0.4</v>
      </c>
      <c r="F38" s="3">
        <v>0.8</v>
      </c>
      <c r="G38" s="3">
        <v>1.2</v>
      </c>
      <c r="H38" s="8">
        <v>1.6</v>
      </c>
      <c r="I38" s="3">
        <v>2.0</v>
      </c>
      <c r="J38" s="3">
        <v>2.4</v>
      </c>
      <c r="K38" s="3">
        <v>2.8</v>
      </c>
      <c r="L38" s="3">
        <v>3.2</v>
      </c>
      <c r="M38" s="3">
        <v>3.6</v>
      </c>
      <c r="N38" s="3">
        <v>4.0</v>
      </c>
      <c r="O38" s="3">
        <v>4.4</v>
      </c>
      <c r="P38" s="3">
        <v>4.8</v>
      </c>
      <c r="Q38" s="3">
        <v>5.2</v>
      </c>
      <c r="R38" s="3">
        <v>5.6</v>
      </c>
      <c r="S38" s="3">
        <v>6.0</v>
      </c>
      <c r="T38" s="3">
        <v>6.4</v>
      </c>
      <c r="U38" s="3">
        <v>6.8</v>
      </c>
      <c r="V38" s="3">
        <v>7.2</v>
      </c>
      <c r="W38" s="3">
        <v>7.6</v>
      </c>
      <c r="X38" s="3">
        <v>8.0</v>
      </c>
      <c r="Y38" s="3">
        <v>8.4</v>
      </c>
      <c r="Z38" s="3">
        <v>8.8</v>
      </c>
      <c r="AA38" s="3">
        <v>9.2</v>
      </c>
      <c r="AB38" s="8">
        <v>9.6</v>
      </c>
    </row>
    <row r="39">
      <c r="D39" s="3" t="s">
        <v>15</v>
      </c>
      <c r="E39" s="1">
        <f>1083217/41478346*1000</f>
        <v>26.11524095</v>
      </c>
      <c r="F39" s="2">
        <f>997007/15921272*1000</f>
        <v>62.62106445</v>
      </c>
      <c r="G39" s="1">
        <f>1359286/35877113*1000</f>
        <v>37.88727371</v>
      </c>
      <c r="H39" s="1">
        <f>1120037/19909164*1000</f>
        <v>56.25735968</v>
      </c>
      <c r="I39" s="1">
        <f>1516915/45388106*1000</f>
        <v>33.42098038</v>
      </c>
      <c r="J39" s="1">
        <f>1661096/37262351*1000</f>
        <v>44.57840033</v>
      </c>
      <c r="K39" s="1">
        <f>1530717/49359107*1000</f>
        <v>31.01184549</v>
      </c>
      <c r="L39" s="1">
        <f>2121915/68436182*1000</f>
        <v>31.00574781</v>
      </c>
      <c r="M39" s="1">
        <f>1627995/30093956*1000</f>
        <v>54.09707517</v>
      </c>
      <c r="N39" s="1">
        <f>2025904/49348578*1000</f>
        <v>41.05293571</v>
      </c>
      <c r="O39" s="1">
        <f>1455131/27648264*1000</f>
        <v>52.63010365</v>
      </c>
      <c r="P39" s="1">
        <f>2139598/46966315*1000</f>
        <v>45.55601179</v>
      </c>
      <c r="Q39" s="3">
        <f>1684840/30122778*1000</f>
        <v>55.93242429</v>
      </c>
      <c r="R39" s="1">
        <f>1766572/32224873*1000</f>
        <v>54.82013847</v>
      </c>
      <c r="S39" s="1">
        <f>1549623/31531115*1000</f>
        <v>49.14583579</v>
      </c>
      <c r="T39" s="1">
        <f>1443102/30340685*1000</f>
        <v>47.56326365</v>
      </c>
      <c r="U39" s="1">
        <f>1705454/28470306*1000</f>
        <v>59.90290375</v>
      </c>
      <c r="V39" s="1">
        <f>606909/8230179*1000</f>
        <v>73.74189553</v>
      </c>
    </row>
    <row r="40">
      <c r="D40" s="3" t="s">
        <v>14</v>
      </c>
      <c r="E40" s="1">
        <f>3356617/144904004*1000</f>
        <v>23.16441856</v>
      </c>
      <c r="F40" s="2">
        <f>5263676/190091694*1000</f>
        <v>27.69019461</v>
      </c>
      <c r="G40" s="1">
        <f>2865627/120279852*1000</f>
        <v>23.8246635</v>
      </c>
      <c r="H40" s="1">
        <f>2688322/85719544*1000</f>
        <v>31.36183272</v>
      </c>
      <c r="I40" s="1">
        <f>2944694/103481079*1000</f>
        <v>28.45635191</v>
      </c>
      <c r="J40" s="1">
        <f>2575629/517348181*1000</f>
        <v>4.978521419</v>
      </c>
      <c r="K40" s="1">
        <f>2978337/110210149*1000</f>
        <v>27.02416272</v>
      </c>
      <c r="L40" s="1">
        <f>2902562/73777981*1000</f>
        <v>39.34184645</v>
      </c>
      <c r="M40" s="1">
        <f>2955644/106071159*1000</f>
        <v>27.86472805</v>
      </c>
      <c r="N40" s="1">
        <f>2825972/109876368*1000</f>
        <v>25.71956146</v>
      </c>
      <c r="O40" s="1">
        <f>2824464/105812909*1000</f>
        <v>26.69300019</v>
      </c>
      <c r="P40" s="1">
        <f>2951196/93154458*1000</f>
        <v>31.68067383</v>
      </c>
      <c r="Q40" s="3">
        <f>3225116/94383534*1000</f>
        <v>34.17032467</v>
      </c>
      <c r="R40" s="1">
        <f>3561615/108673211*1000</f>
        <v>32.7736244</v>
      </c>
      <c r="S40" s="1">
        <f>2811233/82083879*1000</f>
        <v>34.24829618</v>
      </c>
      <c r="T40" s="1">
        <f>3075891/128814956*1000</f>
        <v>23.8783686</v>
      </c>
      <c r="U40" s="1">
        <f>2971124/97614001*1000</f>
        <v>30.43747792</v>
      </c>
      <c r="V40" s="1">
        <f>2600641/81921474*1000</f>
        <v>31.74553475</v>
      </c>
      <c r="W40" s="1">
        <f>3233437/67839378*1000</f>
        <v>47.66312863</v>
      </c>
      <c r="X40" s="1">
        <f>3250951/127135375*1000</f>
        <v>25.57078233</v>
      </c>
      <c r="Y40" s="1">
        <f>2679157/61335946*1000</f>
        <v>43.68004693</v>
      </c>
      <c r="Z40" s="1">
        <f>1807845/71640609*1000</f>
        <v>25.23491949</v>
      </c>
      <c r="AA40" s="3">
        <f>2656452/81804890*1000</f>
        <v>32.47302209</v>
      </c>
      <c r="AB40" s="1">
        <f>2665064/69475078*1000</f>
        <v>38.36000011</v>
      </c>
    </row>
    <row r="42">
      <c r="D42" s="3" t="s">
        <v>22</v>
      </c>
      <c r="E42" s="3">
        <v>0.4</v>
      </c>
      <c r="F42" s="3">
        <v>0.8</v>
      </c>
      <c r="G42" s="3">
        <v>1.2</v>
      </c>
      <c r="H42" s="3">
        <v>1.6</v>
      </c>
      <c r="I42" s="3">
        <v>2.0</v>
      </c>
      <c r="J42" s="3">
        <v>2.4</v>
      </c>
      <c r="K42" s="3">
        <v>2.8</v>
      </c>
      <c r="L42" s="3">
        <v>3.2</v>
      </c>
      <c r="M42" s="3">
        <v>3.6</v>
      </c>
      <c r="N42" s="3">
        <v>4.0</v>
      </c>
      <c r="O42" s="3">
        <v>4.4</v>
      </c>
      <c r="P42" s="3">
        <v>4.8</v>
      </c>
      <c r="Q42" s="3">
        <v>5.2</v>
      </c>
      <c r="R42" s="3">
        <v>5.6</v>
      </c>
      <c r="S42" s="3">
        <v>6.0</v>
      </c>
      <c r="T42" s="3">
        <v>6.4</v>
      </c>
      <c r="U42" s="3">
        <v>6.8</v>
      </c>
      <c r="V42" s="3">
        <v>7.2</v>
      </c>
      <c r="W42" s="3">
        <v>7.6</v>
      </c>
      <c r="X42" s="3">
        <v>8.0</v>
      </c>
      <c r="Y42" s="3">
        <v>8.4</v>
      </c>
      <c r="Z42" s="3">
        <v>8.8</v>
      </c>
      <c r="AA42" s="3">
        <v>9.2</v>
      </c>
      <c r="AB42" s="3">
        <v>9.6</v>
      </c>
    </row>
    <row r="43">
      <c r="D43" s="3" t="s">
        <v>15</v>
      </c>
      <c r="E43" s="1">
        <f>1668403/41478346*1000</f>
        <v>40.22346986</v>
      </c>
      <c r="F43" s="3">
        <f>1917175/15921272*1000</f>
        <v>120.4159442</v>
      </c>
      <c r="G43" s="1">
        <f>1766450/35877113*1000</f>
        <v>49.23612443</v>
      </c>
      <c r="H43" s="1">
        <f>1847444/19909164*1000</f>
        <v>92.7936502</v>
      </c>
      <c r="I43" s="1">
        <f>1943568/45388106*1000</f>
        <v>42.82108621</v>
      </c>
      <c r="J43" s="3">
        <f>2051274/37262351*1000</f>
        <v>55.0495056</v>
      </c>
      <c r="K43" s="3">
        <f>2061328/49359107*1000</f>
        <v>41.76185764</v>
      </c>
      <c r="L43" s="1">
        <f>2882274/68436182*1000</f>
        <v>42.11623027</v>
      </c>
      <c r="M43" s="1">
        <f>2283945/30093956*1000</f>
        <v>75.8938107</v>
      </c>
      <c r="N43" s="1">
        <f>2588110/49348578*1000</f>
        <v>52.44548283</v>
      </c>
      <c r="O43" s="1">
        <f>2538382/27648264*1000</f>
        <v>91.80981489</v>
      </c>
      <c r="P43" s="1">
        <f>2919161/46966315*1000</f>
        <v>62.15435467</v>
      </c>
      <c r="Q43" s="1">
        <f>2507040/30122778*1000</f>
        <v>83.22738361</v>
      </c>
      <c r="R43" s="1">
        <f>2677270/32224873*1000</f>
        <v>83.08085497</v>
      </c>
      <c r="S43" s="3">
        <f>2356550/31531115*1000</f>
        <v>74.73728728</v>
      </c>
      <c r="T43" s="1">
        <f>2284251/30340685*1000</f>
        <v>75.28673133</v>
      </c>
      <c r="U43" s="3">
        <f>2460638/28470306*1000</f>
        <v>86.42822455</v>
      </c>
      <c r="V43" s="3">
        <f>926186/8230179*1000</f>
        <v>112.535341</v>
      </c>
    </row>
    <row r="44">
      <c r="D44" s="3" t="s">
        <v>14</v>
      </c>
      <c r="E44" s="3">
        <f>3366421/144904004*1000</f>
        <v>23.23207715</v>
      </c>
      <c r="F44" s="1">
        <f>4212414/190091694*1000</f>
        <v>22.15990563</v>
      </c>
      <c r="G44" s="1">
        <f>5752065/120279852*1000</f>
        <v>47.8223485</v>
      </c>
      <c r="H44" s="1">
        <f>3811891/85719544*1000</f>
        <v>44.46933362</v>
      </c>
      <c r="I44" s="1">
        <f>2846205/103481079*1000</f>
        <v>27.50459338</v>
      </c>
      <c r="J44" s="1">
        <f>3233772/517348181*1000</f>
        <v>6.250668542</v>
      </c>
      <c r="K44" s="1">
        <f>4141880/110210149*1000</f>
        <v>37.58165684</v>
      </c>
      <c r="L44" s="1">
        <f>2771616/73777981*1000</f>
        <v>37.56698086</v>
      </c>
      <c r="M44" s="1">
        <f>3446146/106071159*1000</f>
        <v>32.48900109</v>
      </c>
      <c r="N44" s="1">
        <f>3977966/109876368*1000</f>
        <v>36.20401796</v>
      </c>
      <c r="O44" s="1">
        <f>3499280/105812909*1000</f>
        <v>33.07044512</v>
      </c>
      <c r="P44" s="1">
        <f>3440428/93154458*1000</f>
        <v>36.93251052</v>
      </c>
      <c r="Q44" s="1">
        <f>3712228/94383534*1000</f>
        <v>39.33130963</v>
      </c>
      <c r="R44" s="1">
        <f>3092085/108673211*1000</f>
        <v>28.45305638</v>
      </c>
      <c r="S44" s="1">
        <f>3165091/82083879*1000</f>
        <v>38.55922793</v>
      </c>
      <c r="T44" s="1">
        <f>2539643/128814956*1000</f>
        <v>19.71543584</v>
      </c>
      <c r="U44" s="1">
        <f>3164496/97614001*1000</f>
        <v>32.41846423</v>
      </c>
      <c r="V44" s="1">
        <f>2479134/81921474*1000</f>
        <v>30.2623217</v>
      </c>
      <c r="W44" s="1">
        <f>3081572/67839378*1000</f>
        <v>45.42453205</v>
      </c>
      <c r="X44" s="1">
        <f>3637213/127135375*1000</f>
        <v>28.60897685</v>
      </c>
      <c r="Y44" s="1">
        <f>2552949/61335946*1000</f>
        <v>41.62239545</v>
      </c>
      <c r="Z44" s="1">
        <f>2099496/71640609*1000</f>
        <v>29.30594853</v>
      </c>
      <c r="AA44" s="1">
        <f>3370528/81804890*1000</f>
        <v>41.20203572</v>
      </c>
      <c r="AB44" s="1">
        <f>2536254/69475078*1000</f>
        <v>36.50595398</v>
      </c>
    </row>
    <row r="46">
      <c r="D46" s="3" t="s">
        <v>22</v>
      </c>
      <c r="E46" s="3">
        <v>0.4</v>
      </c>
      <c r="F46" s="3">
        <v>0.8</v>
      </c>
      <c r="G46" s="3">
        <v>1.2</v>
      </c>
      <c r="H46" s="3">
        <v>1.6</v>
      </c>
      <c r="I46" s="3">
        <v>2.0</v>
      </c>
      <c r="J46" s="3">
        <v>2.4</v>
      </c>
      <c r="K46" s="3">
        <v>2.8</v>
      </c>
      <c r="L46" s="3">
        <v>3.2</v>
      </c>
      <c r="M46" s="3">
        <v>3.6</v>
      </c>
      <c r="N46" s="3">
        <v>4.0</v>
      </c>
      <c r="O46" s="3">
        <v>4.4</v>
      </c>
      <c r="P46" s="3">
        <v>4.8</v>
      </c>
      <c r="Q46" s="3">
        <v>5.2</v>
      </c>
      <c r="R46" s="3">
        <v>5.6</v>
      </c>
      <c r="S46" s="3">
        <v>6.0</v>
      </c>
      <c r="T46" s="3">
        <v>6.4</v>
      </c>
      <c r="U46" s="3">
        <v>6.8</v>
      </c>
      <c r="V46" s="3">
        <v>7.2</v>
      </c>
      <c r="W46" s="3">
        <v>7.6</v>
      </c>
      <c r="X46" s="3">
        <v>8.0</v>
      </c>
      <c r="Y46" s="3">
        <v>8.4</v>
      </c>
      <c r="Z46" s="3">
        <v>8.8</v>
      </c>
      <c r="AA46" s="3">
        <v>9.2</v>
      </c>
      <c r="AB46" s="3">
        <v>9.6</v>
      </c>
    </row>
    <row r="47">
      <c r="D47" s="3" t="s">
        <v>15</v>
      </c>
      <c r="E47" s="1">
        <f>826256/68436182*1000</f>
        <v>12.07337955</v>
      </c>
      <c r="F47" s="1">
        <f>701001/30093956*1000</f>
        <v>23.29374709</v>
      </c>
      <c r="G47" s="1">
        <f>726484/49348578*1000</f>
        <v>14.72147789</v>
      </c>
      <c r="H47" s="1">
        <f>641434/27648264*1000</f>
        <v>23.19979294</v>
      </c>
      <c r="I47" s="1">
        <f>816939/46966315*1000</f>
        <v>17.39414727</v>
      </c>
      <c r="J47" s="3">
        <f>609243/30122778*1000</f>
        <v>20.22532583</v>
      </c>
      <c r="K47" s="1">
        <f>653706/32224873*1000</f>
        <v>20.28575877</v>
      </c>
      <c r="L47" s="3">
        <f>526228/31531115*1000</f>
        <v>16.68916561</v>
      </c>
      <c r="M47" s="1">
        <f>591214/30340685*1000</f>
        <v>19.48584879</v>
      </c>
      <c r="N47" s="1">
        <f>489799/28470306*1000</f>
        <v>17.20385443</v>
      </c>
      <c r="O47" s="1">
        <f>215751/8230179*1000</f>
        <v>26.21461818</v>
      </c>
    </row>
    <row r="48">
      <c r="D48" s="3" t="s">
        <v>14</v>
      </c>
      <c r="E48" s="3">
        <f>983941/144904004*1000</f>
        <v>6.790295457</v>
      </c>
      <c r="F48" s="3">
        <f>1909334/190091694*1000</f>
        <v>10.04427895</v>
      </c>
      <c r="G48" s="1">
        <f>869790/120279852*1000</f>
        <v>7.231385685</v>
      </c>
      <c r="H48" s="1">
        <f>960568/85719544*1000</f>
        <v>11.20593922</v>
      </c>
      <c r="I48" s="1">
        <f>1098242/103481079*1000</f>
        <v>10.61297399</v>
      </c>
      <c r="J48" s="1">
        <f>2203289/517348181*1000</f>
        <v>4.258812693</v>
      </c>
      <c r="K48" s="3">
        <f>1357543/110210149*1000</f>
        <v>12.31776758</v>
      </c>
      <c r="L48" s="1">
        <f>866031/73777981*1000</f>
        <v>11.73833965</v>
      </c>
      <c r="M48" s="3">
        <f>1051187/106071159*1000</f>
        <v>9.910205657</v>
      </c>
      <c r="N48" s="1">
        <f>1143414/109876368*1000</f>
        <v>10.40636873</v>
      </c>
      <c r="O48" s="3">
        <f>1324365/105812909*1000</f>
        <v>12.51610047</v>
      </c>
      <c r="P48" s="1">
        <f>1078680/93154458*1000</f>
        <v>11.57947803</v>
      </c>
      <c r="Q48" s="1">
        <f>1130533/94383534*1000</f>
        <v>11.97807448</v>
      </c>
      <c r="R48" s="1">
        <f>1191212/108673211*1000</f>
        <v>10.96141348</v>
      </c>
      <c r="S48" s="1">
        <f>1087199/82083879*1000</f>
        <v>13.24497591</v>
      </c>
      <c r="T48" s="1">
        <f>912092/128814956*1000</f>
        <v>7.080637438</v>
      </c>
      <c r="U48" s="1">
        <f>1023945/97614001*1000</f>
        <v>10.48973497</v>
      </c>
      <c r="V48" s="1">
        <f>925926/81921474*1000</f>
        <v>11.30260425</v>
      </c>
      <c r="W48" s="1">
        <f>904318/67839378*1000</f>
        <v>13.33028142</v>
      </c>
      <c r="X48" s="1">
        <f>1045199/127135375*1000</f>
        <v>8.221150093</v>
      </c>
      <c r="Y48" s="1">
        <f>879344/61335946*1000</f>
        <v>14.33651973</v>
      </c>
      <c r="Z48" s="1">
        <f>774237/71640609*1000</f>
        <v>10.80723644</v>
      </c>
      <c r="AA48" s="1">
        <f>1110895/81804890*1000</f>
        <v>13.57981167</v>
      </c>
      <c r="AB48" s="1">
        <f>789231/69475078*1000</f>
        <v>11.35991528</v>
      </c>
    </row>
    <row r="50">
      <c r="D50" s="3" t="s">
        <v>22</v>
      </c>
      <c r="E50" s="3">
        <v>0.4</v>
      </c>
      <c r="F50" s="3">
        <v>0.8</v>
      </c>
      <c r="G50" s="3">
        <v>1.2</v>
      </c>
      <c r="H50" s="3">
        <v>1.6</v>
      </c>
      <c r="I50" s="3">
        <v>2.0</v>
      </c>
      <c r="J50" s="3">
        <v>2.4</v>
      </c>
      <c r="K50" s="3">
        <v>2.8</v>
      </c>
      <c r="L50" s="3">
        <v>3.2</v>
      </c>
      <c r="M50" s="3">
        <v>3.6</v>
      </c>
      <c r="N50" s="3">
        <v>4.0</v>
      </c>
      <c r="O50" s="3">
        <v>4.4</v>
      </c>
      <c r="P50" s="3">
        <v>4.8</v>
      </c>
      <c r="Q50" s="3">
        <v>5.2</v>
      </c>
      <c r="R50" s="3">
        <v>5.6</v>
      </c>
      <c r="S50" s="3">
        <v>6.0</v>
      </c>
      <c r="T50" s="3">
        <v>6.4</v>
      </c>
      <c r="U50" s="3">
        <v>6.8</v>
      </c>
      <c r="V50" s="3">
        <v>7.2</v>
      </c>
      <c r="W50" s="3">
        <v>7.6</v>
      </c>
      <c r="X50" s="3">
        <v>8.0</v>
      </c>
      <c r="Y50" s="3">
        <v>8.4</v>
      </c>
      <c r="Z50" s="3">
        <v>8.8</v>
      </c>
      <c r="AA50" s="3">
        <v>9.2</v>
      </c>
      <c r="AB50" s="3">
        <v>9.6</v>
      </c>
    </row>
    <row r="51">
      <c r="D51" s="3" t="s">
        <v>15</v>
      </c>
      <c r="E51" s="3">
        <v>0.32</v>
      </c>
      <c r="F51" s="3">
        <v>0.15</v>
      </c>
      <c r="G51" s="3">
        <v>0.3</v>
      </c>
      <c r="H51" s="3">
        <v>0.17</v>
      </c>
      <c r="I51" s="3">
        <v>0.36</v>
      </c>
      <c r="J51" s="3">
        <v>0.29</v>
      </c>
      <c r="K51" s="3">
        <v>0.37</v>
      </c>
      <c r="L51" s="3">
        <v>0.46</v>
      </c>
      <c r="M51" s="3">
        <v>0.21</v>
      </c>
      <c r="N51" s="3">
        <v>0.33</v>
      </c>
      <c r="O51" s="3">
        <v>0.19</v>
      </c>
      <c r="P51" s="3">
        <v>0.3</v>
      </c>
      <c r="Q51" s="3">
        <v>0.19</v>
      </c>
      <c r="R51" s="3">
        <v>0.21</v>
      </c>
      <c r="S51" s="3">
        <v>0.2</v>
      </c>
      <c r="T51" s="3">
        <v>0.2</v>
      </c>
      <c r="U51" s="3">
        <v>0.19</v>
      </c>
      <c r="V51" s="3">
        <v>0.06</v>
      </c>
    </row>
    <row r="52">
      <c r="D52" s="3" t="s">
        <v>14</v>
      </c>
      <c r="E52" s="3">
        <v>0.47</v>
      </c>
      <c r="F52" s="3">
        <v>0.54</v>
      </c>
      <c r="G52" s="3">
        <v>0.39</v>
      </c>
      <c r="H52" s="3">
        <v>0.3</v>
      </c>
      <c r="I52" s="3">
        <v>0.36</v>
      </c>
      <c r="J52" s="3">
        <v>1.37</v>
      </c>
      <c r="K52" s="3">
        <v>0.3</v>
      </c>
      <c r="L52" s="3">
        <v>0.21</v>
      </c>
      <c r="M52" s="3">
        <v>0.31</v>
      </c>
      <c r="N52" s="3">
        <v>0.32</v>
      </c>
      <c r="O52" s="3">
        <v>0.31</v>
      </c>
      <c r="P52" s="3">
        <v>0.28</v>
      </c>
      <c r="Q52" s="3">
        <v>0.29</v>
      </c>
      <c r="R52" s="3">
        <v>0.33</v>
      </c>
      <c r="S52" s="1">
        <f>0.26</f>
        <v>0.26</v>
      </c>
      <c r="T52" s="1">
        <f>0.41</f>
        <v>0.41</v>
      </c>
      <c r="U52" s="3">
        <v>0.31</v>
      </c>
      <c r="V52" s="1">
        <f>0.26</f>
        <v>0.26</v>
      </c>
      <c r="W52" s="3">
        <v>0.22</v>
      </c>
      <c r="X52" s="3">
        <v>0.41</v>
      </c>
      <c r="Y52" s="3">
        <v>0.2</v>
      </c>
      <c r="Z52" s="3">
        <v>0.24</v>
      </c>
      <c r="AA52" s="1">
        <f>0.28</f>
        <v>0.28</v>
      </c>
      <c r="AB52" s="3">
        <v>0.24</v>
      </c>
    </row>
  </sheetData>
  <drawing r:id="rId1"/>
</worksheet>
</file>