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oll\Desktop\"/>
    </mc:Choice>
  </mc:AlternateContent>
  <xr:revisionPtr revIDLastSave="0" documentId="8_{44C028B7-C2B3-4353-A77A-35CBCDF1E244}" xr6:coauthVersionLast="46" xr6:coauthVersionMax="46" xr10:uidLastSave="{00000000-0000-0000-0000-000000000000}"/>
  <workbookProtection workbookAlgorithmName="SHA-512" workbookHashValue="VoLDf+P86QJJWa6IhW2a1LNxTL09aLku/hh89t3iLB6Y5gVLcgcP1mVYpNSXl8rFmTbG6O6hXrLINftlk7pqJA==" workbookSaltValue="HPEl+4H4JAx1CX9653yHJg==" workbookSpinCount="100000" lockStructure="1"/>
  <bookViews>
    <workbookView minimized="1" xWindow="345" yWindow="345" windowWidth="2400" windowHeight="585" activeTab="1" xr2:uid="{E3EDCEAF-6E14-AE4B-B34D-4F93C3083407}"/>
  </bookViews>
  <sheets>
    <sheet name="Pricing" sheetId="1" r:id="rId1"/>
    <sheet name="Calculations" sheetId="15" r:id="rId2"/>
    <sheet name="Ingredients" sheetId="13" r:id="rId3"/>
    <sheet name="Ingredients 2" sheetId="16" r:id="rId4"/>
    <sheet name="50" sheetId="2" r:id="rId5"/>
    <sheet name="100" sheetId="6" r:id="rId6"/>
    <sheet name="150" sheetId="4" r:id="rId7"/>
    <sheet name="200" sheetId="5" r:id="rId8"/>
    <sheet name="250" sheetId="7" r:id="rId9"/>
    <sheet name="300" sheetId="8" r:id="rId10"/>
    <sheet name="350" sheetId="9" r:id="rId11"/>
    <sheet name="400" sheetId="10" r:id="rId12"/>
    <sheet name="450" sheetId="11" r:id="rId13"/>
    <sheet name="500" sheetId="12" r:id="rId14"/>
  </sheets>
  <definedNames>
    <definedName name="_xlnm._FilterDatabase" localSheetId="0" hidden="1">Pricing!$C$6:$C$14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" l="1"/>
  <c r="E6" i="1"/>
  <c r="G1" i="15"/>
  <c r="B6" i="15"/>
  <c r="G14" i="15" l="1"/>
  <c r="F14" i="15"/>
  <c r="E14" i="15"/>
  <c r="D14" i="15"/>
  <c r="C14" i="15"/>
  <c r="G13" i="15"/>
  <c r="F13" i="15"/>
  <c r="D13" i="15"/>
  <c r="C13" i="15"/>
  <c r="G12" i="15"/>
  <c r="F12" i="15"/>
  <c r="E12" i="15"/>
  <c r="D12" i="15"/>
  <c r="C12" i="15"/>
  <c r="G11" i="15"/>
  <c r="F11" i="15"/>
  <c r="E11" i="15"/>
  <c r="D11" i="15"/>
  <c r="C11" i="15"/>
  <c r="G10" i="15"/>
  <c r="F10" i="15"/>
  <c r="E10" i="15"/>
  <c r="D10" i="15"/>
  <c r="C10" i="15"/>
  <c r="M12" i="15" l="1"/>
  <c r="O12" i="15" s="1"/>
  <c r="P12" i="15" s="1"/>
  <c r="M11" i="15"/>
  <c r="B3" i="15"/>
  <c r="B2" i="15"/>
  <c r="E13" i="15"/>
  <c r="G4" i="15"/>
  <c r="I24" i="15" s="1"/>
  <c r="K1" i="15"/>
  <c r="M10" i="15"/>
  <c r="B1" i="15"/>
  <c r="C1" i="1"/>
  <c r="B1" i="10" s="1"/>
  <c r="D6" i="1"/>
  <c r="C6" i="11" s="1"/>
  <c r="C6" i="1"/>
  <c r="B6" i="9" s="1"/>
  <c r="A3" i="8"/>
  <c r="B3" i="8"/>
  <c r="A6" i="8"/>
  <c r="A7" i="8"/>
  <c r="A8" i="8"/>
  <c r="D8" i="8"/>
  <c r="E8" i="8" s="1"/>
  <c r="A9" i="8"/>
  <c r="D9" i="8"/>
  <c r="E9" i="8" s="1"/>
  <c r="A10" i="8"/>
  <c r="D10" i="8"/>
  <c r="E10" i="8" s="1"/>
  <c r="A11" i="8"/>
  <c r="D11" i="8"/>
  <c r="E11" i="8"/>
  <c r="A12" i="8"/>
  <c r="D12" i="8"/>
  <c r="E12" i="8"/>
  <c r="A13" i="8"/>
  <c r="D13" i="8"/>
  <c r="E13" i="8" s="1"/>
  <c r="A14" i="8"/>
  <c r="D14" i="8"/>
  <c r="E14" i="8" s="1"/>
  <c r="I16" i="8"/>
  <c r="B20" i="4"/>
  <c r="B20" i="5"/>
  <c r="D20" i="5" s="1"/>
  <c r="B20" i="7"/>
  <c r="G20" i="7" s="1"/>
  <c r="I20" i="7" s="1"/>
  <c r="B20" i="8"/>
  <c r="D20" i="8" s="1"/>
  <c r="C20" i="8"/>
  <c r="H20" i="8"/>
  <c r="D21" i="8"/>
  <c r="I21" i="8" s="1"/>
  <c r="D22" i="8"/>
  <c r="I22" i="8" s="1"/>
  <c r="C7" i="8"/>
  <c r="C7" i="1"/>
  <c r="B7" i="6" s="1"/>
  <c r="D13" i="1"/>
  <c r="C13" i="8" s="1"/>
  <c r="C12" i="1"/>
  <c r="B12" i="8" s="1"/>
  <c r="C11" i="1"/>
  <c r="B11" i="8" s="1"/>
  <c r="C10" i="1"/>
  <c r="B10" i="8" s="1"/>
  <c r="C8" i="1"/>
  <c r="B8" i="8" s="1"/>
  <c r="C14" i="1"/>
  <c r="B14" i="12" s="1"/>
  <c r="D14" i="1"/>
  <c r="C14" i="10" s="1"/>
  <c r="C13" i="1"/>
  <c r="B13" i="8" s="1"/>
  <c r="D12" i="1"/>
  <c r="C12" i="6" s="1"/>
  <c r="D11" i="1"/>
  <c r="C11" i="12" s="1"/>
  <c r="D10" i="1"/>
  <c r="C10" i="6" s="1"/>
  <c r="C9" i="1"/>
  <c r="B9" i="2" s="1"/>
  <c r="D8" i="1"/>
  <c r="C8" i="7" s="1"/>
  <c r="D9" i="1"/>
  <c r="C9" i="12" s="1"/>
  <c r="Y1" i="1"/>
  <c r="X1" i="1"/>
  <c r="D6" i="7"/>
  <c r="E6" i="7" s="1"/>
  <c r="K5" i="1"/>
  <c r="P5" i="1" s="1"/>
  <c r="D7" i="8"/>
  <c r="E7" i="8" s="1"/>
  <c r="T1" i="1"/>
  <c r="X2" i="1"/>
  <c r="T3" i="1"/>
  <c r="D22" i="12"/>
  <c r="I22" i="12" s="1"/>
  <c r="D21" i="12"/>
  <c r="I21" i="12" s="1"/>
  <c r="C20" i="12"/>
  <c r="I16" i="12"/>
  <c r="D14" i="12"/>
  <c r="E14" i="12"/>
  <c r="A14" i="12"/>
  <c r="D13" i="12"/>
  <c r="E13" i="12"/>
  <c r="A13" i="12"/>
  <c r="D12" i="12"/>
  <c r="E12" i="12"/>
  <c r="A12" i="12"/>
  <c r="D11" i="12"/>
  <c r="E11" i="12"/>
  <c r="A11" i="12"/>
  <c r="D10" i="12"/>
  <c r="E10" i="12"/>
  <c r="A10" i="12"/>
  <c r="D9" i="12"/>
  <c r="E9" i="12" s="1"/>
  <c r="A9" i="12"/>
  <c r="D8" i="12"/>
  <c r="E8" i="12" s="1"/>
  <c r="A8" i="12"/>
  <c r="D7" i="12"/>
  <c r="E7" i="12" s="1"/>
  <c r="A6" i="12"/>
  <c r="B3" i="12"/>
  <c r="A3" i="12"/>
  <c r="D22" i="11"/>
  <c r="I22" i="11" s="1"/>
  <c r="D21" i="11"/>
  <c r="I21" i="11" s="1"/>
  <c r="C20" i="11"/>
  <c r="H20" i="11"/>
  <c r="I16" i="11"/>
  <c r="D14" i="11"/>
  <c r="E14" i="11"/>
  <c r="A14" i="11"/>
  <c r="D13" i="11"/>
  <c r="E13" i="11" s="1"/>
  <c r="A13" i="11"/>
  <c r="D12" i="11"/>
  <c r="E12" i="11" s="1"/>
  <c r="A12" i="11"/>
  <c r="D11" i="11"/>
  <c r="E11" i="11"/>
  <c r="A11" i="11"/>
  <c r="D10" i="11"/>
  <c r="E10" i="11" s="1"/>
  <c r="A10" i="11"/>
  <c r="D9" i="11"/>
  <c r="E9" i="11"/>
  <c r="A9" i="11"/>
  <c r="D8" i="11"/>
  <c r="E8" i="11" s="1"/>
  <c r="A8" i="11"/>
  <c r="D7" i="11"/>
  <c r="E7" i="11" s="1"/>
  <c r="A6" i="11"/>
  <c r="B3" i="11"/>
  <c r="A3" i="11"/>
  <c r="D22" i="10"/>
  <c r="I22" i="10" s="1"/>
  <c r="D21" i="10"/>
  <c r="I21" i="10"/>
  <c r="C20" i="10"/>
  <c r="I16" i="10"/>
  <c r="D14" i="10"/>
  <c r="E14" i="10"/>
  <c r="A14" i="10"/>
  <c r="D13" i="10"/>
  <c r="E13" i="10"/>
  <c r="A13" i="10"/>
  <c r="D12" i="10"/>
  <c r="E12" i="10" s="1"/>
  <c r="A12" i="10"/>
  <c r="D11" i="10"/>
  <c r="E11" i="10"/>
  <c r="A11" i="10"/>
  <c r="D10" i="10"/>
  <c r="E10" i="10" s="1"/>
  <c r="A10" i="10"/>
  <c r="D9" i="10"/>
  <c r="E9" i="10" s="1"/>
  <c r="A9" i="10"/>
  <c r="D8" i="10"/>
  <c r="E8" i="10" s="1"/>
  <c r="A8" i="10"/>
  <c r="D7" i="10"/>
  <c r="E7" i="10" s="1"/>
  <c r="A6" i="10"/>
  <c r="B3" i="10"/>
  <c r="A3" i="10"/>
  <c r="D22" i="9"/>
  <c r="I22" i="9" s="1"/>
  <c r="D21" i="9"/>
  <c r="I21" i="9"/>
  <c r="C20" i="9"/>
  <c r="H20" i="9"/>
  <c r="I16" i="9"/>
  <c r="D14" i="9"/>
  <c r="E14" i="9"/>
  <c r="A14" i="9"/>
  <c r="D13" i="9"/>
  <c r="E13" i="9" s="1"/>
  <c r="A13" i="9"/>
  <c r="D12" i="9"/>
  <c r="E12" i="9"/>
  <c r="A12" i="9"/>
  <c r="D11" i="9"/>
  <c r="E11" i="9"/>
  <c r="A11" i="9"/>
  <c r="D10" i="9"/>
  <c r="E10" i="9" s="1"/>
  <c r="A10" i="9"/>
  <c r="D9" i="9"/>
  <c r="E9" i="9"/>
  <c r="A9" i="9"/>
  <c r="D8" i="9"/>
  <c r="E8" i="9" s="1"/>
  <c r="A8" i="9"/>
  <c r="D7" i="9"/>
  <c r="E7" i="9" s="1"/>
  <c r="A6" i="9"/>
  <c r="B3" i="9"/>
  <c r="A3" i="9"/>
  <c r="T4" i="1"/>
  <c r="D22" i="7"/>
  <c r="I22" i="7" s="1"/>
  <c r="D21" i="7"/>
  <c r="I21" i="7"/>
  <c r="C20" i="7"/>
  <c r="H20" i="7"/>
  <c r="I16" i="7"/>
  <c r="D14" i="7"/>
  <c r="E14" i="7" s="1"/>
  <c r="A14" i="7"/>
  <c r="D13" i="7"/>
  <c r="E13" i="7" s="1"/>
  <c r="A13" i="7"/>
  <c r="D12" i="7"/>
  <c r="E12" i="7"/>
  <c r="A12" i="7"/>
  <c r="D11" i="7"/>
  <c r="E11" i="7"/>
  <c r="A11" i="7"/>
  <c r="D10" i="7"/>
  <c r="E10" i="7" s="1"/>
  <c r="A10" i="7"/>
  <c r="D9" i="7"/>
  <c r="E9" i="7"/>
  <c r="A9" i="7"/>
  <c r="D8" i="7"/>
  <c r="E8" i="7" s="1"/>
  <c r="A8" i="7"/>
  <c r="D7" i="7"/>
  <c r="E7" i="7" s="1"/>
  <c r="A6" i="7"/>
  <c r="B3" i="7"/>
  <c r="A3" i="7"/>
  <c r="D22" i="6"/>
  <c r="I22" i="6" s="1"/>
  <c r="D21" i="6"/>
  <c r="I21" i="6"/>
  <c r="G20" i="6"/>
  <c r="I20" i="6" s="1"/>
  <c r="C20" i="6"/>
  <c r="D20" i="6" s="1"/>
  <c r="H20" i="6"/>
  <c r="I16" i="6"/>
  <c r="D14" i="6"/>
  <c r="A14" i="6"/>
  <c r="D13" i="6"/>
  <c r="A13" i="6"/>
  <c r="D12" i="6"/>
  <c r="A12" i="6"/>
  <c r="D11" i="6"/>
  <c r="A11" i="6"/>
  <c r="D10" i="6"/>
  <c r="A10" i="6"/>
  <c r="D9" i="6"/>
  <c r="A9" i="6"/>
  <c r="D8" i="6"/>
  <c r="E8" i="6" s="1"/>
  <c r="A8" i="6"/>
  <c r="A6" i="6"/>
  <c r="D5" i="6"/>
  <c r="B3" i="6"/>
  <c r="A3" i="6"/>
  <c r="C2" i="6"/>
  <c r="D22" i="5"/>
  <c r="I22" i="5" s="1"/>
  <c r="D21" i="5"/>
  <c r="I21" i="5"/>
  <c r="G20" i="5"/>
  <c r="C20" i="5"/>
  <c r="H20" i="5"/>
  <c r="I20" i="5" s="1"/>
  <c r="I16" i="5"/>
  <c r="D22" i="4"/>
  <c r="I22" i="4" s="1"/>
  <c r="D21" i="4"/>
  <c r="I21" i="4" s="1"/>
  <c r="C20" i="4"/>
  <c r="H20" i="4" s="1"/>
  <c r="I20" i="4" s="1"/>
  <c r="G20" i="4"/>
  <c r="I16" i="4"/>
  <c r="B3" i="5"/>
  <c r="A3" i="5"/>
  <c r="B3" i="4"/>
  <c r="A3" i="4"/>
  <c r="B3" i="2"/>
  <c r="A3" i="2"/>
  <c r="D22" i="2"/>
  <c r="I22" i="2" s="1"/>
  <c r="D21" i="2"/>
  <c r="I21" i="2" s="1"/>
  <c r="R6" i="1"/>
  <c r="D7" i="6"/>
  <c r="E7" i="6" s="1"/>
  <c r="H20" i="10"/>
  <c r="H20" i="12"/>
  <c r="D20" i="4"/>
  <c r="Q5" i="1"/>
  <c r="D5" i="2"/>
  <c r="C2" i="2"/>
  <c r="F10" i="1"/>
  <c r="F9" i="1"/>
  <c r="F14" i="1"/>
  <c r="F13" i="1"/>
  <c r="F12" i="1"/>
  <c r="F11" i="1"/>
  <c r="A14" i="5"/>
  <c r="A13" i="5"/>
  <c r="A12" i="5"/>
  <c r="A11" i="5"/>
  <c r="A10" i="5"/>
  <c r="A9" i="5"/>
  <c r="A8" i="5"/>
  <c r="A6" i="5"/>
  <c r="A14" i="4"/>
  <c r="A13" i="4"/>
  <c r="A12" i="4"/>
  <c r="A11" i="4"/>
  <c r="A10" i="4"/>
  <c r="A9" i="4"/>
  <c r="A8" i="4"/>
  <c r="A6" i="4"/>
  <c r="A14" i="2"/>
  <c r="A13" i="2"/>
  <c r="A12" i="2"/>
  <c r="A11" i="2"/>
  <c r="A10" i="2"/>
  <c r="A9" i="2"/>
  <c r="A8" i="2"/>
  <c r="B14" i="2"/>
  <c r="A6" i="2"/>
  <c r="D14" i="5"/>
  <c r="E14" i="5"/>
  <c r="D13" i="5"/>
  <c r="E13" i="5" s="1"/>
  <c r="D12" i="5"/>
  <c r="E12" i="5"/>
  <c r="D11" i="5"/>
  <c r="E11" i="5"/>
  <c r="D10" i="5"/>
  <c r="E10" i="5" s="1"/>
  <c r="D9" i="5"/>
  <c r="E9" i="5"/>
  <c r="D8" i="5"/>
  <c r="E8" i="5" s="1"/>
  <c r="D7" i="5"/>
  <c r="E7" i="5" s="1"/>
  <c r="D14" i="4"/>
  <c r="E14" i="4"/>
  <c r="D13" i="4"/>
  <c r="E13" i="4"/>
  <c r="D12" i="4"/>
  <c r="E12" i="4" s="1"/>
  <c r="D11" i="4"/>
  <c r="E11" i="4"/>
  <c r="D10" i="4"/>
  <c r="E10" i="4" s="1"/>
  <c r="D9" i="4"/>
  <c r="E9" i="4"/>
  <c r="D8" i="4"/>
  <c r="E8" i="4" s="1"/>
  <c r="D7" i="4"/>
  <c r="E7" i="4" s="1"/>
  <c r="D14" i="2"/>
  <c r="D13" i="2"/>
  <c r="D12" i="2"/>
  <c r="D11" i="2"/>
  <c r="D10" i="2"/>
  <c r="D9" i="2"/>
  <c r="D8" i="2"/>
  <c r="E8" i="2" s="1"/>
  <c r="D7" i="2"/>
  <c r="E7" i="2" s="1"/>
  <c r="C20" i="2"/>
  <c r="H20" i="2" s="1"/>
  <c r="I20" i="2" s="1"/>
  <c r="G20" i="2"/>
  <c r="I16" i="2"/>
  <c r="F8" i="1"/>
  <c r="F7" i="1"/>
  <c r="A7" i="10"/>
  <c r="A7" i="6"/>
  <c r="A7" i="5"/>
  <c r="A7" i="12"/>
  <c r="A7" i="4"/>
  <c r="A7" i="11"/>
  <c r="A7" i="7"/>
  <c r="A7" i="2"/>
  <c r="A7" i="9"/>
  <c r="B8" i="2" l="1"/>
  <c r="B14" i="4"/>
  <c r="B8" i="6"/>
  <c r="B8" i="4"/>
  <c r="B8" i="9"/>
  <c r="B8" i="7"/>
  <c r="F8" i="7" s="1"/>
  <c r="C14" i="2"/>
  <c r="B10" i="4"/>
  <c r="B10" i="6"/>
  <c r="F10" i="6" s="1"/>
  <c r="B1" i="11"/>
  <c r="C8" i="4"/>
  <c r="F8" i="4" s="1"/>
  <c r="C13" i="5"/>
  <c r="C14" i="4"/>
  <c r="C12" i="5"/>
  <c r="B10" i="9"/>
  <c r="C9" i="4"/>
  <c r="B10" i="11"/>
  <c r="B7" i="12"/>
  <c r="C10" i="12"/>
  <c r="C7" i="5"/>
  <c r="G14" i="1"/>
  <c r="C14" i="9"/>
  <c r="C14" i="5"/>
  <c r="C14" i="12"/>
  <c r="F14" i="12" s="1"/>
  <c r="B7" i="9"/>
  <c r="B7" i="10"/>
  <c r="B7" i="5"/>
  <c r="C7" i="4"/>
  <c r="C11" i="5"/>
  <c r="B14" i="6"/>
  <c r="B9" i="8"/>
  <c r="B7" i="8"/>
  <c r="F7" i="8" s="1"/>
  <c r="C7" i="10"/>
  <c r="C7" i="9"/>
  <c r="C10" i="10"/>
  <c r="B14" i="10"/>
  <c r="F14" i="10" s="1"/>
  <c r="C7" i="2"/>
  <c r="B7" i="2"/>
  <c r="B14" i="5"/>
  <c r="B14" i="7"/>
  <c r="C14" i="11"/>
  <c r="B12" i="4"/>
  <c r="C9" i="5"/>
  <c r="C7" i="6"/>
  <c r="F7" i="6" s="1"/>
  <c r="C13" i="6"/>
  <c r="C13" i="7"/>
  <c r="C8" i="11"/>
  <c r="B8" i="12"/>
  <c r="G12" i="1"/>
  <c r="C8" i="6"/>
  <c r="C8" i="9"/>
  <c r="B8" i="10"/>
  <c r="B7" i="4"/>
  <c r="D20" i="7"/>
  <c r="C9" i="7"/>
  <c r="C8" i="10"/>
  <c r="B7" i="7"/>
  <c r="G7" i="1"/>
  <c r="B7" i="11"/>
  <c r="C7" i="7"/>
  <c r="G8" i="1"/>
  <c r="C8" i="12"/>
  <c r="B20" i="9"/>
  <c r="G20" i="8"/>
  <c r="I20" i="8" s="1"/>
  <c r="C7" i="12"/>
  <c r="B8" i="5"/>
  <c r="C13" i="2"/>
  <c r="G10" i="1"/>
  <c r="R5" i="1"/>
  <c r="F7" i="10"/>
  <c r="B12" i="6"/>
  <c r="F12" i="6" s="1"/>
  <c r="B8" i="11"/>
  <c r="C7" i="11"/>
  <c r="D20" i="2"/>
  <c r="C8" i="5"/>
  <c r="B12" i="2"/>
  <c r="B12" i="12"/>
  <c r="P14" i="15"/>
  <c r="H12" i="15"/>
  <c r="K12" i="15" s="1"/>
  <c r="H11" i="15"/>
  <c r="K11" i="15" s="1"/>
  <c r="B1" i="2"/>
  <c r="B1" i="9"/>
  <c r="B1" i="7"/>
  <c r="C9" i="2"/>
  <c r="F9" i="2" s="1"/>
  <c r="C10" i="5"/>
  <c r="C8" i="2"/>
  <c r="F8" i="2" s="1"/>
  <c r="C9" i="6"/>
  <c r="C14" i="6"/>
  <c r="C11" i="9"/>
  <c r="C13" i="9"/>
  <c r="C13" i="10"/>
  <c r="C13" i="11"/>
  <c r="C8" i="8"/>
  <c r="F8" i="8" s="1"/>
  <c r="C14" i="8"/>
  <c r="C11" i="6"/>
  <c r="C11" i="7"/>
  <c r="C9" i="10"/>
  <c r="C11" i="10"/>
  <c r="C9" i="11"/>
  <c r="C11" i="11"/>
  <c r="C11" i="2"/>
  <c r="C13" i="4"/>
  <c r="C10" i="7"/>
  <c r="C14" i="7"/>
  <c r="C11" i="4"/>
  <c r="C12" i="2"/>
  <c r="C12" i="9"/>
  <c r="C12" i="12"/>
  <c r="G13" i="1"/>
  <c r="G9" i="1"/>
  <c r="B9" i="6"/>
  <c r="B11" i="6"/>
  <c r="B13" i="6"/>
  <c r="B10" i="7"/>
  <c r="B13" i="9"/>
  <c r="B10" i="10"/>
  <c r="C10" i="11"/>
  <c r="C10" i="8"/>
  <c r="F10" i="8" s="1"/>
  <c r="B9" i="5"/>
  <c r="B12" i="11"/>
  <c r="B9" i="12"/>
  <c r="F9" i="12" s="1"/>
  <c r="B13" i="10"/>
  <c r="B11" i="5"/>
  <c r="B11" i="2"/>
  <c r="C10" i="4"/>
  <c r="C12" i="4"/>
  <c r="F14" i="2"/>
  <c r="C10" i="2"/>
  <c r="B12" i="7"/>
  <c r="C10" i="9"/>
  <c r="F10" i="9" s="1"/>
  <c r="B12" i="10"/>
  <c r="B9" i="11"/>
  <c r="C12" i="11"/>
  <c r="F12" i="11" s="1"/>
  <c r="B11" i="12"/>
  <c r="F11" i="12" s="1"/>
  <c r="B13" i="11"/>
  <c r="B13" i="7"/>
  <c r="B13" i="5"/>
  <c r="B10" i="2"/>
  <c r="B9" i="7"/>
  <c r="C12" i="7"/>
  <c r="B12" i="9"/>
  <c r="B9" i="10"/>
  <c r="C12" i="10"/>
  <c r="B14" i="11"/>
  <c r="B13" i="12"/>
  <c r="C12" i="8"/>
  <c r="F12" i="8" s="1"/>
  <c r="B11" i="9"/>
  <c r="B9" i="9"/>
  <c r="B11" i="11"/>
  <c r="G11" i="1"/>
  <c r="B9" i="4"/>
  <c r="B11" i="4"/>
  <c r="B13" i="4"/>
  <c r="B10" i="5"/>
  <c r="B12" i="5"/>
  <c r="F12" i="5" s="1"/>
  <c r="B13" i="2"/>
  <c r="B11" i="7"/>
  <c r="C9" i="9"/>
  <c r="B14" i="9"/>
  <c r="B11" i="10"/>
  <c r="B10" i="12"/>
  <c r="C9" i="8"/>
  <c r="C11" i="8"/>
  <c r="F11" i="8" s="1"/>
  <c r="B14" i="8"/>
  <c r="F13" i="8"/>
  <c r="C13" i="12"/>
  <c r="H14" i="15"/>
  <c r="H13" i="15"/>
  <c r="O14" i="15"/>
  <c r="H10" i="15"/>
  <c r="B1" i="4"/>
  <c r="B1" i="6"/>
  <c r="B1" i="5"/>
  <c r="D6" i="5"/>
  <c r="E6" i="5" s="1"/>
  <c r="D6" i="10"/>
  <c r="E6" i="10" s="1"/>
  <c r="D6" i="2"/>
  <c r="E6" i="2" s="1"/>
  <c r="D6" i="6"/>
  <c r="E6" i="6" s="1"/>
  <c r="D6" i="9"/>
  <c r="E6" i="9" s="1"/>
  <c r="O10" i="15"/>
  <c r="P10" i="15" s="1"/>
  <c r="M5" i="1"/>
  <c r="O11" i="15"/>
  <c r="P11" i="15" s="1"/>
  <c r="D6" i="4"/>
  <c r="E6" i="4" s="1"/>
  <c r="D6" i="12"/>
  <c r="E6" i="12" s="1"/>
  <c r="D6" i="8"/>
  <c r="E6" i="8" s="1"/>
  <c r="D6" i="11"/>
  <c r="E6" i="11" s="1"/>
  <c r="F6" i="1"/>
  <c r="G6" i="1" s="1"/>
  <c r="C6" i="7"/>
  <c r="B6" i="10"/>
  <c r="C6" i="12"/>
  <c r="B6" i="4"/>
  <c r="C6" i="5"/>
  <c r="C6" i="9"/>
  <c r="U1" i="1"/>
  <c r="B6" i="8"/>
  <c r="C6" i="4"/>
  <c r="C6" i="8"/>
  <c r="B1" i="8"/>
  <c r="C6" i="10"/>
  <c r="B6" i="12"/>
  <c r="B6" i="2"/>
  <c r="B6" i="6"/>
  <c r="B6" i="7"/>
  <c r="C6" i="2"/>
  <c r="C6" i="6"/>
  <c r="B6" i="11"/>
  <c r="B1" i="12"/>
  <c r="B6" i="5"/>
  <c r="F10" i="4" l="1"/>
  <c r="F13" i="7"/>
  <c r="F11" i="2"/>
  <c r="F8" i="9"/>
  <c r="F10" i="10"/>
  <c r="F8" i="5"/>
  <c r="F8" i="6"/>
  <c r="F14" i="4"/>
  <c r="F9" i="6"/>
  <c r="F12" i="9"/>
  <c r="F9" i="4"/>
  <c r="F13" i="5"/>
  <c r="F14" i="6"/>
  <c r="F7" i="12"/>
  <c r="F7" i="4"/>
  <c r="F9" i="10"/>
  <c r="F7" i="2"/>
  <c r="F10" i="5"/>
  <c r="F8" i="10"/>
  <c r="F12" i="12"/>
  <c r="F14" i="8"/>
  <c r="F9" i="8"/>
  <c r="F10" i="12"/>
  <c r="F10" i="7"/>
  <c r="F12" i="4"/>
  <c r="F13" i="2"/>
  <c r="F14" i="9"/>
  <c r="F13" i="4"/>
  <c r="F11" i="11"/>
  <c r="F9" i="5"/>
  <c r="F14" i="5"/>
  <c r="F10" i="11"/>
  <c r="F13" i="10"/>
  <c r="F9" i="7"/>
  <c r="F12" i="2"/>
  <c r="F14" i="7"/>
  <c r="F14" i="11"/>
  <c r="F13" i="6"/>
  <c r="F7" i="9"/>
  <c r="F10" i="2"/>
  <c r="F7" i="5"/>
  <c r="F11" i="5"/>
  <c r="F8" i="11"/>
  <c r="F8" i="12"/>
  <c r="F7" i="7"/>
  <c r="F12" i="7"/>
  <c r="F11" i="9"/>
  <c r="F9" i="11"/>
  <c r="F11" i="7"/>
  <c r="F9" i="9"/>
  <c r="F7" i="11"/>
  <c r="G20" i="9"/>
  <c r="I20" i="9" s="1"/>
  <c r="B20" i="10"/>
  <c r="D20" i="9"/>
  <c r="F13" i="11"/>
  <c r="F11" i="6"/>
  <c r="I11" i="15"/>
  <c r="F11" i="10"/>
  <c r="F13" i="9"/>
  <c r="G15" i="1"/>
  <c r="M3" i="1" s="1"/>
  <c r="R3" i="1" s="1"/>
  <c r="F11" i="4"/>
  <c r="F12" i="10"/>
  <c r="F13" i="12"/>
  <c r="F6" i="6"/>
  <c r="I12" i="15"/>
  <c r="I10" i="15"/>
  <c r="K10" i="15" s="1"/>
  <c r="K13" i="15" s="1"/>
  <c r="I13" i="15"/>
  <c r="F6" i="9"/>
  <c r="F6" i="10"/>
  <c r="F6" i="11"/>
  <c r="F6" i="8"/>
  <c r="F6" i="4"/>
  <c r="F6" i="5"/>
  <c r="F6" i="12"/>
  <c r="F6" i="2"/>
  <c r="F6" i="7"/>
  <c r="F15" i="8" l="1"/>
  <c r="D18" i="8" s="1"/>
  <c r="F15" i="2"/>
  <c r="F15" i="4"/>
  <c r="I19" i="4" s="1"/>
  <c r="F15" i="7"/>
  <c r="D18" i="7" s="1"/>
  <c r="F15" i="9"/>
  <c r="D18" i="9" s="1"/>
  <c r="D19" i="9" s="1"/>
  <c r="D23" i="9" s="1"/>
  <c r="D31" i="9" s="1"/>
  <c r="D33" i="9" s="1"/>
  <c r="F15" i="5"/>
  <c r="I19" i="5" s="1"/>
  <c r="G20" i="10"/>
  <c r="I20" i="10" s="1"/>
  <c r="B20" i="11"/>
  <c r="D20" i="10"/>
  <c r="F15" i="11"/>
  <c r="I19" i="11" s="1"/>
  <c r="F15" i="6"/>
  <c r="I18" i="6" s="1"/>
  <c r="M4" i="1"/>
  <c r="M8" i="1" s="1"/>
  <c r="M16" i="1" s="1"/>
  <c r="M18" i="1" s="1"/>
  <c r="F15" i="10"/>
  <c r="D18" i="10" s="1"/>
  <c r="D19" i="10" s="1"/>
  <c r="D23" i="10" s="1"/>
  <c r="F15" i="12"/>
  <c r="I19" i="12" s="1"/>
  <c r="M13" i="15"/>
  <c r="P18" i="15" s="1"/>
  <c r="P19" i="15" s="1"/>
  <c r="I18" i="8"/>
  <c r="I18" i="2"/>
  <c r="I19" i="2"/>
  <c r="D18" i="2"/>
  <c r="R4" i="1"/>
  <c r="R8" i="1" s="1"/>
  <c r="R16" i="1" s="1"/>
  <c r="R18" i="1" s="1"/>
  <c r="D19" i="8"/>
  <c r="D23" i="8" s="1"/>
  <c r="I19" i="8" l="1"/>
  <c r="D18" i="4"/>
  <c r="D19" i="4" s="1"/>
  <c r="D18" i="5"/>
  <c r="I19" i="7"/>
  <c r="I18" i="7"/>
  <c r="I18" i="4"/>
  <c r="I23" i="4" s="1"/>
  <c r="I31" i="4" s="1"/>
  <c r="I33" i="4" s="1"/>
  <c r="I19" i="6"/>
  <c r="I23" i="6" s="1"/>
  <c r="I24" i="6" s="1"/>
  <c r="I25" i="6" s="1"/>
  <c r="I19" i="9"/>
  <c r="I18" i="9"/>
  <c r="I18" i="5"/>
  <c r="I23" i="5" s="1"/>
  <c r="D18" i="6"/>
  <c r="D19" i="6" s="1"/>
  <c r="D23" i="6" s="1"/>
  <c r="D24" i="6" s="1"/>
  <c r="D25" i="6" s="1"/>
  <c r="M9" i="1"/>
  <c r="M10" i="1" s="1"/>
  <c r="M14" i="1" s="1"/>
  <c r="I18" i="11"/>
  <c r="D18" i="11"/>
  <c r="D19" i="11" s="1"/>
  <c r="G20" i="11"/>
  <c r="I20" i="11" s="1"/>
  <c r="B20" i="12"/>
  <c r="D20" i="11"/>
  <c r="I19" i="10"/>
  <c r="I18" i="10"/>
  <c r="D18" i="12"/>
  <c r="D19" i="12" s="1"/>
  <c r="I18" i="12"/>
  <c r="I23" i="8"/>
  <c r="I31" i="8" s="1"/>
  <c r="I33" i="8" s="1"/>
  <c r="O13" i="15"/>
  <c r="P13" i="15" s="1"/>
  <c r="C16" i="15"/>
  <c r="D24" i="8"/>
  <c r="D25" i="8" s="1"/>
  <c r="D31" i="8"/>
  <c r="D33" i="8" s="1"/>
  <c r="D24" i="10"/>
  <c r="D25" i="10" s="1"/>
  <c r="D31" i="10"/>
  <c r="D33" i="10" s="1"/>
  <c r="D19" i="5"/>
  <c r="D23" i="5" s="1"/>
  <c r="D19" i="2"/>
  <c r="D23" i="2" s="1"/>
  <c r="D19" i="7"/>
  <c r="D23" i="7" s="1"/>
  <c r="R9" i="1"/>
  <c r="R10" i="1" s="1"/>
  <c r="D24" i="9"/>
  <c r="D25" i="9" s="1"/>
  <c r="I23" i="2"/>
  <c r="I23" i="7" l="1"/>
  <c r="I31" i="7" s="1"/>
  <c r="I33" i="7" s="1"/>
  <c r="I24" i="4"/>
  <c r="I25" i="4" s="1"/>
  <c r="I26" i="4" s="1"/>
  <c r="I28" i="4" s="1"/>
  <c r="X7" i="1" s="1"/>
  <c r="D23" i="4"/>
  <c r="D24" i="4" s="1"/>
  <c r="D25" i="4" s="1"/>
  <c r="D29" i="4" s="1"/>
  <c r="I23" i="9"/>
  <c r="I31" i="9" s="1"/>
  <c r="I33" i="9" s="1"/>
  <c r="I31" i="6"/>
  <c r="I33" i="6" s="1"/>
  <c r="D31" i="6"/>
  <c r="D33" i="6" s="1"/>
  <c r="D23" i="11"/>
  <c r="D24" i="11" s="1"/>
  <c r="D25" i="11" s="1"/>
  <c r="D29" i="11" s="1"/>
  <c r="I23" i="11"/>
  <c r="I24" i="11" s="1"/>
  <c r="I25" i="11" s="1"/>
  <c r="I29" i="11" s="1"/>
  <c r="I23" i="10"/>
  <c r="I31" i="10" s="1"/>
  <c r="I33" i="10" s="1"/>
  <c r="M11" i="1"/>
  <c r="M13" i="1" s="1"/>
  <c r="U4" i="1" s="1"/>
  <c r="D31" i="11"/>
  <c r="D33" i="11" s="1"/>
  <c r="I31" i="11"/>
  <c r="I33" i="11" s="1"/>
  <c r="D20" i="12"/>
  <c r="D23" i="12" s="1"/>
  <c r="G20" i="12"/>
  <c r="I20" i="12" s="1"/>
  <c r="I23" i="12" s="1"/>
  <c r="I24" i="8"/>
  <c r="I25" i="8" s="1"/>
  <c r="I26" i="8" s="1"/>
  <c r="I28" i="8" s="1"/>
  <c r="X10" i="1" s="1"/>
  <c r="D31" i="4"/>
  <c r="D33" i="4" s="1"/>
  <c r="O15" i="15"/>
  <c r="D17" i="15"/>
  <c r="F18" i="15"/>
  <c r="F17" i="15"/>
  <c r="D18" i="15"/>
  <c r="D24" i="2"/>
  <c r="D25" i="2" s="1"/>
  <c r="D31" i="2"/>
  <c r="D33" i="2" s="1"/>
  <c r="I29" i="4"/>
  <c r="D29" i="8"/>
  <c r="D26" i="8"/>
  <c r="D28" i="8" s="1"/>
  <c r="U10" i="1" s="1"/>
  <c r="D29" i="9"/>
  <c r="D26" i="9"/>
  <c r="D28" i="9" s="1"/>
  <c r="U11" i="1" s="1"/>
  <c r="R11" i="1"/>
  <c r="R13" i="1" s="1"/>
  <c r="X4" i="1" s="1"/>
  <c r="R14" i="1"/>
  <c r="D24" i="5"/>
  <c r="D25" i="5" s="1"/>
  <c r="I29" i="6"/>
  <c r="I26" i="6"/>
  <c r="I28" i="6" s="1"/>
  <c r="X6" i="1" s="1"/>
  <c r="I24" i="5"/>
  <c r="I25" i="5" s="1"/>
  <c r="I31" i="5"/>
  <c r="I33" i="5" s="1"/>
  <c r="D31" i="5"/>
  <c r="D33" i="5" s="1"/>
  <c r="M17" i="1"/>
  <c r="W4" i="1" s="1"/>
  <c r="V4" i="1"/>
  <c r="I24" i="2"/>
  <c r="I25" i="2" s="1"/>
  <c r="D24" i="7"/>
  <c r="D25" i="7" s="1"/>
  <c r="I31" i="2"/>
  <c r="I33" i="2" s="1"/>
  <c r="D26" i="6"/>
  <c r="D28" i="6" s="1"/>
  <c r="U6" i="1" s="1"/>
  <c r="D29" i="6"/>
  <c r="I24" i="7"/>
  <c r="I25" i="7" s="1"/>
  <c r="D29" i="10"/>
  <c r="D26" i="10"/>
  <c r="D28" i="10" s="1"/>
  <c r="U12" i="1" s="1"/>
  <c r="D31" i="7"/>
  <c r="D33" i="7" s="1"/>
  <c r="D26" i="4" l="1"/>
  <c r="D28" i="4" s="1"/>
  <c r="U7" i="1" s="1"/>
  <c r="I24" i="9"/>
  <c r="I25" i="9" s="1"/>
  <c r="I29" i="9" s="1"/>
  <c r="D26" i="11"/>
  <c r="D28" i="11" s="1"/>
  <c r="U13" i="1" s="1"/>
  <c r="I24" i="10"/>
  <c r="I25" i="10" s="1"/>
  <c r="I29" i="10" s="1"/>
  <c r="I32" i="10" s="1"/>
  <c r="Z12" i="1" s="1"/>
  <c r="D31" i="12"/>
  <c r="D33" i="12" s="1"/>
  <c r="D24" i="12"/>
  <c r="D25" i="12" s="1"/>
  <c r="D26" i="12" s="1"/>
  <c r="D28" i="12" s="1"/>
  <c r="U14" i="1" s="1"/>
  <c r="I31" i="12"/>
  <c r="I33" i="12" s="1"/>
  <c r="I24" i="12"/>
  <c r="I25" i="12" s="1"/>
  <c r="I29" i="12" s="1"/>
  <c r="I26" i="11"/>
  <c r="I28" i="11" s="1"/>
  <c r="X13" i="1" s="1"/>
  <c r="I29" i="8"/>
  <c r="Y10" i="1" s="1"/>
  <c r="I26" i="10"/>
  <c r="I28" i="10" s="1"/>
  <c r="X12" i="1" s="1"/>
  <c r="I29" i="5"/>
  <c r="I26" i="5"/>
  <c r="I28" i="5" s="1"/>
  <c r="X8" i="1" s="1"/>
  <c r="D26" i="5"/>
  <c r="D28" i="5" s="1"/>
  <c r="U8" i="1" s="1"/>
  <c r="D29" i="5"/>
  <c r="I26" i="7"/>
  <c r="I28" i="7" s="1"/>
  <c r="X9" i="1" s="1"/>
  <c r="I29" i="7"/>
  <c r="D26" i="7"/>
  <c r="D28" i="7" s="1"/>
  <c r="U9" i="1" s="1"/>
  <c r="D29" i="7"/>
  <c r="V13" i="1"/>
  <c r="D32" i="11"/>
  <c r="W13" i="1" s="1"/>
  <c r="D32" i="9"/>
  <c r="W11" i="1" s="1"/>
  <c r="V11" i="1"/>
  <c r="D29" i="12"/>
  <c r="R17" i="1"/>
  <c r="Z4" i="1" s="1"/>
  <c r="Y4" i="1"/>
  <c r="D32" i="8"/>
  <c r="W10" i="1" s="1"/>
  <c r="V10" i="1"/>
  <c r="Y7" i="1"/>
  <c r="I32" i="4"/>
  <c r="Z7" i="1" s="1"/>
  <c r="I32" i="11"/>
  <c r="Z13" i="1" s="1"/>
  <c r="Y13" i="1"/>
  <c r="I29" i="2"/>
  <c r="I26" i="2"/>
  <c r="I28" i="2" s="1"/>
  <c r="X5" i="1" s="1"/>
  <c r="V12" i="1"/>
  <c r="D32" i="10"/>
  <c r="W12" i="1" s="1"/>
  <c r="Y11" i="1"/>
  <c r="I32" i="9"/>
  <c r="Z11" i="1" s="1"/>
  <c r="D29" i="2"/>
  <c r="D26" i="2"/>
  <c r="D28" i="2" s="1"/>
  <c r="U5" i="1" s="1"/>
  <c r="D32" i="6"/>
  <c r="W6" i="1" s="1"/>
  <c r="V6" i="1"/>
  <c r="Y6" i="1"/>
  <c r="I32" i="6"/>
  <c r="Z6" i="1" s="1"/>
  <c r="V7" i="1"/>
  <c r="D32" i="4"/>
  <c r="W7" i="1" s="1"/>
  <c r="I26" i="9" l="1"/>
  <c r="I28" i="9" s="1"/>
  <c r="X11" i="1" s="1"/>
  <c r="Y12" i="1"/>
  <c r="I26" i="12"/>
  <c r="I28" i="12" s="1"/>
  <c r="X14" i="1" s="1"/>
  <c r="I32" i="8"/>
  <c r="Z10" i="1" s="1"/>
  <c r="V8" i="1"/>
  <c r="D32" i="5"/>
  <c r="W8" i="1" s="1"/>
  <c r="I32" i="2"/>
  <c r="Y5" i="1"/>
  <c r="V9" i="1"/>
  <c r="D32" i="7"/>
  <c r="W9" i="1" s="1"/>
  <c r="V5" i="1"/>
  <c r="D32" i="2"/>
  <c r="V14" i="1"/>
  <c r="D32" i="12"/>
  <c r="W14" i="1" s="1"/>
  <c r="Y14" i="1"/>
  <c r="I32" i="12"/>
  <c r="Z14" i="1" s="1"/>
  <c r="I32" i="7"/>
  <c r="Z9" i="1" s="1"/>
  <c r="Y9" i="1"/>
  <c r="Y8" i="1"/>
  <c r="I32" i="5"/>
  <c r="Z8" i="1" s="1"/>
  <c r="W5" i="1" l="1"/>
  <c r="Z5" i="1"/>
</calcChain>
</file>

<file path=xl/sharedStrings.xml><?xml version="1.0" encoding="utf-8"?>
<sst xmlns="http://schemas.openxmlformats.org/spreadsheetml/2006/main" count="667" uniqueCount="199">
  <si>
    <t>Pack Size</t>
  </si>
  <si>
    <t>Price</t>
  </si>
  <si>
    <t>Percentage</t>
  </si>
  <si>
    <t>Amount</t>
  </si>
  <si>
    <t>Ingredient Cost</t>
  </si>
  <si>
    <t>Cost of All Ingredients:</t>
  </si>
  <si>
    <t>Franchise Fee</t>
  </si>
  <si>
    <t>Rebate</t>
  </si>
  <si>
    <t>Conatiner Cost</t>
  </si>
  <si>
    <t>Delivery Fee</t>
  </si>
  <si>
    <t>Total Price:</t>
  </si>
  <si>
    <t>Net Profit</t>
  </si>
  <si>
    <t>PROFIT</t>
  </si>
  <si>
    <t>Total Cost of All Ingredients:</t>
  </si>
  <si>
    <t>LEVEL 2</t>
  </si>
  <si>
    <t>Qauntity</t>
  </si>
  <si>
    <t>Labour Cost</t>
  </si>
  <si>
    <t>Mark Up</t>
  </si>
  <si>
    <t>Hours</t>
  </si>
  <si>
    <t>Rate</t>
  </si>
  <si>
    <t>PROFIT=</t>
  </si>
  <si>
    <t>CUSTOM GROSS PROFIT:</t>
  </si>
  <si>
    <t>Compound:</t>
  </si>
  <si>
    <t>Profit:</t>
  </si>
  <si>
    <t>CUSTOM PROFIT:</t>
  </si>
  <si>
    <t>Capsules</t>
  </si>
  <si>
    <t>Tramadol</t>
  </si>
  <si>
    <t>Amount (gm) per Capsule</t>
  </si>
  <si>
    <t>TOTAL</t>
  </si>
  <si>
    <t>Cost to Buyer</t>
  </si>
  <si>
    <t>Need to Pay</t>
  </si>
  <si>
    <t>G.P</t>
  </si>
  <si>
    <t>Quantity</t>
  </si>
  <si>
    <t>Gross Profit</t>
  </si>
  <si>
    <t>STANDARD PROFIT:</t>
  </si>
  <si>
    <t>Strength:</t>
  </si>
  <si>
    <t>mg</t>
  </si>
  <si>
    <t>CAPSULE:</t>
  </si>
  <si>
    <t>NAME</t>
  </si>
  <si>
    <t>PACK SIZE</t>
  </si>
  <si>
    <t>PRICE</t>
  </si>
  <si>
    <t>Amitryptyline</t>
  </si>
  <si>
    <t>Baclofen</t>
  </si>
  <si>
    <t>Bitterness Supressor</t>
  </si>
  <si>
    <t>Capsublend H</t>
  </si>
  <si>
    <t>Capsublend S</t>
  </si>
  <si>
    <t>Cellulose</t>
  </si>
  <si>
    <t>Chocholate Base</t>
  </si>
  <si>
    <t>Clindamycin</t>
  </si>
  <si>
    <t>Clotrimazole</t>
  </si>
  <si>
    <t>Cyanocobalamine</t>
  </si>
  <si>
    <t>Cyclobenzaprine</t>
  </si>
  <si>
    <t>DHEA</t>
  </si>
  <si>
    <t>Diclofenac</t>
  </si>
  <si>
    <t>Diffusimax</t>
  </si>
  <si>
    <t>Erythromycin Red</t>
  </si>
  <si>
    <t>Estradiol</t>
  </si>
  <si>
    <t>Estriol</t>
  </si>
  <si>
    <t>Ethoxy Diglycol</t>
  </si>
  <si>
    <t>Falvouring Agent</t>
  </si>
  <si>
    <t>Gabapentin</t>
  </si>
  <si>
    <t>Glycerine</t>
  </si>
  <si>
    <t>Gum Base</t>
  </si>
  <si>
    <t>HRT Base</t>
  </si>
  <si>
    <t>Hydrocortizone</t>
  </si>
  <si>
    <t>Hypermellose</t>
  </si>
  <si>
    <t>Ibuprofen</t>
  </si>
  <si>
    <t>Indigo Blue</t>
  </si>
  <si>
    <t>Ketoprofen</t>
  </si>
  <si>
    <t>Lidocaine</t>
  </si>
  <si>
    <t>Lipoderm</t>
  </si>
  <si>
    <t>Liquigel</t>
  </si>
  <si>
    <t>MDI Pump</t>
  </si>
  <si>
    <t>Medi RDT Base</t>
  </si>
  <si>
    <t>Menthol</t>
  </si>
  <si>
    <t>Neomycin</t>
  </si>
  <si>
    <t>Ora Plus</t>
  </si>
  <si>
    <t>Ora Sweet</t>
  </si>
  <si>
    <t>Phenobarbital</t>
  </si>
  <si>
    <t>PLO Gel</t>
  </si>
  <si>
    <t>Propylene Glycol</t>
  </si>
  <si>
    <t>Salicylic Acid</t>
  </si>
  <si>
    <t>Sildenafil</t>
  </si>
  <si>
    <t>Silica Gel</t>
  </si>
  <si>
    <t>Sodium Bicarbonate</t>
  </si>
  <si>
    <t>Sodium Chloride</t>
  </si>
  <si>
    <t>SPG Supp Base</t>
  </si>
  <si>
    <t>Sunset Yellow</t>
  </si>
  <si>
    <t>Tacrolimus</t>
  </si>
  <si>
    <t>Tadalafil</t>
  </si>
  <si>
    <t>Testosterone</t>
  </si>
  <si>
    <t>Thyroid</t>
  </si>
  <si>
    <t>Topiclick</t>
  </si>
  <si>
    <t>Transderm</t>
  </si>
  <si>
    <t>Tretinoin</t>
  </si>
  <si>
    <t>Troche Base</t>
  </si>
  <si>
    <t>Versapro Cream</t>
  </si>
  <si>
    <t>Versapro Gel</t>
  </si>
  <si>
    <t>Zinc Oxide</t>
  </si>
  <si>
    <t>Lansoprzole</t>
  </si>
  <si>
    <t>Nortriptyline</t>
  </si>
  <si>
    <t>Nifedipine</t>
  </si>
  <si>
    <t>Levothyroxine T4</t>
  </si>
  <si>
    <t>Troche Mold</t>
  </si>
  <si>
    <t>Ingredients</t>
  </si>
  <si>
    <t>Phenoazopyridine</t>
  </si>
  <si>
    <t>Liothyronine</t>
  </si>
  <si>
    <t>Naltrexone</t>
  </si>
  <si>
    <t>Progesterone</t>
  </si>
  <si>
    <t>Methoxsalen</t>
  </si>
  <si>
    <t>Disulfiram</t>
  </si>
  <si>
    <t>Compound Name:</t>
  </si>
  <si>
    <t>Strength :</t>
  </si>
  <si>
    <t xml:space="preserve">Prepared By: </t>
  </si>
  <si>
    <t>Valay Rajgor</t>
  </si>
  <si>
    <t>Date:</t>
  </si>
  <si>
    <t>Number of Capsules:</t>
  </si>
  <si>
    <t>For 100 Capsule Batch:</t>
  </si>
  <si>
    <t>-</t>
  </si>
  <si>
    <t>Theoritical weight of 1 Capsule:</t>
  </si>
  <si>
    <t>Acceptable Actual Weight Range for 1 Capsule:</t>
  </si>
  <si>
    <t>5% Error</t>
  </si>
  <si>
    <t>to</t>
  </si>
  <si>
    <t>10% Error</t>
  </si>
  <si>
    <t>Capsule Size 3</t>
  </si>
  <si>
    <t>Capsule Size 1</t>
  </si>
  <si>
    <t>No.</t>
  </si>
  <si>
    <t>Sample Weight</t>
  </si>
  <si>
    <t>Quality Assurance:</t>
  </si>
  <si>
    <t>Batch:</t>
  </si>
  <si>
    <t>Initial</t>
  </si>
  <si>
    <t>Expiry Date:</t>
  </si>
  <si>
    <t>(180 Days)</t>
  </si>
  <si>
    <t>Initail:</t>
  </si>
  <si>
    <t xml:space="preserve">Verified By: </t>
  </si>
  <si>
    <t>License No.: 12014</t>
  </si>
  <si>
    <t>Valay Rajgor (R.Ph.)</t>
  </si>
  <si>
    <t>Ingredient</t>
  </si>
  <si>
    <t>Weigth of Capsule Filled with Ingredient (mg)</t>
  </si>
  <si>
    <t>% of Empty Capsule Occupied by Ingredient</t>
  </si>
  <si>
    <t>(Ave weight of Filled Cap. - Ave Empty Cap. weight)</t>
  </si>
  <si>
    <t>Capsule Size 0</t>
  </si>
  <si>
    <t>Capsublend H (Size 3)</t>
  </si>
  <si>
    <t>Capsublend P (Size 0)</t>
  </si>
  <si>
    <t>Cellulose (Size 0)</t>
  </si>
  <si>
    <t>Cellulose (Size 1)</t>
  </si>
  <si>
    <t>Cellulose (Size 3)</t>
  </si>
  <si>
    <t>Clomiphene (Size 3)</t>
  </si>
  <si>
    <t>Hypromellose (Size 1)</t>
  </si>
  <si>
    <t>Phenazopyridine (Size 1)</t>
  </si>
  <si>
    <t>Progesterone (Size 1)</t>
  </si>
  <si>
    <t>Progesterone (Size 0)</t>
  </si>
  <si>
    <t>Sildenafil (Size 3)</t>
  </si>
  <si>
    <t>Tramadol (Size 1)</t>
  </si>
  <si>
    <t>Tramadol (Size 3)</t>
  </si>
  <si>
    <t>Clomiphene</t>
  </si>
  <si>
    <t>Thyroid (Size 3)</t>
  </si>
  <si>
    <t xml:space="preserve"> </t>
  </si>
  <si>
    <t>Type of Ingedient</t>
  </si>
  <si>
    <t>Active</t>
  </si>
  <si>
    <t>Filler-2</t>
  </si>
  <si>
    <t>Filler-1</t>
  </si>
  <si>
    <t>Capsule Shell</t>
  </si>
  <si>
    <t>Actual Weight (mg)</t>
  </si>
  <si>
    <t>Other Active Ingredients</t>
  </si>
  <si>
    <t>Ingredient amount for Batch (Gram)</t>
  </si>
  <si>
    <t>Gram</t>
  </si>
  <si>
    <t>Quantity for Total number of Capsules:</t>
  </si>
  <si>
    <t>Pass (P) or Fail (F)</t>
  </si>
  <si>
    <t xml:space="preserve">                                 Pass                                     Fail</t>
  </si>
  <si>
    <t>Capsublend P</t>
  </si>
  <si>
    <t>Capsule</t>
  </si>
  <si>
    <t>Active-1</t>
  </si>
  <si>
    <t>Active-2</t>
  </si>
  <si>
    <t>Active- 3</t>
  </si>
  <si>
    <t>Capsule Size</t>
  </si>
  <si>
    <t>Nystatin</t>
  </si>
  <si>
    <t>Disulfiram (Size 1)</t>
  </si>
  <si>
    <t>Glycopyrrolate</t>
  </si>
  <si>
    <t>Capsublend S (Size 3)</t>
  </si>
  <si>
    <t>Acetylecysteine</t>
  </si>
  <si>
    <t>Acetylcysteine Size 1</t>
  </si>
  <si>
    <t>Neomycin (Size 0)</t>
  </si>
  <si>
    <t>Pregnenolone</t>
  </si>
  <si>
    <t>Pregnenolone (Size 3)</t>
  </si>
  <si>
    <t>Ingredient FOR 1 Capsule (mg)</t>
  </si>
  <si>
    <t>Sample 1 (mg)</t>
  </si>
  <si>
    <t>Sample 2 (mg)</t>
  </si>
  <si>
    <t>Sample 3 (mg)</t>
  </si>
  <si>
    <t>Sample 4 (mg)</t>
  </si>
  <si>
    <t>Sample 5 (mg)</t>
  </si>
  <si>
    <t>Average Weight (mg)</t>
  </si>
  <si>
    <t>Ingredient need to use with Processing Error (Gram)</t>
  </si>
  <si>
    <t>Ketamine</t>
  </si>
  <si>
    <t>Meclizine</t>
  </si>
  <si>
    <t>Meclizine (Size 3)</t>
  </si>
  <si>
    <t>For 300 Capsule Batch:</t>
  </si>
  <si>
    <t>Hypromellose (Size 3)</t>
  </si>
  <si>
    <t>Estrone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</si>
</sst>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&quot;$&quot;#,##0.00"/>
    <numFmt numFmtId="166" formatCode="0.0"/>
    <numFmt numFmtId="167" formatCode="0.000"/>
    <numFmt numFmtId="168" formatCode="&quot;$&quot;#,##0"/>
    <numFmt numFmtId="169" formatCode="0.0000"/>
    <numFmt numFmtId="170" formatCode="[$-F800]dddd\,\ mmmm\ dd\,\ yyyy"/>
    <numFmt numFmtId="171" formatCode="0.0%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b/>
      <sz val="16"/>
      <color theme="5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 Rounded MT Bold"/>
      <family val="2"/>
    </font>
    <font>
      <sz val="14"/>
      <color theme="1"/>
      <name val="Arial Rounded MT Bold"/>
      <family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9">
    <xf numFmtId="0" fontId="0" fillId="0" borderId="0" xfId="0"/>
    <xf numFmtId="0" fontId="4" fillId="0" borderId="0" xfId="0" applyFont="1" applyAlignment="1" applyProtection="1">
      <alignment horizont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165" fontId="2" fillId="0" borderId="0" xfId="0" applyNumberFormat="1" applyFont="1" applyAlignment="1" applyProtection="1">
      <alignment horizontal="center"/>
      <protection hidden="1"/>
    </xf>
    <xf numFmtId="166" fontId="0" fillId="0" borderId="0" xfId="0" applyNumberFormat="1" applyFill="1" applyAlignment="1" applyProtection="1">
      <alignment horizontal="center"/>
      <protection hidden="1"/>
    </xf>
    <xf numFmtId="2" fontId="0" fillId="0" borderId="0" xfId="1" applyNumberFormat="1" applyFont="1" applyAlignment="1" applyProtection="1">
      <alignment horizontal="center"/>
      <protection hidden="1"/>
    </xf>
    <xf numFmtId="9" fontId="3" fillId="0" borderId="0" xfId="0" applyNumberFormat="1" applyFont="1" applyAlignment="1" applyProtection="1">
      <alignment horizontal="center"/>
      <protection hidden="1"/>
    </xf>
    <xf numFmtId="165" fontId="3" fillId="0" borderId="0" xfId="0" applyNumberFormat="1" applyFont="1" applyAlignment="1" applyProtection="1">
      <alignment horizontal="center"/>
      <protection hidden="1"/>
    </xf>
    <xf numFmtId="0" fontId="6" fillId="0" borderId="0" xfId="0" applyFont="1" applyAlignment="1" applyProtection="1">
      <alignment horizontal="center"/>
      <protection hidden="1"/>
    </xf>
    <xf numFmtId="9" fontId="2" fillId="0" borderId="0" xfId="0" applyNumberFormat="1" applyFont="1" applyFill="1" applyAlignment="1" applyProtection="1">
      <alignment horizontal="center"/>
      <protection hidden="1"/>
    </xf>
    <xf numFmtId="2" fontId="0" fillId="0" borderId="0" xfId="0" applyNumberFormat="1" applyFill="1" applyAlignment="1" applyProtection="1">
      <alignment horizontal="center"/>
      <protection hidden="1"/>
    </xf>
    <xf numFmtId="2" fontId="0" fillId="0" borderId="0" xfId="0" applyNumberFormat="1" applyAlignment="1" applyProtection="1">
      <alignment horizontal="center"/>
      <protection hidden="1"/>
    </xf>
    <xf numFmtId="166" fontId="0" fillId="0" borderId="0" xfId="0" applyNumberFormat="1" applyAlignment="1" applyProtection="1">
      <alignment horizontal="center"/>
      <protection hidden="1"/>
    </xf>
    <xf numFmtId="0" fontId="0" fillId="0" borderId="0" xfId="0" applyAlignment="1" applyProtection="1">
      <alignment horizontal="center" wrapText="1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165" fontId="3" fillId="0" borderId="0" xfId="0" applyNumberFormat="1" applyFont="1" applyAlignment="1" applyProtection="1">
      <alignment horizontal="center" vertical="center"/>
      <protection hidden="1"/>
    </xf>
    <xf numFmtId="9" fontId="2" fillId="0" borderId="0" xfId="2" applyFont="1" applyAlignment="1" applyProtection="1">
      <alignment horizontal="center"/>
      <protection hidden="1"/>
    </xf>
    <xf numFmtId="0" fontId="0" fillId="0" borderId="0" xfId="0" applyAlignment="1" applyProtection="1">
      <alignment horizontal="right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Alignment="1" applyProtection="1">
      <alignment horizontal="center"/>
      <protection hidden="1"/>
    </xf>
    <xf numFmtId="165" fontId="2" fillId="0" borderId="0" xfId="0" applyNumberFormat="1" applyFont="1" applyFill="1" applyAlignment="1" applyProtection="1">
      <alignment horizontal="center"/>
      <protection hidden="1"/>
    </xf>
    <xf numFmtId="2" fontId="0" fillId="0" borderId="0" xfId="1" applyNumberFormat="1" applyFont="1" applyFill="1" applyAlignment="1" applyProtection="1">
      <alignment horizontal="center"/>
      <protection hidden="1"/>
    </xf>
    <xf numFmtId="9" fontId="3" fillId="0" borderId="0" xfId="0" applyNumberFormat="1" applyFont="1" applyFill="1" applyAlignment="1" applyProtection="1">
      <alignment horizontal="center"/>
      <protection hidden="1"/>
    </xf>
    <xf numFmtId="165" fontId="3" fillId="0" borderId="0" xfId="0" applyNumberFormat="1" applyFont="1" applyFill="1" applyAlignment="1" applyProtection="1">
      <alignment horizontal="center"/>
      <protection hidden="1"/>
    </xf>
    <xf numFmtId="0" fontId="6" fillId="0" borderId="0" xfId="0" applyFont="1" applyFill="1" applyAlignment="1" applyProtection="1">
      <alignment horizontal="center"/>
      <protection hidden="1"/>
    </xf>
    <xf numFmtId="0" fontId="3" fillId="0" borderId="0" xfId="0" applyFont="1" applyFill="1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right"/>
      <protection hidden="1"/>
    </xf>
    <xf numFmtId="0" fontId="2" fillId="0" borderId="0" xfId="0" applyFont="1" applyFill="1" applyAlignment="1" applyProtection="1">
      <alignment horizontal="center" wrapText="1"/>
      <protection hidden="1"/>
    </xf>
    <xf numFmtId="2" fontId="0" fillId="0" borderId="0" xfId="2" applyNumberFormat="1" applyFont="1" applyFill="1" applyAlignment="1" applyProtection="1">
      <alignment horizontal="center"/>
      <protection hidden="1"/>
    </xf>
    <xf numFmtId="167" fontId="0" fillId="0" borderId="0" xfId="2" applyNumberFormat="1" applyFont="1" applyFill="1" applyAlignment="1" applyProtection="1">
      <alignment horizontal="center"/>
      <protection hidden="1"/>
    </xf>
    <xf numFmtId="1" fontId="5" fillId="0" borderId="0" xfId="0" applyNumberFormat="1" applyFont="1" applyFill="1" applyAlignment="1" applyProtection="1">
      <alignment horizontal="center"/>
      <protection hidden="1"/>
    </xf>
    <xf numFmtId="0" fontId="3" fillId="0" borderId="0" xfId="0" applyFont="1" applyAlignment="1" applyProtection="1">
      <alignment horizontal="center"/>
      <protection hidden="1"/>
    </xf>
    <xf numFmtId="0" fontId="3" fillId="0" borderId="0" xfId="0" applyFont="1" applyFill="1" applyAlignment="1" applyProtection="1">
      <alignment horizontal="center"/>
      <protection hidden="1"/>
    </xf>
    <xf numFmtId="168" fontId="3" fillId="0" borderId="0" xfId="0" applyNumberFormat="1" applyFont="1" applyAlignment="1" applyProtection="1">
      <alignment horizontal="center" vertical="center"/>
      <protection hidden="1"/>
    </xf>
    <xf numFmtId="168" fontId="3" fillId="0" borderId="0" xfId="0" applyNumberFormat="1" applyFont="1" applyAlignment="1" applyProtection="1">
      <alignment horizontal="center"/>
      <protection hidden="1"/>
    </xf>
    <xf numFmtId="9" fontId="5" fillId="0" borderId="0" xfId="2" applyFont="1" applyAlignment="1" applyProtection="1">
      <alignment horizontal="center"/>
      <protection hidden="1"/>
    </xf>
    <xf numFmtId="9" fontId="5" fillId="0" borderId="0" xfId="0" applyNumberFormat="1" applyFont="1" applyFill="1" applyAlignment="1" applyProtection="1">
      <alignment horizontal="center"/>
      <protection hidden="1"/>
    </xf>
    <xf numFmtId="165" fontId="8" fillId="0" borderId="0" xfId="0" applyNumberFormat="1" applyFont="1" applyAlignment="1" applyProtection="1">
      <alignment horizontal="center"/>
      <protection hidden="1"/>
    </xf>
    <xf numFmtId="0" fontId="8" fillId="0" borderId="0" xfId="0" applyFont="1" applyAlignment="1" applyProtection="1">
      <alignment horizontal="center"/>
      <protection hidden="1"/>
    </xf>
    <xf numFmtId="0" fontId="4" fillId="4" borderId="0" xfId="0" applyFont="1" applyFill="1" applyAlignment="1" applyProtection="1">
      <alignment horizontal="center"/>
      <protection hidden="1"/>
    </xf>
    <xf numFmtId="9" fontId="9" fillId="4" borderId="0" xfId="0" applyNumberFormat="1" applyFont="1" applyFill="1" applyAlignment="1" applyProtection="1">
      <alignment horizontal="center"/>
      <protection hidden="1"/>
    </xf>
    <xf numFmtId="0" fontId="4" fillId="4" borderId="0" xfId="0" applyFont="1" applyFill="1" applyAlignment="1" applyProtection="1">
      <alignment horizontal="center" wrapText="1"/>
      <protection hidden="1"/>
    </xf>
    <xf numFmtId="9" fontId="10" fillId="4" borderId="0" xfId="0" applyNumberFormat="1" applyFont="1" applyFill="1" applyAlignment="1" applyProtection="1">
      <alignment horizontal="center"/>
      <protection hidden="1"/>
    </xf>
    <xf numFmtId="1" fontId="4" fillId="4" borderId="0" xfId="0" applyNumberFormat="1" applyFont="1" applyFill="1" applyAlignment="1" applyProtection="1">
      <alignment horizontal="center"/>
      <protection hidden="1"/>
    </xf>
    <xf numFmtId="168" fontId="9" fillId="5" borderId="0" xfId="0" applyNumberFormat="1" applyFont="1" applyFill="1" applyAlignment="1" applyProtection="1">
      <alignment horizontal="center"/>
      <protection hidden="1"/>
    </xf>
    <xf numFmtId="168" fontId="4" fillId="5" borderId="0" xfId="0" applyNumberFormat="1" applyFont="1" applyFill="1" applyAlignment="1" applyProtection="1">
      <alignment horizontal="center"/>
      <protection hidden="1"/>
    </xf>
    <xf numFmtId="168" fontId="10" fillId="5" borderId="0" xfId="0" applyNumberFormat="1" applyFont="1" applyFill="1" applyAlignment="1" applyProtection="1">
      <alignment horizontal="center"/>
      <protection hidden="1"/>
    </xf>
    <xf numFmtId="168" fontId="7" fillId="6" borderId="0" xfId="0" applyNumberFormat="1" applyFont="1" applyFill="1" applyAlignment="1" applyProtection="1">
      <alignment horizontal="center"/>
      <protection hidden="1"/>
    </xf>
    <xf numFmtId="168" fontId="9" fillId="7" borderId="0" xfId="0" applyNumberFormat="1" applyFont="1" applyFill="1" applyAlignment="1" applyProtection="1">
      <alignment horizontal="center"/>
      <protection hidden="1"/>
    </xf>
    <xf numFmtId="168" fontId="7" fillId="8" borderId="0" xfId="0" applyNumberFormat="1" applyFont="1" applyFill="1" applyAlignment="1" applyProtection="1">
      <alignment horizontal="center"/>
      <protection hidden="1"/>
    </xf>
    <xf numFmtId="168" fontId="10" fillId="7" borderId="0" xfId="0" applyNumberFormat="1" applyFont="1" applyFill="1" applyAlignment="1" applyProtection="1">
      <alignment horizontal="center"/>
      <protection hidden="1"/>
    </xf>
    <xf numFmtId="168" fontId="4" fillId="7" borderId="0" xfId="0" applyNumberFormat="1" applyFont="1" applyFill="1" applyAlignment="1" applyProtection="1">
      <alignment horizontal="center"/>
      <protection hidden="1"/>
    </xf>
    <xf numFmtId="0" fontId="3" fillId="3" borderId="0" xfId="0" applyFont="1" applyFill="1" applyAlignment="1" applyProtection="1">
      <alignment horizontal="left"/>
      <protection hidden="1"/>
    </xf>
    <xf numFmtId="166" fontId="3" fillId="3" borderId="0" xfId="0" applyNumberFormat="1" applyFont="1" applyFill="1" applyAlignment="1" applyProtection="1">
      <alignment horizontal="right"/>
      <protection hidden="1"/>
    </xf>
    <xf numFmtId="165" fontId="4" fillId="0" borderId="0" xfId="0" applyNumberFormat="1" applyFont="1" applyAlignment="1" applyProtection="1">
      <alignment horizontal="center"/>
      <protection hidden="1"/>
    </xf>
    <xf numFmtId="165" fontId="0" fillId="0" borderId="0" xfId="0" applyNumberForma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165" fontId="0" fillId="0" borderId="0" xfId="0" applyNumberForma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left"/>
      <protection hidden="1"/>
    </xf>
    <xf numFmtId="0" fontId="2" fillId="0" borderId="0" xfId="0" applyFont="1" applyFill="1" applyAlignment="1" applyProtection="1">
      <alignment horizontal="center"/>
      <protection hidden="1"/>
    </xf>
    <xf numFmtId="165" fontId="4" fillId="0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0" fillId="0" borderId="0" xfId="0" applyNumberFormat="1" applyProtection="1">
      <protection hidden="1"/>
    </xf>
    <xf numFmtId="164" fontId="0" fillId="0" borderId="0" xfId="1" applyFont="1" applyProtection="1">
      <protection hidden="1"/>
    </xf>
    <xf numFmtId="1" fontId="5" fillId="2" borderId="0" xfId="0" applyNumberFormat="1" applyFont="1" applyFill="1" applyAlignment="1" applyProtection="1">
      <alignment horizontal="center"/>
      <protection locked="0" hidden="1"/>
    </xf>
    <xf numFmtId="166" fontId="4" fillId="2" borderId="0" xfId="0" applyNumberFormat="1" applyFont="1" applyFill="1" applyAlignment="1" applyProtection="1">
      <alignment horizontal="center"/>
      <protection locked="0" hidden="1"/>
    </xf>
    <xf numFmtId="9" fontId="2" fillId="2" borderId="0" xfId="0" applyNumberFormat="1" applyFont="1" applyFill="1" applyAlignment="1" applyProtection="1">
      <alignment horizontal="center"/>
      <protection locked="0" hidden="1"/>
    </xf>
    <xf numFmtId="0" fontId="2" fillId="2" borderId="0" xfId="0" applyFont="1" applyFill="1" applyAlignment="1" applyProtection="1">
      <alignment horizontal="center"/>
      <protection locked="0" hidden="1"/>
    </xf>
    <xf numFmtId="169" fontId="0" fillId="2" borderId="0" xfId="2" applyNumberFormat="1" applyFont="1" applyFill="1" applyAlignment="1" applyProtection="1">
      <alignment horizontal="left" indent="2"/>
      <protection locked="0" hidden="1"/>
    </xf>
    <xf numFmtId="167" fontId="0" fillId="2" borderId="0" xfId="2" applyNumberFormat="1" applyFont="1" applyFill="1" applyAlignment="1" applyProtection="1">
      <alignment horizontal="center"/>
      <protection locked="0" hidden="1"/>
    </xf>
    <xf numFmtId="167" fontId="0" fillId="2" borderId="0" xfId="0" applyNumberFormat="1" applyFill="1" applyAlignment="1" applyProtection="1">
      <alignment horizontal="center"/>
      <protection locked="0" hidden="1"/>
    </xf>
    <xf numFmtId="2" fontId="0" fillId="0" borderId="0" xfId="0" applyNumberFormat="1" applyProtection="1">
      <protection hidden="1"/>
    </xf>
    <xf numFmtId="0" fontId="2" fillId="0" borderId="0" xfId="0" applyFont="1" applyAlignment="1" applyProtection="1">
      <alignment horizontal="center"/>
      <protection hidden="1"/>
    </xf>
    <xf numFmtId="0" fontId="11" fillId="0" borderId="0" xfId="0" applyFont="1"/>
    <xf numFmtId="0" fontId="0" fillId="0" borderId="0" xfId="0" applyAlignment="1">
      <alignment horizontal="left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11" fillId="0" borderId="0" xfId="0" applyFont="1" applyProtection="1"/>
    <xf numFmtId="0" fontId="0" fillId="0" borderId="0" xfId="0" applyProtection="1"/>
    <xf numFmtId="2" fontId="2" fillId="0" borderId="0" xfId="0" applyNumberFormat="1" applyFont="1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0" fillId="0" borderId="0" xfId="0" applyAlignment="1" applyProtection="1">
      <alignment wrapText="1"/>
    </xf>
    <xf numFmtId="1" fontId="2" fillId="0" borderId="0" xfId="0" applyNumberFormat="1" applyFont="1" applyAlignment="1" applyProtection="1">
      <alignment horizontal="center" vertical="center"/>
    </xf>
    <xf numFmtId="2" fontId="0" fillId="0" borderId="0" xfId="0" applyNumberFormat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2" fontId="13" fillId="0" borderId="0" xfId="0" applyNumberFormat="1" applyFont="1" applyAlignment="1" applyProtection="1">
      <alignment horizontal="center"/>
    </xf>
    <xf numFmtId="0" fontId="2" fillId="0" borderId="0" xfId="0" applyFont="1" applyAlignment="1" applyProtection="1">
      <alignment horizontal="center" wrapText="1"/>
    </xf>
    <xf numFmtId="0" fontId="0" fillId="0" borderId="0" xfId="0" applyAlignment="1" applyProtection="1">
      <alignment horizontal="center"/>
    </xf>
    <xf numFmtId="1" fontId="11" fillId="0" borderId="0" xfId="0" applyNumberFormat="1" applyFont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2" fillId="0" borderId="0" xfId="0" applyFont="1" applyProtection="1"/>
    <xf numFmtId="0" fontId="0" fillId="7" borderId="1" xfId="0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1" fontId="0" fillId="0" borderId="0" xfId="0" applyNumberFormat="1"/>
    <xf numFmtId="0" fontId="2" fillId="2" borderId="0" xfId="0" applyFont="1" applyFill="1" applyAlignment="1" applyProtection="1">
      <alignment horizontal="center"/>
      <protection locked="0"/>
    </xf>
    <xf numFmtId="1" fontId="0" fillId="5" borderId="1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/>
    </xf>
    <xf numFmtId="1" fontId="0" fillId="0" borderId="0" xfId="0" applyNumberFormat="1" applyAlignment="1" applyProtection="1">
      <alignment horizontal="center"/>
      <protection hidden="1"/>
    </xf>
    <xf numFmtId="1" fontId="0" fillId="0" borderId="0" xfId="0" applyNumberFormat="1" applyAlignment="1">
      <alignment horizontal="center"/>
    </xf>
    <xf numFmtId="1" fontId="0" fillId="5" borderId="1" xfId="0" applyNumberFormat="1" applyFill="1" applyBorder="1" applyAlignment="1">
      <alignment horizontal="center" vertical="center" wrapText="1"/>
    </xf>
    <xf numFmtId="0" fontId="0" fillId="0" borderId="1" xfId="0" applyBorder="1" applyAlignment="1" applyProtection="1">
      <alignment horizontal="center" wrapText="1"/>
    </xf>
    <xf numFmtId="0" fontId="0" fillId="7" borderId="1" xfId="0" applyFill="1" applyBorder="1" applyAlignment="1">
      <alignment horizontal="center"/>
    </xf>
    <xf numFmtId="0" fontId="11" fillId="0" borderId="0" xfId="0" applyFont="1" applyAlignment="1" applyProtection="1">
      <alignment horizontal="right"/>
    </xf>
    <xf numFmtId="167" fontId="0" fillId="0" borderId="1" xfId="0" applyNumberFormat="1" applyBorder="1" applyAlignment="1" applyProtection="1">
      <alignment wrapText="1"/>
    </xf>
    <xf numFmtId="171" fontId="0" fillId="0" borderId="0" xfId="2" applyNumberFormat="1" applyFont="1"/>
    <xf numFmtId="167" fontId="2" fillId="0" borderId="0" xfId="0" applyNumberFormat="1" applyFont="1" applyAlignment="1" applyProtection="1">
      <alignment wrapText="1"/>
    </xf>
    <xf numFmtId="0" fontId="0" fillId="0" borderId="0" xfId="0" applyFont="1" applyAlignment="1" applyProtection="1">
      <alignment horizontal="center" vertical="center"/>
    </xf>
    <xf numFmtId="0" fontId="0" fillId="0" borderId="0" xfId="0" applyFont="1" applyAlignment="1" applyProtection="1">
      <alignment horizontal="center"/>
    </xf>
    <xf numFmtId="0" fontId="2" fillId="0" borderId="0" xfId="0" applyFont="1" applyAlignment="1" applyProtection="1">
      <alignment horizontal="right"/>
    </xf>
    <xf numFmtId="2" fontId="2" fillId="0" borderId="0" xfId="0" applyNumberFormat="1" applyFont="1" applyAlignment="1" applyProtection="1">
      <alignment horizontal="left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0" fillId="5" borderId="1" xfId="0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wrapText="1"/>
      <protection locked="0"/>
    </xf>
    <xf numFmtId="167" fontId="2" fillId="0" borderId="1" xfId="0" applyNumberFormat="1" applyFont="1" applyBorder="1" applyAlignment="1" applyProtection="1">
      <alignment wrapText="1"/>
    </xf>
    <xf numFmtId="1" fontId="2" fillId="0" borderId="1" xfId="0" applyNumberFormat="1" applyFont="1" applyBorder="1" applyAlignment="1" applyProtection="1">
      <alignment wrapText="1"/>
    </xf>
    <xf numFmtId="0" fontId="2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</xf>
    <xf numFmtId="2" fontId="0" fillId="5" borderId="1" xfId="0" applyNumberForma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9" borderId="0" xfId="0" applyFill="1" applyProtection="1">
      <protection hidden="1"/>
    </xf>
    <xf numFmtId="1" fontId="0" fillId="9" borderId="0" xfId="0" applyNumberFormat="1" applyFill="1" applyProtection="1">
      <protection hidden="1"/>
    </xf>
    <xf numFmtId="164" fontId="0" fillId="9" borderId="0" xfId="1" applyFont="1" applyFill="1" applyProtection="1">
      <protection hidden="1"/>
    </xf>
    <xf numFmtId="1" fontId="8" fillId="9" borderId="0" xfId="0" applyNumberFormat="1" applyFont="1" applyFill="1" applyAlignment="1">
      <alignment horizontal="center"/>
    </xf>
    <xf numFmtId="1" fontId="0" fillId="9" borderId="0" xfId="0" applyNumberFormat="1" applyFill="1" applyAlignment="1">
      <alignment horizontal="center"/>
    </xf>
    <xf numFmtId="1" fontId="0" fillId="9" borderId="0" xfId="0" applyNumberFormat="1" applyFill="1" applyAlignment="1" applyProtection="1">
      <alignment horizontal="center"/>
      <protection hidden="1"/>
    </xf>
    <xf numFmtId="1" fontId="0" fillId="9" borderId="0" xfId="1" applyNumberFormat="1" applyFont="1" applyFill="1" applyAlignment="1" applyProtection="1">
      <alignment horizontal="center"/>
      <protection hidden="1"/>
    </xf>
    <xf numFmtId="165" fontId="4" fillId="0" borderId="0" xfId="0" applyNumberFormat="1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right"/>
      <protection hidden="1"/>
    </xf>
    <xf numFmtId="165" fontId="0" fillId="0" borderId="0" xfId="0" applyNumberForma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4" fillId="2" borderId="0" xfId="0" applyFont="1" applyFill="1" applyAlignment="1" applyProtection="1">
      <alignment horizontal="center"/>
      <protection locked="0" hidden="1"/>
    </xf>
    <xf numFmtId="0" fontId="3" fillId="3" borderId="0" xfId="0" applyFont="1" applyFill="1" applyAlignment="1" applyProtection="1">
      <alignment horizontal="right"/>
      <protection hidden="1"/>
    </xf>
    <xf numFmtId="0" fontId="2" fillId="0" borderId="0" xfId="0" applyFont="1" applyAlignment="1" applyProtection="1">
      <alignment horizontal="center" wrapText="1"/>
      <protection hidden="1"/>
    </xf>
    <xf numFmtId="0" fontId="0" fillId="0" borderId="5" xfId="0" applyBorder="1" applyAlignment="1" applyProtection="1">
      <alignment horizontal="center" vertical="center" wrapText="1"/>
    </xf>
    <xf numFmtId="0" fontId="0" fillId="0" borderId="6" xfId="0" applyBorder="1" applyAlignment="1" applyProtection="1">
      <alignment horizontal="center" vertical="center" wrapText="1"/>
    </xf>
    <xf numFmtId="0" fontId="12" fillId="0" borderId="0" xfId="0" applyFont="1" applyAlignment="1" applyProtection="1">
      <alignment horizontal="right"/>
    </xf>
    <xf numFmtId="0" fontId="2" fillId="0" borderId="2" xfId="0" applyFont="1" applyBorder="1" applyAlignment="1">
      <alignment horizontal="right"/>
    </xf>
    <xf numFmtId="0" fontId="2" fillId="0" borderId="0" xfId="0" applyFont="1" applyAlignment="1" applyProtection="1">
      <alignment horizontal="right" vertical="center" wrapText="1"/>
    </xf>
    <xf numFmtId="0" fontId="0" fillId="0" borderId="4" xfId="0" applyBorder="1" applyAlignment="1" applyProtection="1">
      <alignment horizontal="center" wrapText="1"/>
    </xf>
    <xf numFmtId="0" fontId="0" fillId="0" borderId="3" xfId="0" applyBorder="1" applyAlignment="1" applyProtection="1">
      <alignment horizontal="center" wrapText="1"/>
    </xf>
    <xf numFmtId="1" fontId="0" fillId="5" borderId="4" xfId="0" applyNumberFormat="1" applyFill="1" applyBorder="1" applyAlignment="1">
      <alignment horizontal="center" vertical="center"/>
    </xf>
    <xf numFmtId="1" fontId="0" fillId="5" borderId="3" xfId="0" applyNumberForma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11" fillId="0" borderId="0" xfId="0" applyFont="1" applyAlignment="1" applyProtection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 wrapText="1"/>
    </xf>
    <xf numFmtId="2" fontId="0" fillId="7" borderId="1" xfId="0" applyNumberFormat="1" applyFill="1" applyBorder="1" applyAlignment="1">
      <alignment horizontal="center" vertical="center"/>
    </xf>
    <xf numFmtId="170" fontId="0" fillId="0" borderId="0" xfId="0" applyNumberFormat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Alignment="1" applyProtection="1">
      <alignment horizontal="center"/>
    </xf>
    <xf numFmtId="0" fontId="11" fillId="0" borderId="0" xfId="0" applyFont="1" applyAlignment="1" applyProtection="1">
      <alignment horizontal="right"/>
    </xf>
    <xf numFmtId="0" fontId="0" fillId="0" borderId="0" xfId="0" applyAlignment="1" applyProtection="1">
      <alignment horizontal="center"/>
    </xf>
    <xf numFmtId="0" fontId="1" fillId="0" borderId="0" xfId="0" applyFont="1" applyAlignment="1" applyProtection="1">
      <alignment horizontal="center" wrapText="1"/>
    </xf>
    <xf numFmtId="2" fontId="0" fillId="7" borderId="1" xfId="0" applyNumberFormat="1" applyFill="1" applyBorder="1" applyAlignment="1">
      <alignment horizontal="center" vertical="center" wrapText="1"/>
    </xf>
    <xf numFmtId="165" fontId="0" fillId="0" borderId="0" xfId="0" applyNumberForma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left"/>
      <protection hidden="1"/>
    </xf>
    <xf numFmtId="0" fontId="2" fillId="0" borderId="0" xfId="0" applyFont="1" applyFill="1" applyAlignment="1" applyProtection="1">
      <alignment horizontal="center"/>
      <protection hidden="1"/>
    </xf>
    <xf numFmtId="0" fontId="2" fillId="0" borderId="0" xfId="0" applyFont="1" applyFill="1" applyAlignment="1" applyProtection="1">
      <alignment horizontal="right"/>
      <protection hidden="1"/>
    </xf>
    <xf numFmtId="165" fontId="4" fillId="0" borderId="0" xfId="0" applyNumberFormat="1" applyFont="1" applyFill="1" applyAlignment="1" applyProtection="1">
      <alignment horizontal="center"/>
      <protection hidden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Quantity</a:t>
            </a:r>
            <a:r>
              <a:rPr lang="en-US" sz="1800" baseline="0"/>
              <a:t> Vs. Price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80 % Profit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1.1401099012081331E-3"/>
                  <c:y val="-0.1126274639939695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FE0-4745-B244-3103C669CB1F}"/>
                </c:ext>
              </c:extLst>
            </c:dLbl>
            <c:dLbl>
              <c:idx val="1"/>
              <c:layout>
                <c:manualLayout>
                  <c:x val="-2.09017733964125E-17"/>
                  <c:y val="-0.1271600399931914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FE0-4745-B244-3103C669CB1F}"/>
                </c:ext>
              </c:extLst>
            </c:dLbl>
            <c:dLbl>
              <c:idx val="2"/>
              <c:layout>
                <c:manualLayout>
                  <c:x val="0"/>
                  <c:y val="-0.1017280319945531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FE0-4745-B244-3103C669CB1F}"/>
                </c:ext>
              </c:extLst>
            </c:dLbl>
            <c:dLbl>
              <c:idx val="3"/>
              <c:layout>
                <c:manualLayout>
                  <c:x val="-1.1401099012081305E-3"/>
                  <c:y val="-0.1344263279928024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FE0-4745-B244-3103C669CB1F}"/>
                </c:ext>
              </c:extLst>
            </c:dLbl>
            <c:dLbl>
              <c:idx val="4"/>
              <c:layout>
                <c:manualLayout>
                  <c:x val="0"/>
                  <c:y val="-0.1562251919916352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FE0-4745-B244-3103C669CB1F}"/>
                </c:ext>
              </c:extLst>
            </c:dLbl>
            <c:dLbl>
              <c:idx val="5"/>
              <c:layout>
                <c:manualLayout>
                  <c:x val="-1.140109901208214E-3"/>
                  <c:y val="-0.1453257599922187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FE0-4745-B244-3103C669CB1F}"/>
                </c:ext>
              </c:extLst>
            </c:dLbl>
            <c:dLbl>
              <c:idx val="6"/>
              <c:layout>
                <c:manualLayout>
                  <c:x val="-1.140109901208214E-3"/>
                  <c:y val="-0.1562251919916352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FE0-4745-B244-3103C669CB1F}"/>
                </c:ext>
              </c:extLst>
            </c:dLbl>
            <c:dLbl>
              <c:idx val="7"/>
              <c:layout>
                <c:manualLayout>
                  <c:x val="-1.140109901208214E-3"/>
                  <c:y val="-0.1344263279928024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FE0-4745-B244-3103C669CB1F}"/>
                </c:ext>
              </c:extLst>
            </c:dLbl>
            <c:dLbl>
              <c:idx val="8"/>
              <c:layout>
                <c:manualLayout>
                  <c:x val="-9.1208792096650441E-3"/>
                  <c:y val="-0.127160039993191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FE0-4745-B244-3103C669CB1F}"/>
                </c:ext>
              </c:extLst>
            </c:dLbl>
            <c:dLbl>
              <c:idx val="9"/>
              <c:layout>
                <c:manualLayout>
                  <c:x val="-1.1401099012081305E-3"/>
                  <c:y val="-9.08285999951367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FE0-4745-B244-3103C669CB1F}"/>
                </c:ext>
              </c:extLst>
            </c:dLbl>
            <c:dLbl>
              <c:idx val="10"/>
              <c:layout>
                <c:manualLayout>
                  <c:x val="-1.1401099012081473E-2"/>
                  <c:y val="-0.156225191991635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FE0-4745-B244-3103C669CB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Pricing!$T$4:$T$14</c:f>
              <c:numCache>
                <c:formatCode>0</c:formatCode>
                <c:ptCount val="11"/>
                <c:pt idx="0">
                  <c:v>200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cat>
          <c:val>
            <c:numRef>
              <c:f>Pricing!$U$4:$U$14</c:f>
              <c:numCache>
                <c:formatCode>"$"#,##0</c:formatCode>
                <c:ptCount val="11"/>
                <c:pt idx="0">
                  <c:v>253.11808719999999</c:v>
                </c:pt>
                <c:pt idx="1">
                  <c:v>103.3870182</c:v>
                </c:pt>
                <c:pt idx="2">
                  <c:v>138.22570139999999</c:v>
                </c:pt>
                <c:pt idx="3">
                  <c:v>215.37618040000001</c:v>
                </c:pt>
                <c:pt idx="4">
                  <c:v>253.11808719999999</c:v>
                </c:pt>
                <c:pt idx="5">
                  <c:v>324.46211900000003</c:v>
                </c:pt>
                <c:pt idx="6">
                  <c:v>362.20402580000007</c:v>
                </c:pt>
                <c:pt idx="7">
                  <c:v>433.54805759999999</c:v>
                </c:pt>
                <c:pt idx="8">
                  <c:v>471.28996439999992</c:v>
                </c:pt>
                <c:pt idx="9">
                  <c:v>542.63399619999996</c:v>
                </c:pt>
                <c:pt idx="10">
                  <c:v>580.37590300000011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8E-7B4E-9CC5-562DD301B589}"/>
            </c:ext>
          </c:extLst>
        </c:ser>
        <c:ser>
          <c:idx val="1"/>
          <c:order val="1"/>
          <c:tx>
            <c:strRef>
              <c:f>Pricing!$R$1</c:f>
              <c:strCache>
                <c:ptCount val="1"/>
                <c:pt idx="0">
                  <c:v>90%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Pricing!$T$4:$T$14</c:f>
              <c:numCache>
                <c:formatCode>0</c:formatCode>
                <c:ptCount val="11"/>
                <c:pt idx="0">
                  <c:v>200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cat>
          <c:val>
            <c:numRef>
              <c:f>Pricing!$X$4:$X$14</c:f>
              <c:numCache>
                <c:formatCode>"$"#,##0</c:formatCode>
                <c:ptCount val="11"/>
                <c:pt idx="0">
                  <c:v>241.34390260000001</c:v>
                </c:pt>
                <c:pt idx="1">
                  <c:v>105.32250059999998</c:v>
                </c:pt>
                <c:pt idx="2">
                  <c:v>142.09666620000002</c:v>
                </c:pt>
                <c:pt idx="3">
                  <c:v>221.66649820000001</c:v>
                </c:pt>
                <c:pt idx="4">
                  <c:v>261.50517760000002</c:v>
                </c:pt>
                <c:pt idx="5">
                  <c:v>334.94598199999996</c:v>
                </c:pt>
                <c:pt idx="6">
                  <c:v>374.78466139999995</c:v>
                </c:pt>
                <c:pt idx="7">
                  <c:v>448.22546579999999</c:v>
                </c:pt>
                <c:pt idx="8">
                  <c:v>488.06414520000004</c:v>
                </c:pt>
                <c:pt idx="9">
                  <c:v>561.50494959999992</c:v>
                </c:pt>
                <c:pt idx="10">
                  <c:v>601.34362899999996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8E-7B4E-9CC5-562DD301B58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594000720"/>
        <c:axId val="594002400"/>
      </c:barChart>
      <c:catAx>
        <c:axId val="59400072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02400"/>
        <c:crosses val="autoZero"/>
        <c:auto val="1"/>
        <c:lblAlgn val="ctr"/>
        <c:lblOffset val="100"/>
        <c:noMultiLvlLbl val="0"/>
      </c:catAx>
      <c:valAx>
        <c:axId val="594002400"/>
        <c:scaling>
          <c:orientation val="minMax"/>
        </c:scaling>
        <c:delete val="1"/>
        <c:axPos val="l"/>
        <c:numFmt formatCode="&quot;$&quot;#,##0" sourceLinked="1"/>
        <c:majorTickMark val="none"/>
        <c:minorTickMark val="none"/>
        <c:tickLblPos val="nextTo"/>
        <c:crossAx val="594000720"/>
        <c:crosses val="autoZero"/>
        <c:crossBetween val="between"/>
      </c:valAx>
      <c:spPr>
        <a:noFill/>
        <a:ln w="12700">
          <a:solidFill>
            <a:schemeClr val="accent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Quantity</a:t>
            </a:r>
            <a:r>
              <a:rPr lang="en-US" sz="1800" baseline="0"/>
              <a:t> Vs. G.P.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80 % Profit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1.149068263974095E-3"/>
                  <c:y val="-0.1270479515268477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F9B-3442-A4A5-B5B9EC850E51}"/>
                </c:ext>
              </c:extLst>
            </c:dLbl>
            <c:dLbl>
              <c:idx val="1"/>
              <c:layout>
                <c:manualLayout>
                  <c:x val="-2.2981365279482113E-3"/>
                  <c:y val="-0.1560874833044128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F9B-3442-A4A5-B5B9EC850E51}"/>
                </c:ext>
              </c:extLst>
            </c:dLbl>
            <c:dLbl>
              <c:idx val="2"/>
              <c:layout>
                <c:manualLayout>
                  <c:x val="-6.8944095838445706E-3"/>
                  <c:y val="-0.181497073609782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F9B-3442-A4A5-B5B9EC850E51}"/>
                </c:ext>
              </c:extLst>
            </c:dLbl>
            <c:dLbl>
              <c:idx val="3"/>
              <c:layout>
                <c:manualLayout>
                  <c:x val="-2.2981365279482325E-3"/>
                  <c:y val="-0.134307834471239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F9B-3442-A4A5-B5B9EC850E51}"/>
                </c:ext>
              </c:extLst>
            </c:dLbl>
            <c:dLbl>
              <c:idx val="4"/>
              <c:layout>
                <c:manualLayout>
                  <c:x val="-4.5962730558964226E-3"/>
                  <c:y val="-0.170607249193195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F9B-3442-A4A5-B5B9EC850E51}"/>
                </c:ext>
              </c:extLst>
            </c:dLbl>
            <c:dLbl>
              <c:idx val="5"/>
              <c:layout>
                <c:manualLayout>
                  <c:x val="-6.8944095838445706E-3"/>
                  <c:y val="-0.170607249193195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F9B-3442-A4A5-B5B9EC850E51}"/>
                </c:ext>
              </c:extLst>
            </c:dLbl>
            <c:dLbl>
              <c:idx val="6"/>
              <c:layout>
                <c:manualLayout>
                  <c:x val="-1.0341614375766941E-2"/>
                  <c:y val="-0.174237190665391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F9B-3442-A4A5-B5B9EC850E51}"/>
                </c:ext>
              </c:extLst>
            </c:dLbl>
            <c:dLbl>
              <c:idx val="7"/>
              <c:layout>
                <c:manualLayout>
                  <c:x val="-1.6086955695637416E-2"/>
                  <c:y val="-0.1415677174156302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F9B-3442-A4A5-B5B9EC850E51}"/>
                </c:ext>
              </c:extLst>
            </c:dLbl>
            <c:dLbl>
              <c:idx val="8"/>
              <c:layout>
                <c:manualLayout>
                  <c:x val="-6.8944095838446547E-3"/>
                  <c:y val="-0.105268302693673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F9B-3442-A4A5-B5B9EC850E51}"/>
                </c:ext>
              </c:extLst>
            </c:dLbl>
            <c:dLbl>
              <c:idx val="9"/>
              <c:layout>
                <c:manualLayout>
                  <c:x val="-1.1490682639740952E-2"/>
                  <c:y val="-0.1597174247766085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F9B-3442-A4A5-B5B9EC850E51}"/>
                </c:ext>
              </c:extLst>
            </c:dLbl>
            <c:dLbl>
              <c:idx val="10"/>
              <c:layout>
                <c:manualLayout>
                  <c:x val="-1.3788819167689141E-2"/>
                  <c:y val="-0.1633473662488041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F9B-3442-A4A5-B5B9EC850E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Pricing!$T$4:$T$14</c:f>
              <c:numCache>
                <c:formatCode>0</c:formatCode>
                <c:ptCount val="11"/>
                <c:pt idx="0">
                  <c:v>200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cat>
          <c:val>
            <c:numRef>
              <c:f>Pricing!$W$4:$W$14</c:f>
              <c:numCache>
                <c:formatCode>"$"#,##0</c:formatCode>
                <c:ptCount val="11"/>
                <c:pt idx="0">
                  <c:v>140.09446975999998</c:v>
                </c:pt>
                <c:pt idx="1">
                  <c:v>68.30961456</c:v>
                </c:pt>
                <c:pt idx="2">
                  <c:v>81.780561120000002</c:v>
                </c:pt>
                <c:pt idx="3">
                  <c:v>125.50094432000002</c:v>
                </c:pt>
                <c:pt idx="4">
                  <c:v>140.09446975999998</c:v>
                </c:pt>
                <c:pt idx="5">
                  <c:v>181.56969520000001</c:v>
                </c:pt>
                <c:pt idx="6">
                  <c:v>196.16322064000005</c:v>
                </c:pt>
                <c:pt idx="7">
                  <c:v>237.63844607999999</c:v>
                </c:pt>
                <c:pt idx="8">
                  <c:v>252.23197151999997</c:v>
                </c:pt>
                <c:pt idx="9">
                  <c:v>293.70719696000003</c:v>
                </c:pt>
                <c:pt idx="10">
                  <c:v>308.30072240000004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69-4443-892D-E81DFA05DE7C}"/>
            </c:ext>
          </c:extLst>
        </c:ser>
        <c:ser>
          <c:idx val="1"/>
          <c:order val="1"/>
          <c:tx>
            <c:strRef>
              <c:f>Pricing!$R$1</c:f>
              <c:strCache>
                <c:ptCount val="1"/>
                <c:pt idx="0">
                  <c:v>90%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10"/>
              <c:layout>
                <c:manualLayout>
                  <c:x val="-1.1490682639742637E-3"/>
                  <c:y val="-5.08191806107390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F9B-3442-A4A5-B5B9EC850E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Pricing!$T$4:$T$14</c:f>
              <c:numCache>
                <c:formatCode>0</c:formatCode>
                <c:ptCount val="11"/>
                <c:pt idx="0">
                  <c:v>200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cat>
          <c:val>
            <c:numRef>
              <c:f>Pricing!$Z$4:$Z$14</c:f>
              <c:numCache>
                <c:formatCode>"$"#,##0</c:formatCode>
                <c:ptCount val="11"/>
                <c:pt idx="0">
                  <c:v>130.67512207999999</c:v>
                </c:pt>
                <c:pt idx="1">
                  <c:v>68.30961456</c:v>
                </c:pt>
                <c:pt idx="2">
                  <c:v>84.877332960000004</c:v>
                </c:pt>
                <c:pt idx="3">
                  <c:v>130.53319856000002</c:v>
                </c:pt>
                <c:pt idx="4">
                  <c:v>146.80414208000002</c:v>
                </c:pt>
                <c:pt idx="5">
                  <c:v>189.95678559999999</c:v>
                </c:pt>
                <c:pt idx="6">
                  <c:v>206.22772911999996</c:v>
                </c:pt>
                <c:pt idx="7">
                  <c:v>249.38037264000002</c:v>
                </c:pt>
                <c:pt idx="8">
                  <c:v>265.65131616000008</c:v>
                </c:pt>
                <c:pt idx="9">
                  <c:v>308.80395967999993</c:v>
                </c:pt>
                <c:pt idx="10">
                  <c:v>325.07490319999999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69-4443-892D-E81DFA05DE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594000720"/>
        <c:axId val="594002400"/>
      </c:barChart>
      <c:catAx>
        <c:axId val="59400072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02400"/>
        <c:crosses val="autoZero"/>
        <c:auto val="1"/>
        <c:lblAlgn val="ctr"/>
        <c:lblOffset val="100"/>
        <c:noMultiLvlLbl val="0"/>
      </c:catAx>
      <c:valAx>
        <c:axId val="594002400"/>
        <c:scaling>
          <c:orientation val="minMax"/>
        </c:scaling>
        <c:delete val="1"/>
        <c:axPos val="l"/>
        <c:numFmt formatCode="&quot;$&quot;#,##0" sourceLinked="1"/>
        <c:majorTickMark val="none"/>
        <c:minorTickMark val="none"/>
        <c:tickLblPos val="nextTo"/>
        <c:crossAx val="594000720"/>
        <c:crosses val="autoZero"/>
        <c:crossBetween val="between"/>
      </c:valAx>
      <c:spPr>
        <a:noFill/>
        <a:ln w="12700">
          <a:solidFill>
            <a:schemeClr val="accent1"/>
          </a:solidFill>
        </a:ln>
        <a:effectLst/>
      </c:spPr>
    </c:plotArea>
    <c:legend>
      <c:legendPos val="t"/>
      <c:layout>
        <c:manualLayout>
          <c:xMode val="edge"/>
          <c:yMode val="edge"/>
          <c:x val="0.41129984683010518"/>
          <c:y val="0.125341843209439"/>
          <c:w val="0.23944999259439076"/>
          <c:h val="0.100749711319697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16128</xdr:colOff>
      <xdr:row>18</xdr:row>
      <xdr:rowOff>63500</xdr:rowOff>
    </xdr:from>
    <xdr:to>
      <xdr:col>13</xdr:col>
      <xdr:colOff>446216</xdr:colOff>
      <xdr:row>37</xdr:row>
      <xdr:rowOff>188783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740373-AC5C-FC45-AA9C-030135367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429053</xdr:colOff>
      <xdr:row>18</xdr:row>
      <xdr:rowOff>71050</xdr:rowOff>
    </xdr:from>
    <xdr:to>
      <xdr:col>26</xdr:col>
      <xdr:colOff>772297</xdr:colOff>
      <xdr:row>37</xdr:row>
      <xdr:rowOff>188782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B2155C-198D-1445-838B-70CDA403D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AF6DD-F13A-1941-BD20-356347339A2A}">
  <dimension ref="A1:Z39"/>
  <sheetViews>
    <sheetView zoomScale="74" zoomScaleNormal="74" workbookViewId="0">
      <selection activeCell="C2" sqref="C2"/>
    </sheetView>
  </sheetViews>
  <sheetFormatPr defaultColWidth="10.875" defaultRowHeight="15.75" x14ac:dyDescent="0.25"/>
  <cols>
    <col min="1" max="1" width="10.875" style="3"/>
    <col min="2" max="2" width="20" style="3" customWidth="1"/>
    <col min="3" max="3" width="10.875" style="3"/>
    <col min="4" max="4" width="11.875" style="57" bestFit="1" customWidth="1"/>
    <col min="5" max="9" width="10.875" style="3"/>
    <col min="10" max="10" width="11.125" style="3" bestFit="1" customWidth="1"/>
    <col min="11" max="16384" width="10.875" style="3"/>
  </cols>
  <sheetData>
    <row r="1" spans="1:26" s="58" customFormat="1" ht="36" customHeight="1" x14ac:dyDescent="0.35">
      <c r="A1" s="74"/>
      <c r="B1" s="1" t="s">
        <v>37</v>
      </c>
      <c r="C1" s="136" t="str">
        <f>B6</f>
        <v>Tramadol</v>
      </c>
      <c r="D1" s="136"/>
      <c r="F1" s="19" t="s">
        <v>35</v>
      </c>
      <c r="G1" s="67">
        <v>60</v>
      </c>
      <c r="H1" s="60" t="s">
        <v>36</v>
      </c>
      <c r="K1" s="135" t="s">
        <v>34</v>
      </c>
      <c r="L1" s="135"/>
      <c r="M1" s="10">
        <v>0.8</v>
      </c>
      <c r="P1" s="133" t="s">
        <v>24</v>
      </c>
      <c r="Q1" s="133"/>
      <c r="R1" s="68">
        <v>0.9</v>
      </c>
      <c r="T1" s="33" t="str">
        <f>B1</f>
        <v>CAPSULE:</v>
      </c>
      <c r="U1" s="137" t="str">
        <f>C1</f>
        <v>Tramadol</v>
      </c>
      <c r="V1" s="137"/>
      <c r="W1" s="137"/>
      <c r="X1" s="55">
        <f>G1</f>
        <v>60</v>
      </c>
      <c r="Y1" s="54" t="str">
        <f>H1</f>
        <v>mg</v>
      </c>
    </row>
    <row r="2" spans="1:26" ht="38.1" customHeight="1" x14ac:dyDescent="0.35">
      <c r="B2" s="1" t="s">
        <v>32</v>
      </c>
      <c r="C2" s="66">
        <v>200</v>
      </c>
      <c r="D2" s="56" t="s">
        <v>25</v>
      </c>
      <c r="E2" s="138" t="s">
        <v>27</v>
      </c>
      <c r="F2" s="2"/>
      <c r="G2" s="2"/>
      <c r="H2" s="2"/>
      <c r="K2" s="58" t="s">
        <v>18</v>
      </c>
      <c r="L2" s="58" t="s">
        <v>19</v>
      </c>
      <c r="P2" s="58" t="s">
        <v>18</v>
      </c>
      <c r="Q2" s="58" t="s">
        <v>19</v>
      </c>
      <c r="T2" s="41" t="s">
        <v>23</v>
      </c>
      <c r="U2" s="42">
        <v>0.8</v>
      </c>
      <c r="V2" s="43" t="s">
        <v>30</v>
      </c>
      <c r="W2" s="41" t="s">
        <v>31</v>
      </c>
      <c r="X2" s="44">
        <f>R1</f>
        <v>0.9</v>
      </c>
      <c r="Y2" s="43" t="s">
        <v>30</v>
      </c>
      <c r="Z2" s="41" t="s">
        <v>31</v>
      </c>
    </row>
    <row r="3" spans="1:26" ht="21" x14ac:dyDescent="0.35">
      <c r="B3" s="1" t="s">
        <v>7</v>
      </c>
      <c r="C3" s="37">
        <v>0.2</v>
      </c>
      <c r="E3" s="138"/>
      <c r="J3" s="3" t="s">
        <v>5</v>
      </c>
      <c r="M3" s="57">
        <f>G15</f>
        <v>62.399999999999991</v>
      </c>
      <c r="O3" s="3" t="s">
        <v>5</v>
      </c>
      <c r="R3" s="57">
        <f>M3</f>
        <v>62.399999999999991</v>
      </c>
      <c r="T3" s="45" t="str">
        <f>B2</f>
        <v>Quantity</v>
      </c>
      <c r="U3" s="46"/>
      <c r="V3" s="47"/>
      <c r="W3" s="47"/>
      <c r="X3" s="48"/>
      <c r="Y3" s="47"/>
      <c r="Z3" s="47"/>
    </row>
    <row r="4" spans="1:26" ht="21" customHeight="1" x14ac:dyDescent="0.35">
      <c r="E4" s="138"/>
      <c r="J4" s="3" t="s">
        <v>17</v>
      </c>
      <c r="M4" s="57">
        <f>M3*0.8</f>
        <v>49.919999999999995</v>
      </c>
      <c r="O4" s="3" t="s">
        <v>17</v>
      </c>
      <c r="R4" s="57">
        <f>R1*R3</f>
        <v>56.16</v>
      </c>
      <c r="T4" s="45">
        <f>C2</f>
        <v>200</v>
      </c>
      <c r="U4" s="50">
        <f>M13</f>
        <v>253.11808719999999</v>
      </c>
      <c r="V4" s="51">
        <f>M14</f>
        <v>202.49446975999999</v>
      </c>
      <c r="W4" s="51">
        <f>M17</f>
        <v>140.09446975999998</v>
      </c>
      <c r="X4" s="52">
        <f>R13</f>
        <v>241.34390260000001</v>
      </c>
      <c r="Y4" s="53">
        <f>R14</f>
        <v>193.07512208</v>
      </c>
      <c r="Z4" s="53">
        <f>R17</f>
        <v>130.67512207999999</v>
      </c>
    </row>
    <row r="5" spans="1:26" s="58" customFormat="1" ht="21" x14ac:dyDescent="0.35">
      <c r="A5" s="74"/>
      <c r="B5" s="58" t="s">
        <v>104</v>
      </c>
      <c r="C5" s="58" t="s">
        <v>0</v>
      </c>
      <c r="D5" s="4" t="s">
        <v>1</v>
      </c>
      <c r="E5" s="138"/>
      <c r="F5" s="58" t="s">
        <v>3</v>
      </c>
      <c r="G5" s="135" t="s">
        <v>4</v>
      </c>
      <c r="H5" s="135"/>
      <c r="J5" s="58" t="s">
        <v>16</v>
      </c>
      <c r="K5" s="5">
        <f>ROUNDUP((C2/100),0)</f>
        <v>2</v>
      </c>
      <c r="L5" s="11">
        <v>25</v>
      </c>
      <c r="M5" s="57">
        <f>K5*L5</f>
        <v>50</v>
      </c>
      <c r="N5" s="3"/>
      <c r="O5" s="58" t="s">
        <v>16</v>
      </c>
      <c r="P5" s="5">
        <f>K5</f>
        <v>2</v>
      </c>
      <c r="Q5" s="11">
        <f>L5</f>
        <v>25</v>
      </c>
      <c r="R5" s="57">
        <f>P5*Q5</f>
        <v>50</v>
      </c>
      <c r="T5" s="45">
        <v>50</v>
      </c>
      <c r="U5" s="46">
        <f>'50'!D28</f>
        <v>103.3870182</v>
      </c>
      <c r="V5" s="49">
        <f>'50'!D29</f>
        <v>82.709614560000006</v>
      </c>
      <c r="W5" s="49">
        <f>'50'!D32</f>
        <v>68.30961456</v>
      </c>
      <c r="X5" s="48">
        <f>'50'!I28</f>
        <v>105.32250059999998</v>
      </c>
      <c r="Y5" s="47">
        <f>'50'!I29</f>
        <v>84.258000479999993</v>
      </c>
      <c r="Z5" s="47">
        <f>'50'!D32</f>
        <v>68.30961456</v>
      </c>
    </row>
    <row r="6" spans="1:26" ht="21" x14ac:dyDescent="0.35">
      <c r="A6" s="3" t="s">
        <v>172</v>
      </c>
      <c r="B6" s="100" t="s">
        <v>26</v>
      </c>
      <c r="C6" s="5">
        <f>IFERROR(VLOOKUP(B6,Ingredients!A2:B85,2,0),1)</f>
        <v>100</v>
      </c>
      <c r="D6" s="59">
        <f>IFERROR(VLOOKUP(B6,Ingredients!A2:C85,3,0),0)</f>
        <v>480</v>
      </c>
      <c r="E6" s="70">
        <f>(G1/1000)</f>
        <v>0.06</v>
      </c>
      <c r="F6" s="6">
        <f>C2*E6</f>
        <v>12</v>
      </c>
      <c r="G6" s="134">
        <f t="shared" ref="G6:G14" si="0">(D6/C6)*F6</f>
        <v>57.599999999999994</v>
      </c>
      <c r="H6" s="134"/>
      <c r="J6" s="3" t="s">
        <v>8</v>
      </c>
      <c r="M6" s="57">
        <v>1</v>
      </c>
      <c r="O6" s="3" t="s">
        <v>8</v>
      </c>
      <c r="R6" s="57">
        <f>M6</f>
        <v>1</v>
      </c>
      <c r="T6" s="45">
        <v>100</v>
      </c>
      <c r="U6" s="50">
        <f>'100'!D28</f>
        <v>138.22570139999999</v>
      </c>
      <c r="V6" s="51">
        <f>'100'!D29</f>
        <v>110.58056112</v>
      </c>
      <c r="W6" s="51">
        <f>'100'!D32</f>
        <v>81.780561120000002</v>
      </c>
      <c r="X6" s="52">
        <f>'100'!I28</f>
        <v>142.09666620000002</v>
      </c>
      <c r="Y6" s="53">
        <f>'100'!I29</f>
        <v>113.67733296</v>
      </c>
      <c r="Z6" s="53">
        <f>'100'!I32</f>
        <v>84.877332960000004</v>
      </c>
    </row>
    <row r="7" spans="1:26" ht="21" x14ac:dyDescent="0.35">
      <c r="A7" s="3" t="s">
        <v>173</v>
      </c>
      <c r="B7" s="69"/>
      <c r="C7" s="5">
        <f>IFERROR(VLOOKUP(B7,Ingredients!F7:H10,2,0),1)</f>
        <v>1</v>
      </c>
      <c r="D7" s="59">
        <f>IFERROR(VLOOKUP(B7,Ingredients!A2:C85,3,0),0)</f>
        <v>0</v>
      </c>
      <c r="E7" s="71">
        <v>1.4999999999999999E-4</v>
      </c>
      <c r="F7" s="6">
        <f>C2*E7</f>
        <v>0.03</v>
      </c>
      <c r="G7" s="134">
        <f t="shared" si="0"/>
        <v>0</v>
      </c>
      <c r="H7" s="134"/>
      <c r="J7" s="3" t="s">
        <v>9</v>
      </c>
      <c r="M7" s="57">
        <v>25</v>
      </c>
      <c r="O7" s="3" t="s">
        <v>9</v>
      </c>
      <c r="R7" s="57">
        <v>10</v>
      </c>
      <c r="T7" s="45">
        <v>150</v>
      </c>
      <c r="U7" s="46">
        <f>'150'!D28</f>
        <v>215.37618040000001</v>
      </c>
      <c r="V7" s="49">
        <f>'150'!D29</f>
        <v>172.30094432000001</v>
      </c>
      <c r="W7" s="49">
        <f>'150'!D32</f>
        <v>125.50094432000002</v>
      </c>
      <c r="X7" s="48">
        <f>'150'!I28</f>
        <v>221.66649820000001</v>
      </c>
      <c r="Y7" s="47">
        <f>'150'!I29</f>
        <v>177.33319856</v>
      </c>
      <c r="Z7" s="47">
        <f>'150'!I32</f>
        <v>130.53319856000002</v>
      </c>
    </row>
    <row r="8" spans="1:26" ht="21" x14ac:dyDescent="0.35">
      <c r="A8" s="3" t="s">
        <v>174</v>
      </c>
      <c r="B8" s="69"/>
      <c r="C8" s="5">
        <f>IFERROR(VLOOKUP(B8,Ingredients!A2:B82,2,0),1)</f>
        <v>1</v>
      </c>
      <c r="D8" s="59">
        <f>IFERROR(VLOOKUP(B8,Ingredients!A2:C82,3,0),0)</f>
        <v>0</v>
      </c>
      <c r="E8" s="71">
        <v>1.4999999999999999E-4</v>
      </c>
      <c r="F8" s="6">
        <f>C2*E8</f>
        <v>0.03</v>
      </c>
      <c r="G8" s="134">
        <f t="shared" si="0"/>
        <v>0</v>
      </c>
      <c r="H8" s="134"/>
      <c r="J8" s="14" t="s">
        <v>28</v>
      </c>
      <c r="L8" s="57"/>
      <c r="M8" s="57">
        <f>SUM(M3:M7)</f>
        <v>188.32</v>
      </c>
      <c r="O8" s="14" t="s">
        <v>28</v>
      </c>
      <c r="Q8" s="57"/>
      <c r="R8" s="57">
        <f>SUM(R3:R7)</f>
        <v>179.56</v>
      </c>
      <c r="T8" s="45">
        <v>200</v>
      </c>
      <c r="U8" s="50">
        <f>'200'!D28</f>
        <v>253.11808719999999</v>
      </c>
      <c r="V8" s="51">
        <f>'200'!D29</f>
        <v>202.49446975999999</v>
      </c>
      <c r="W8" s="51">
        <f>'200'!D32</f>
        <v>140.09446975999998</v>
      </c>
      <c r="X8" s="52">
        <f>'200'!I28</f>
        <v>261.50517760000002</v>
      </c>
      <c r="Y8" s="53">
        <f>'200'!I29</f>
        <v>209.20414208</v>
      </c>
      <c r="Z8" s="53">
        <f>'200'!I32</f>
        <v>146.80414208000002</v>
      </c>
    </row>
    <row r="9" spans="1:26" ht="21" x14ac:dyDescent="0.35">
      <c r="A9" s="3" t="s">
        <v>161</v>
      </c>
      <c r="B9" s="69"/>
      <c r="C9" s="5">
        <f>IFERROR(VLOOKUP(B9,Ingredients!A2:B82,2,0),1)</f>
        <v>1</v>
      </c>
      <c r="D9" s="59">
        <f>IFERROR(VLOOKUP(B9,Ingredients!A2:C82,3,0),0)</f>
        <v>0</v>
      </c>
      <c r="E9" s="72">
        <v>0.22500000000000001</v>
      </c>
      <c r="F9" s="6">
        <f>C2*E9</f>
        <v>45</v>
      </c>
      <c r="G9" s="134">
        <f t="shared" si="0"/>
        <v>0</v>
      </c>
      <c r="H9" s="134"/>
      <c r="J9" s="3" t="s">
        <v>6</v>
      </c>
      <c r="L9" s="57"/>
      <c r="M9" s="57">
        <f>M8*0.075268</f>
        <v>14.174469759999999</v>
      </c>
      <c r="O9" s="3" t="s">
        <v>6</v>
      </c>
      <c r="Q9" s="57"/>
      <c r="R9" s="57">
        <f>R8*0.075268</f>
        <v>13.515122080000001</v>
      </c>
      <c r="T9" s="45">
        <v>250</v>
      </c>
      <c r="U9" s="46">
        <f>'250'!D28</f>
        <v>324.46211900000003</v>
      </c>
      <c r="V9" s="49">
        <f>'250'!D29</f>
        <v>259.56969520000001</v>
      </c>
      <c r="W9" s="49">
        <f>'250'!D32</f>
        <v>181.56969520000001</v>
      </c>
      <c r="X9" s="48">
        <f>'250'!I28</f>
        <v>334.94598199999996</v>
      </c>
      <c r="Y9" s="47">
        <f>'250'!I29</f>
        <v>267.95678559999999</v>
      </c>
      <c r="Z9" s="47">
        <f>'250'!I32</f>
        <v>189.95678559999999</v>
      </c>
    </row>
    <row r="10" spans="1:26" ht="21" x14ac:dyDescent="0.35">
      <c r="A10" s="3" t="s">
        <v>160</v>
      </c>
      <c r="B10" s="69"/>
      <c r="C10" s="5">
        <f>IFERROR(VLOOKUP(B10,Ingredients!A2:B82,2,0),1)</f>
        <v>1</v>
      </c>
      <c r="D10" s="59">
        <f>IFERROR(VLOOKUP(B10,Ingredients!A2:C82,3,0),0)</f>
        <v>0</v>
      </c>
      <c r="E10" s="72">
        <v>4.3999999999999997E-2</v>
      </c>
      <c r="F10" s="6">
        <f>C2*E10</f>
        <v>8.7999999999999989</v>
      </c>
      <c r="G10" s="134">
        <f t="shared" si="0"/>
        <v>0</v>
      </c>
      <c r="H10" s="134"/>
      <c r="J10" s="3" t="s">
        <v>29</v>
      </c>
      <c r="L10" s="57"/>
      <c r="M10" s="57">
        <f>M8+M9</f>
        <v>202.49446975999999</v>
      </c>
      <c r="O10" s="3" t="s">
        <v>29</v>
      </c>
      <c r="Q10" s="57"/>
      <c r="R10" s="57">
        <f>R8+R9</f>
        <v>193.07512208</v>
      </c>
      <c r="T10" s="45">
        <v>300</v>
      </c>
      <c r="U10" s="50">
        <f>'300'!D28</f>
        <v>362.20402580000007</v>
      </c>
      <c r="V10" s="51">
        <f>'300'!D29</f>
        <v>289.76322064000004</v>
      </c>
      <c r="W10" s="51">
        <f>'300'!D32</f>
        <v>196.16322064000005</v>
      </c>
      <c r="X10" s="52">
        <f>'300'!I28</f>
        <v>374.78466139999995</v>
      </c>
      <c r="Y10" s="53">
        <f>'300'!I29</f>
        <v>299.82772911999996</v>
      </c>
      <c r="Z10" s="53">
        <f>'300'!I32</f>
        <v>206.22772911999996</v>
      </c>
    </row>
    <row r="11" spans="1:26" ht="21" x14ac:dyDescent="0.35">
      <c r="A11" s="3" t="s">
        <v>175</v>
      </c>
      <c r="B11" s="69" t="s">
        <v>171</v>
      </c>
      <c r="C11" s="5">
        <f>IFERROR(VLOOKUP(B11,Ingredients!A2:B82,2,0),1)</f>
        <v>1000</v>
      </c>
      <c r="D11" s="59">
        <f>IFERROR(VLOOKUP(B11,Ingredients!A2:C82,3,0),0)</f>
        <v>24</v>
      </c>
      <c r="E11" s="72">
        <v>1</v>
      </c>
      <c r="F11" s="6">
        <f>C2*E11</f>
        <v>200</v>
      </c>
      <c r="G11" s="134">
        <f t="shared" si="0"/>
        <v>4.8</v>
      </c>
      <c r="H11" s="134"/>
      <c r="J11" s="3" t="s">
        <v>7</v>
      </c>
      <c r="L11" s="57"/>
      <c r="M11" s="57">
        <f>(M10*C3)/(1+(-1*C3))</f>
        <v>50.623617440000004</v>
      </c>
      <c r="O11" s="3" t="s">
        <v>7</v>
      </c>
      <c r="Q11" s="57"/>
      <c r="R11" s="57">
        <f>(R10*C3)/(1+(-1*C3))</f>
        <v>48.26878052</v>
      </c>
      <c r="T11" s="45">
        <v>350</v>
      </c>
      <c r="U11" s="46">
        <f>'350'!D28</f>
        <v>433.54805759999999</v>
      </c>
      <c r="V11" s="49">
        <f>'350'!D29</f>
        <v>346.83844607999998</v>
      </c>
      <c r="W11" s="49">
        <f>'350'!D32</f>
        <v>237.63844607999999</v>
      </c>
      <c r="X11" s="48">
        <f>'350'!I28</f>
        <v>448.22546579999999</v>
      </c>
      <c r="Y11" s="47">
        <f>'350'!I29</f>
        <v>358.58037264000001</v>
      </c>
      <c r="Z11" s="47">
        <f>'350'!I32</f>
        <v>249.38037264000002</v>
      </c>
    </row>
    <row r="12" spans="1:26" ht="21" x14ac:dyDescent="0.35">
      <c r="B12" s="69"/>
      <c r="C12" s="5">
        <f>IFERROR(VLOOKUP(B12,Ingredients!A2:B82,2,0),1)</f>
        <v>1</v>
      </c>
      <c r="D12" s="59">
        <f>IFERROR(VLOOKUP(B12,Ingredients!A2:C82,3,0),0)</f>
        <v>0</v>
      </c>
      <c r="E12" s="72"/>
      <c r="F12" s="6">
        <f>C2*E12</f>
        <v>0</v>
      </c>
      <c r="G12" s="134">
        <f t="shared" si="0"/>
        <v>0</v>
      </c>
      <c r="H12" s="134"/>
      <c r="L12" s="57"/>
      <c r="M12" s="57"/>
      <c r="Q12" s="57"/>
      <c r="R12" s="57"/>
      <c r="T12" s="45">
        <v>400</v>
      </c>
      <c r="U12" s="50">
        <f>'400'!D28</f>
        <v>471.28996439999992</v>
      </c>
      <c r="V12" s="51">
        <f>'400'!D29</f>
        <v>377.03197151999996</v>
      </c>
      <c r="W12" s="51">
        <f>'400'!D32</f>
        <v>252.23197151999997</v>
      </c>
      <c r="X12" s="52">
        <f>'400'!I28</f>
        <v>488.06414520000004</v>
      </c>
      <c r="Y12" s="53">
        <f>'400'!I29</f>
        <v>390.45131616000003</v>
      </c>
      <c r="Z12" s="53">
        <f>'400'!I32</f>
        <v>265.65131616000008</v>
      </c>
    </row>
    <row r="13" spans="1:26" s="58" customFormat="1" ht="21" x14ac:dyDescent="0.35">
      <c r="A13" s="74"/>
      <c r="B13" s="69"/>
      <c r="C13" s="5">
        <f>IFERROR(VLOOKUP(B13,Ingredients!A2:B82,2,0),1)</f>
        <v>1</v>
      </c>
      <c r="D13" s="59">
        <f>IFERROR(VLOOKUP(B13,Ingredients!A2:C82,3,0),0)</f>
        <v>0</v>
      </c>
      <c r="E13" s="72"/>
      <c r="F13" s="6">
        <f>C2*E13</f>
        <v>0</v>
      </c>
      <c r="G13" s="134">
        <f t="shared" si="0"/>
        <v>0</v>
      </c>
      <c r="H13" s="134"/>
      <c r="J13" s="15" t="s">
        <v>10</v>
      </c>
      <c r="K13" s="15"/>
      <c r="L13" s="16"/>
      <c r="M13" s="35">
        <f>M10+M11</f>
        <v>253.11808719999999</v>
      </c>
      <c r="N13" s="15"/>
      <c r="O13" s="15" t="s">
        <v>10</v>
      </c>
      <c r="P13" s="15"/>
      <c r="Q13" s="16"/>
      <c r="R13" s="16">
        <f>R10+R11</f>
        <v>241.34390260000001</v>
      </c>
      <c r="T13" s="45">
        <v>450</v>
      </c>
      <c r="U13" s="46">
        <f>'450'!D28</f>
        <v>542.63399619999996</v>
      </c>
      <c r="V13" s="49">
        <f>'450'!D29</f>
        <v>434.10719696000001</v>
      </c>
      <c r="W13" s="49">
        <f>'450'!D32</f>
        <v>293.70719696000003</v>
      </c>
      <c r="X13" s="48">
        <f>'450'!I28</f>
        <v>561.50494959999992</v>
      </c>
      <c r="Y13" s="47">
        <f>'450'!I29</f>
        <v>449.20395967999997</v>
      </c>
      <c r="Z13" s="47">
        <f>'450'!I32</f>
        <v>308.80395967999993</v>
      </c>
    </row>
    <row r="14" spans="1:26" ht="21" x14ac:dyDescent="0.35">
      <c r="B14" s="69"/>
      <c r="C14" s="5">
        <f>IFERROR(VLOOKUP(B14,Ingredients!A2:B82,2,0),1)</f>
        <v>1</v>
      </c>
      <c r="D14" s="59">
        <f>IFERROR(VLOOKUP(B14,Ingredients!A2:C82,3,0),0)</f>
        <v>0</v>
      </c>
      <c r="E14" s="72"/>
      <c r="F14" s="6">
        <f>C2*E14</f>
        <v>0</v>
      </c>
      <c r="G14" s="134">
        <f t="shared" si="0"/>
        <v>0</v>
      </c>
      <c r="H14" s="134"/>
      <c r="J14" s="33" t="s">
        <v>29</v>
      </c>
      <c r="K14" s="33"/>
      <c r="L14" s="8"/>
      <c r="M14" s="36">
        <f>M10</f>
        <v>202.49446975999999</v>
      </c>
      <c r="N14" s="33"/>
      <c r="O14" s="33" t="s">
        <v>29</v>
      </c>
      <c r="P14" s="33"/>
      <c r="Q14" s="8"/>
      <c r="R14" s="8">
        <f>R10</f>
        <v>193.07512208</v>
      </c>
      <c r="T14" s="45">
        <v>500</v>
      </c>
      <c r="U14" s="50">
        <f>'500'!D28</f>
        <v>580.37590300000011</v>
      </c>
      <c r="V14" s="51">
        <f>'500'!D29</f>
        <v>464.30072240000004</v>
      </c>
      <c r="W14" s="51">
        <f>'500'!D32</f>
        <v>308.30072240000004</v>
      </c>
      <c r="X14" s="52">
        <f>'500'!I28</f>
        <v>601.34362899999996</v>
      </c>
      <c r="Y14" s="53">
        <f>'500'!I29</f>
        <v>481.07490319999999</v>
      </c>
      <c r="Z14" s="53">
        <f>'500'!I32</f>
        <v>325.07490319999999</v>
      </c>
    </row>
    <row r="15" spans="1:26" ht="21" x14ac:dyDescent="0.35">
      <c r="C15" s="58"/>
      <c r="E15" s="33" t="s">
        <v>13</v>
      </c>
      <c r="F15" s="9"/>
      <c r="G15" s="132">
        <f>SUM(G6:G14)</f>
        <v>62.399999999999991</v>
      </c>
      <c r="H15" s="132"/>
      <c r="L15" s="57"/>
      <c r="M15" s="57"/>
      <c r="Q15" s="57"/>
      <c r="R15" s="57"/>
    </row>
    <row r="16" spans="1:26" x14ac:dyDescent="0.25">
      <c r="J16" s="58" t="s">
        <v>11</v>
      </c>
      <c r="K16" s="58"/>
      <c r="L16" s="4"/>
      <c r="M16" s="4">
        <f>SUM(-1*M3+-1*M6+-1*M7+M8)</f>
        <v>99.92</v>
      </c>
      <c r="N16" s="58"/>
      <c r="O16" s="58" t="s">
        <v>11</v>
      </c>
      <c r="P16" s="58"/>
      <c r="Q16" s="4"/>
      <c r="R16" s="4">
        <f>SUM(-1*R3+-1*R6+-1*R7+R8+-1*R5)</f>
        <v>56.160000000000011</v>
      </c>
    </row>
    <row r="17" spans="1:18" x14ac:dyDescent="0.25">
      <c r="J17" s="58" t="s">
        <v>33</v>
      </c>
      <c r="M17" s="57">
        <f>M14+(-1*G15)</f>
        <v>140.09446975999998</v>
      </c>
      <c r="O17" s="58" t="s">
        <v>33</v>
      </c>
      <c r="R17" s="57">
        <f>R14+(-1*G15)</f>
        <v>130.67512207999999</v>
      </c>
    </row>
    <row r="18" spans="1:18" x14ac:dyDescent="0.25">
      <c r="J18" s="58" t="s">
        <v>12</v>
      </c>
      <c r="K18" s="58"/>
      <c r="L18" s="17"/>
      <c r="M18" s="17">
        <f>(M16/M3)*1</f>
        <v>1.6012820512820516</v>
      </c>
      <c r="N18" s="58"/>
      <c r="O18" s="58" t="s">
        <v>12</v>
      </c>
      <c r="P18" s="58"/>
      <c r="Q18" s="17"/>
      <c r="R18" s="17">
        <f>(R16/R3)*1</f>
        <v>0.90000000000000024</v>
      </c>
    </row>
    <row r="19" spans="1:18" ht="23.1" customHeight="1" x14ac:dyDescent="0.25"/>
    <row r="20" spans="1:18" ht="18" customHeight="1" x14ac:dyDescent="0.25"/>
    <row r="26" spans="1:18" s="58" customFormat="1" x14ac:dyDescent="0.25">
      <c r="A26" s="74"/>
    </row>
    <row r="28" spans="1:18" s="15" customFormat="1" ht="32.1" customHeight="1" x14ac:dyDescent="0.25"/>
    <row r="29" spans="1:18" s="33" customFormat="1" ht="18.75" x14ac:dyDescent="0.3"/>
    <row r="30" spans="1:18" s="58" customFormat="1" x14ac:dyDescent="0.25">
      <c r="A30" s="74"/>
    </row>
    <row r="39" spans="2:10" x14ac:dyDescent="0.25">
      <c r="B39" s="12"/>
      <c r="J39" s="18"/>
    </row>
  </sheetData>
  <mergeCells count="16">
    <mergeCell ref="C1:D1"/>
    <mergeCell ref="U1:W1"/>
    <mergeCell ref="E2:E5"/>
    <mergeCell ref="K1:L1"/>
    <mergeCell ref="G14:H14"/>
    <mergeCell ref="G15:H15"/>
    <mergeCell ref="P1:Q1"/>
    <mergeCell ref="G8:H8"/>
    <mergeCell ref="G9:H9"/>
    <mergeCell ref="G10:H10"/>
    <mergeCell ref="G11:H11"/>
    <mergeCell ref="G12:H12"/>
    <mergeCell ref="G5:H5"/>
    <mergeCell ref="G6:H6"/>
    <mergeCell ref="G7:H7"/>
    <mergeCell ref="G13:H13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9C881FB-AF54-6B4E-BC7B-30C7B8B3C128}">
          <x14:formula1>
            <xm:f>Ingredients!$A$2:$A$82</xm:f>
          </x14:formula1>
          <xm:sqref>B7:B14</xm:sqref>
        </x14:dataValidation>
        <x14:dataValidation type="list" allowBlank="1" showInputMessage="1" showErrorMessage="1" xr:uid="{7C36F9CC-B35E-6A43-9AA6-3AB79AE32B5A}">
          <x14:formula1>
            <xm:f>Ingredients!$A$2:$A$85</xm:f>
          </x14:formula1>
          <xm:sqref>B6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0C4B3-6F06-D646-9022-E2D24FE9F9EF}">
  <dimension ref="A1:I34"/>
  <sheetViews>
    <sheetView workbookViewId="0">
      <selection activeCell="G26" sqref="G26"/>
    </sheetView>
  </sheetViews>
  <sheetFormatPr defaultColWidth="10.875" defaultRowHeight="15.75" x14ac:dyDescent="0.25"/>
  <cols>
    <col min="1" max="1" width="17" style="63" customWidth="1"/>
    <col min="2" max="16384" width="10.875" style="63"/>
  </cols>
  <sheetData>
    <row r="1" spans="1:9" ht="21" x14ac:dyDescent="0.35">
      <c r="A1" s="1" t="s">
        <v>22</v>
      </c>
      <c r="B1" s="165" t="str">
        <f>Pricing!C1</f>
        <v>Tramadol</v>
      </c>
      <c r="C1" s="165"/>
      <c r="D1" s="165"/>
      <c r="E1" s="165"/>
      <c r="F1" s="165"/>
      <c r="G1" s="165"/>
      <c r="H1" s="165"/>
      <c r="I1" s="165"/>
    </row>
    <row r="2" spans="1:9" ht="21" x14ac:dyDescent="0.35">
      <c r="A2" s="1" t="s">
        <v>15</v>
      </c>
      <c r="B2" s="32">
        <v>300</v>
      </c>
      <c r="C2" s="62" t="s">
        <v>25</v>
      </c>
      <c r="D2" s="20"/>
      <c r="E2" s="20"/>
      <c r="F2" s="20"/>
      <c r="G2" s="20"/>
      <c r="H2" s="20"/>
      <c r="I2" s="20"/>
    </row>
    <row r="3" spans="1:9" ht="21" x14ac:dyDescent="0.35">
      <c r="A3" s="19" t="str">
        <f>Pricing!B3</f>
        <v>Rebate</v>
      </c>
      <c r="B3" s="38">
        <f>Pricing!C3</f>
        <v>0.2</v>
      </c>
      <c r="C3" s="57"/>
      <c r="D3" s="3"/>
      <c r="E3" s="3"/>
      <c r="F3" s="3"/>
      <c r="G3" s="3"/>
      <c r="H3" s="3"/>
      <c r="I3" s="3"/>
    </row>
    <row r="4" spans="1:9" x14ac:dyDescent="0.25">
      <c r="A4" s="3"/>
      <c r="B4" s="3"/>
      <c r="C4" s="57"/>
      <c r="D4" s="3"/>
      <c r="E4" s="3"/>
      <c r="F4" s="3"/>
      <c r="G4" s="3"/>
      <c r="H4" s="3"/>
      <c r="I4" s="3"/>
    </row>
    <row r="5" spans="1:9" ht="18.75" x14ac:dyDescent="0.3">
      <c r="A5" s="58"/>
      <c r="B5" s="58" t="s">
        <v>0</v>
      </c>
      <c r="C5" s="4" t="s">
        <v>1</v>
      </c>
      <c r="D5" s="58" t="s">
        <v>2</v>
      </c>
      <c r="E5" s="58" t="s">
        <v>3</v>
      </c>
      <c r="F5" s="135" t="s">
        <v>4</v>
      </c>
      <c r="G5" s="135"/>
      <c r="H5" s="58"/>
      <c r="I5" s="33"/>
    </row>
    <row r="6" spans="1:9" ht="18.75" x14ac:dyDescent="0.3">
      <c r="A6" s="61" t="str">
        <f>Pricing!B6</f>
        <v>Tramadol</v>
      </c>
      <c r="B6" s="5">
        <f>Pricing!C6</f>
        <v>100</v>
      </c>
      <c r="C6" s="59">
        <f>Pricing!D6</f>
        <v>480</v>
      </c>
      <c r="D6" s="30">
        <f>Pricing!E6</f>
        <v>0.06</v>
      </c>
      <c r="E6" s="6">
        <f>B2*D6</f>
        <v>18</v>
      </c>
      <c r="F6" s="134">
        <f t="shared" ref="F6:F14" si="0">(C6/B6)*E6</f>
        <v>86.399999999999991</v>
      </c>
      <c r="G6" s="134"/>
      <c r="H6" s="3"/>
      <c r="I6" s="33"/>
    </row>
    <row r="7" spans="1:9" ht="18.75" x14ac:dyDescent="0.3">
      <c r="A7" s="61">
        <f>Pricing!B7</f>
        <v>0</v>
      </c>
      <c r="B7" s="5">
        <f>Pricing!C7</f>
        <v>1</v>
      </c>
      <c r="C7" s="59">
        <f>Pricing!D7</f>
        <v>0</v>
      </c>
      <c r="D7" s="30">
        <f>Pricing!E7</f>
        <v>1.4999999999999999E-4</v>
      </c>
      <c r="E7" s="6">
        <f>B2*D7</f>
        <v>4.4999999999999998E-2</v>
      </c>
      <c r="F7" s="134">
        <f t="shared" si="0"/>
        <v>0</v>
      </c>
      <c r="G7" s="134"/>
      <c r="H7" s="3"/>
      <c r="I7" s="33"/>
    </row>
    <row r="8" spans="1:9" ht="18.75" x14ac:dyDescent="0.3">
      <c r="A8" s="61">
        <f>Pricing!B8</f>
        <v>0</v>
      </c>
      <c r="B8" s="5">
        <f>Pricing!C8</f>
        <v>1</v>
      </c>
      <c r="C8" s="59">
        <f>Pricing!D8</f>
        <v>0</v>
      </c>
      <c r="D8" s="30">
        <f>Pricing!E8</f>
        <v>1.4999999999999999E-4</v>
      </c>
      <c r="E8" s="6">
        <f>B2*D8</f>
        <v>4.4999999999999998E-2</v>
      </c>
      <c r="F8" s="134">
        <f t="shared" si="0"/>
        <v>0</v>
      </c>
      <c r="G8" s="134"/>
      <c r="H8" s="3"/>
      <c r="I8" s="33"/>
    </row>
    <row r="9" spans="1:9" x14ac:dyDescent="0.25">
      <c r="A9" s="61">
        <f>Pricing!B9</f>
        <v>0</v>
      </c>
      <c r="B9" s="5">
        <f>Pricing!C9</f>
        <v>1</v>
      </c>
      <c r="C9" s="59">
        <f>Pricing!D9</f>
        <v>0</v>
      </c>
      <c r="D9" s="30">
        <f>Pricing!E9</f>
        <v>0.22500000000000001</v>
      </c>
      <c r="E9" s="6">
        <f>B2*D9</f>
        <v>67.5</v>
      </c>
      <c r="F9" s="134">
        <f t="shared" si="0"/>
        <v>0</v>
      </c>
      <c r="G9" s="134"/>
      <c r="H9" s="3"/>
      <c r="I9" s="3"/>
    </row>
    <row r="10" spans="1:9" x14ac:dyDescent="0.25">
      <c r="A10" s="61">
        <f>Pricing!B10</f>
        <v>0</v>
      </c>
      <c r="B10" s="5">
        <f>Pricing!C10</f>
        <v>1</v>
      </c>
      <c r="C10" s="59">
        <f>Pricing!D10</f>
        <v>0</v>
      </c>
      <c r="D10" s="30">
        <f>Pricing!E10</f>
        <v>4.3999999999999997E-2</v>
      </c>
      <c r="E10" s="6">
        <f>B2*D10</f>
        <v>13.2</v>
      </c>
      <c r="F10" s="134">
        <f t="shared" si="0"/>
        <v>0</v>
      </c>
      <c r="G10" s="134"/>
      <c r="H10" s="3"/>
      <c r="I10" s="3"/>
    </row>
    <row r="11" spans="1:9" x14ac:dyDescent="0.25">
      <c r="A11" s="61" t="str">
        <f>Pricing!B11</f>
        <v>Capsule</v>
      </c>
      <c r="B11" s="5">
        <f>Pricing!C11</f>
        <v>1000</v>
      </c>
      <c r="C11" s="59">
        <f>Pricing!D11</f>
        <v>24</v>
      </c>
      <c r="D11" s="30">
        <f>Pricing!E11</f>
        <v>1</v>
      </c>
      <c r="E11" s="6">
        <f>B2*D11</f>
        <v>300</v>
      </c>
      <c r="F11" s="134">
        <f t="shared" si="0"/>
        <v>7.2</v>
      </c>
      <c r="G11" s="134"/>
      <c r="H11" s="3"/>
      <c r="I11" s="3"/>
    </row>
    <row r="12" spans="1:9" x14ac:dyDescent="0.25">
      <c r="A12" s="61">
        <f>Pricing!B12</f>
        <v>0</v>
      </c>
      <c r="B12" s="5">
        <f>Pricing!C12</f>
        <v>1</v>
      </c>
      <c r="C12" s="59">
        <f>Pricing!D12</f>
        <v>0</v>
      </c>
      <c r="D12" s="30">
        <f>Pricing!E12</f>
        <v>0</v>
      </c>
      <c r="E12" s="6">
        <f>B2*D12</f>
        <v>0</v>
      </c>
      <c r="F12" s="134">
        <f t="shared" si="0"/>
        <v>0</v>
      </c>
      <c r="G12" s="134"/>
      <c r="H12" s="3"/>
      <c r="I12" s="3"/>
    </row>
    <row r="13" spans="1:9" x14ac:dyDescent="0.25">
      <c r="A13" s="61">
        <f>Pricing!B13</f>
        <v>0</v>
      </c>
      <c r="B13" s="5">
        <f>Pricing!C13</f>
        <v>1</v>
      </c>
      <c r="C13" s="59">
        <f>Pricing!D13</f>
        <v>0</v>
      </c>
      <c r="D13" s="30">
        <f>Pricing!E13</f>
        <v>0</v>
      </c>
      <c r="E13" s="6">
        <f>B2*D13</f>
        <v>0</v>
      </c>
      <c r="F13" s="134">
        <f t="shared" si="0"/>
        <v>0</v>
      </c>
      <c r="G13" s="134"/>
      <c r="H13" s="3"/>
      <c r="I13" s="3"/>
    </row>
    <row r="14" spans="1:9" x14ac:dyDescent="0.25">
      <c r="A14" s="61">
        <f>Pricing!B14</f>
        <v>0</v>
      </c>
      <c r="B14" s="5">
        <f>Pricing!C14</f>
        <v>1</v>
      </c>
      <c r="C14" s="59">
        <f>Pricing!D14</f>
        <v>0</v>
      </c>
      <c r="D14" s="30">
        <f>Pricing!E14</f>
        <v>0</v>
      </c>
      <c r="E14" s="6">
        <f>B2*D14</f>
        <v>0</v>
      </c>
      <c r="F14" s="134">
        <f t="shared" si="0"/>
        <v>0</v>
      </c>
      <c r="G14" s="134"/>
      <c r="H14" s="3"/>
      <c r="I14" s="3"/>
    </row>
    <row r="15" spans="1:9" ht="21" x14ac:dyDescent="0.35">
      <c r="A15" s="58"/>
      <c r="B15" s="58"/>
      <c r="C15" s="57"/>
      <c r="D15" s="33" t="s">
        <v>13</v>
      </c>
      <c r="E15" s="9"/>
      <c r="F15" s="132">
        <f>SUM(F6:F14)</f>
        <v>93.6</v>
      </c>
      <c r="G15" s="132"/>
      <c r="H15" s="3"/>
      <c r="I15" s="3"/>
    </row>
    <row r="16" spans="1:9" x14ac:dyDescent="0.25">
      <c r="A16" s="61" t="s">
        <v>14</v>
      </c>
      <c r="B16" s="21"/>
      <c r="C16" s="61" t="s">
        <v>20</v>
      </c>
      <c r="D16" s="10">
        <v>0.8</v>
      </c>
      <c r="E16" s="61"/>
      <c r="F16" s="61"/>
      <c r="G16" s="167" t="s">
        <v>21</v>
      </c>
      <c r="H16" s="167"/>
      <c r="I16" s="10">
        <f>Pricing!R1</f>
        <v>0.9</v>
      </c>
    </row>
    <row r="17" spans="1:9" x14ac:dyDescent="0.25">
      <c r="A17" s="21"/>
      <c r="B17" s="61" t="s">
        <v>18</v>
      </c>
      <c r="C17" s="61" t="s">
        <v>19</v>
      </c>
      <c r="D17" s="21"/>
      <c r="E17" s="21"/>
      <c r="F17" s="21"/>
      <c r="G17" s="61" t="s">
        <v>18</v>
      </c>
      <c r="H17" s="61" t="s">
        <v>19</v>
      </c>
      <c r="I17" s="21"/>
    </row>
    <row r="18" spans="1:9" x14ac:dyDescent="0.25">
      <c r="A18" s="21" t="s">
        <v>5</v>
      </c>
      <c r="B18" s="21"/>
      <c r="C18" s="21"/>
      <c r="D18" s="59">
        <f>F15</f>
        <v>93.6</v>
      </c>
      <c r="E18" s="21"/>
      <c r="F18" s="21" t="s">
        <v>5</v>
      </c>
      <c r="G18" s="21"/>
      <c r="H18" s="21"/>
      <c r="I18" s="59">
        <f>F15</f>
        <v>93.6</v>
      </c>
    </row>
    <row r="19" spans="1:9" x14ac:dyDescent="0.25">
      <c r="A19" s="21" t="s">
        <v>17</v>
      </c>
      <c r="B19" s="21"/>
      <c r="C19" s="21"/>
      <c r="D19" s="59">
        <f>D18*0.8</f>
        <v>74.88</v>
      </c>
      <c r="E19" s="21"/>
      <c r="F19" s="21" t="s">
        <v>17</v>
      </c>
      <c r="G19" s="21"/>
      <c r="H19" s="21"/>
      <c r="I19" s="59">
        <f>I16*F15</f>
        <v>84.24</v>
      </c>
    </row>
    <row r="20" spans="1:9" x14ac:dyDescent="0.25">
      <c r="A20" s="61" t="s">
        <v>16</v>
      </c>
      <c r="B20" s="5">
        <f>'250'!B20</f>
        <v>3</v>
      </c>
      <c r="C20" s="11">
        <f>Pricing!L5</f>
        <v>25</v>
      </c>
      <c r="D20" s="59">
        <f>B20*C20</f>
        <v>75</v>
      </c>
      <c r="E20" s="21"/>
      <c r="F20" s="61" t="s">
        <v>16</v>
      </c>
      <c r="G20" s="5">
        <f>B20</f>
        <v>3</v>
      </c>
      <c r="H20" s="11">
        <f>C20</f>
        <v>25</v>
      </c>
      <c r="I20" s="59">
        <f>G20*H20</f>
        <v>75</v>
      </c>
    </row>
    <row r="21" spans="1:9" x14ac:dyDescent="0.25">
      <c r="A21" s="21" t="s">
        <v>8</v>
      </c>
      <c r="B21" s="21"/>
      <c r="C21" s="21"/>
      <c r="D21" s="59">
        <f>Pricing!M6</f>
        <v>1</v>
      </c>
      <c r="E21" s="21"/>
      <c r="F21" s="21" t="s">
        <v>8</v>
      </c>
      <c r="G21" s="21"/>
      <c r="H21" s="21"/>
      <c r="I21" s="59">
        <f>D21</f>
        <v>1</v>
      </c>
    </row>
    <row r="22" spans="1:9" x14ac:dyDescent="0.25">
      <c r="A22" s="21" t="s">
        <v>9</v>
      </c>
      <c r="B22" s="21"/>
      <c r="C22" s="21"/>
      <c r="D22" s="59">
        <f>Pricing!M7</f>
        <v>25</v>
      </c>
      <c r="E22" s="21"/>
      <c r="F22" s="21" t="s">
        <v>9</v>
      </c>
      <c r="G22" s="21"/>
      <c r="H22" s="21"/>
      <c r="I22" s="59">
        <f>D22</f>
        <v>25</v>
      </c>
    </row>
    <row r="23" spans="1:9" x14ac:dyDescent="0.25">
      <c r="A23" s="14" t="s">
        <v>28</v>
      </c>
      <c r="B23" s="3"/>
      <c r="C23" s="57"/>
      <c r="D23" s="57">
        <f>SUM(D18:D22)</f>
        <v>269.48</v>
      </c>
      <c r="E23" s="3"/>
      <c r="F23" s="14" t="s">
        <v>28</v>
      </c>
      <c r="G23" s="3"/>
      <c r="H23" s="57"/>
      <c r="I23" s="57">
        <f>SUM(I18:I22)</f>
        <v>278.83999999999997</v>
      </c>
    </row>
    <row r="24" spans="1:9" x14ac:dyDescent="0.25">
      <c r="A24" s="3" t="s">
        <v>6</v>
      </c>
      <c r="B24" s="3"/>
      <c r="C24" s="57"/>
      <c r="D24" s="57">
        <f>D23*0.075268</f>
        <v>20.283220640000003</v>
      </c>
      <c r="E24" s="3"/>
      <c r="F24" s="3" t="s">
        <v>6</v>
      </c>
      <c r="G24" s="3"/>
      <c r="H24" s="57"/>
      <c r="I24" s="57">
        <f>I23*0.075268</f>
        <v>20.987729119999997</v>
      </c>
    </row>
    <row r="25" spans="1:9" x14ac:dyDescent="0.25">
      <c r="A25" s="3" t="s">
        <v>29</v>
      </c>
      <c r="B25" s="3"/>
      <c r="C25" s="57"/>
      <c r="D25" s="57">
        <f>D23+D24</f>
        <v>289.76322064000004</v>
      </c>
      <c r="E25" s="3"/>
      <c r="F25" s="3" t="s">
        <v>29</v>
      </c>
      <c r="G25" s="3"/>
      <c r="H25" s="57"/>
      <c r="I25" s="57">
        <f>I23+I24</f>
        <v>299.82772911999996</v>
      </c>
    </row>
    <row r="26" spans="1:9" x14ac:dyDescent="0.25">
      <c r="A26" s="3" t="s">
        <v>7</v>
      </c>
      <c r="B26" s="3"/>
      <c r="C26" s="57"/>
      <c r="D26" s="57">
        <f>(D25*B3)/(1+(-1*B3))</f>
        <v>72.440805160000011</v>
      </c>
      <c r="E26" s="3"/>
      <c r="F26" s="3" t="s">
        <v>7</v>
      </c>
      <c r="G26" s="3"/>
      <c r="H26" s="57"/>
      <c r="I26" s="57">
        <f>(I25*B3)/(1+(-1*B3))</f>
        <v>74.95693227999999</v>
      </c>
    </row>
    <row r="27" spans="1:9" x14ac:dyDescent="0.25">
      <c r="A27" s="3"/>
      <c r="B27" s="3"/>
      <c r="C27" s="57"/>
      <c r="D27" s="57"/>
      <c r="E27" s="3"/>
      <c r="F27" s="3"/>
      <c r="G27" s="3"/>
      <c r="H27" s="57"/>
      <c r="I27" s="57"/>
    </row>
    <row r="28" spans="1:9" ht="18.75" x14ac:dyDescent="0.25">
      <c r="A28" s="15" t="s">
        <v>10</v>
      </c>
      <c r="B28" s="15"/>
      <c r="C28" s="16"/>
      <c r="D28" s="35">
        <f>D25+D26</f>
        <v>362.20402580000007</v>
      </c>
      <c r="E28" s="15"/>
      <c r="F28" s="15" t="s">
        <v>10</v>
      </c>
      <c r="G28" s="15"/>
      <c r="H28" s="16"/>
      <c r="I28" s="16">
        <f>I25+I26</f>
        <v>374.78466139999995</v>
      </c>
    </row>
    <row r="29" spans="1:9" ht="18.75" x14ac:dyDescent="0.3">
      <c r="A29" s="33" t="s">
        <v>29</v>
      </c>
      <c r="B29" s="33"/>
      <c r="C29" s="8"/>
      <c r="D29" s="36">
        <f>D25</f>
        <v>289.76322064000004</v>
      </c>
      <c r="E29" s="33"/>
      <c r="F29" s="33" t="s">
        <v>29</v>
      </c>
      <c r="G29" s="33"/>
      <c r="H29" s="8"/>
      <c r="I29" s="8">
        <f>I25</f>
        <v>299.82772911999996</v>
      </c>
    </row>
    <row r="30" spans="1:9" x14ac:dyDescent="0.25">
      <c r="A30" s="3"/>
      <c r="B30" s="3"/>
      <c r="C30" s="57"/>
      <c r="D30" s="57"/>
      <c r="E30" s="3"/>
      <c r="F30" s="3"/>
      <c r="G30" s="3"/>
      <c r="H30" s="57"/>
      <c r="I30" s="57"/>
    </row>
    <row r="31" spans="1:9" x14ac:dyDescent="0.25">
      <c r="A31" s="58" t="s">
        <v>11</v>
      </c>
      <c r="B31" s="58"/>
      <c r="C31" s="4"/>
      <c r="D31" s="4">
        <f>SUM(-1*D18+-1*D21+-1*D22+D23+-1*D20)</f>
        <v>74.880000000000024</v>
      </c>
      <c r="E31" s="58"/>
      <c r="F31" s="58" t="s">
        <v>11</v>
      </c>
      <c r="G31" s="58"/>
      <c r="H31" s="4"/>
      <c r="I31" s="4">
        <f>SUM(-1*I18+-1*I21+-1*I22+I23+-1*I20)</f>
        <v>84.239999999999981</v>
      </c>
    </row>
    <row r="32" spans="1:9" x14ac:dyDescent="0.25">
      <c r="A32" s="58" t="s">
        <v>33</v>
      </c>
      <c r="B32" s="3"/>
      <c r="C32" s="3"/>
      <c r="D32" s="57">
        <f>D29+(-1*F15)</f>
        <v>196.16322064000005</v>
      </c>
      <c r="E32" s="3"/>
      <c r="F32" s="58" t="s">
        <v>33</v>
      </c>
      <c r="G32" s="3"/>
      <c r="H32" s="3"/>
      <c r="I32" s="57">
        <f>I29+(-1*F15)</f>
        <v>206.22772911999996</v>
      </c>
    </row>
    <row r="33" spans="1:9" x14ac:dyDescent="0.25">
      <c r="A33" s="58" t="s">
        <v>12</v>
      </c>
      <c r="B33" s="58"/>
      <c r="C33" s="17"/>
      <c r="D33" s="17">
        <f>(D31/D18)*1</f>
        <v>0.80000000000000027</v>
      </c>
      <c r="E33" s="58"/>
      <c r="F33" s="58" t="s">
        <v>12</v>
      </c>
      <c r="G33" s="58"/>
      <c r="H33" s="17"/>
      <c r="I33" s="17">
        <f>(I31/I18)*1</f>
        <v>0.8999999999999998</v>
      </c>
    </row>
    <row r="34" spans="1:9" x14ac:dyDescent="0.25">
      <c r="A34" s="3"/>
      <c r="B34" s="3"/>
      <c r="C34" s="57"/>
      <c r="D34" s="3"/>
      <c r="E34" s="3"/>
      <c r="F34" s="3"/>
      <c r="G34" s="3"/>
      <c r="H34" s="3"/>
      <c r="I34" s="3"/>
    </row>
  </sheetData>
  <sheetProtection algorithmName="SHA-512" hashValue="XrL9JbUacqTrQrebgdlItvFXCCJtLJXNP0XdyHGnF7IDbQ/BzeelVrmp/2zNrKxCCPKEJgBgyd2/4XD9ooAx+w==" saltValue="viEXd3y30BQQQ4d49DJrwA==" spinCount="100000" sheet="1" objects="1" scenarios="1"/>
  <mergeCells count="13">
    <mergeCell ref="G16:H16"/>
    <mergeCell ref="F10:G10"/>
    <mergeCell ref="F11:G11"/>
    <mergeCell ref="F12:G12"/>
    <mergeCell ref="F13:G13"/>
    <mergeCell ref="F14:G14"/>
    <mergeCell ref="F15:G15"/>
    <mergeCell ref="F9:G9"/>
    <mergeCell ref="B1:I1"/>
    <mergeCell ref="F5:G5"/>
    <mergeCell ref="F6:G6"/>
    <mergeCell ref="F7:G7"/>
    <mergeCell ref="F8:G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802E0-F05E-6C45-BECB-32C896D29C6A}">
  <dimension ref="A1:I34"/>
  <sheetViews>
    <sheetView workbookViewId="0">
      <selection activeCell="G26" sqref="G26"/>
    </sheetView>
  </sheetViews>
  <sheetFormatPr defaultColWidth="10.875" defaultRowHeight="15.75" x14ac:dyDescent="0.25"/>
  <cols>
    <col min="1" max="1" width="16.625" style="63" customWidth="1"/>
    <col min="2" max="16384" width="10.875" style="63"/>
  </cols>
  <sheetData>
    <row r="1" spans="1:9" ht="21" x14ac:dyDescent="0.35">
      <c r="A1" s="1" t="s">
        <v>22</v>
      </c>
      <c r="B1" s="165" t="str">
        <f>Pricing!C1</f>
        <v>Tramadol</v>
      </c>
      <c r="C1" s="165"/>
      <c r="D1" s="165"/>
      <c r="E1" s="165"/>
      <c r="F1" s="165"/>
      <c r="G1" s="165"/>
      <c r="H1" s="165"/>
      <c r="I1" s="165"/>
    </row>
    <row r="2" spans="1:9" ht="21" x14ac:dyDescent="0.35">
      <c r="A2" s="1" t="s">
        <v>15</v>
      </c>
      <c r="B2" s="32">
        <v>350</v>
      </c>
      <c r="C2" s="62" t="s">
        <v>25</v>
      </c>
      <c r="D2" s="20"/>
      <c r="E2" s="20"/>
      <c r="F2" s="20"/>
      <c r="G2" s="20"/>
      <c r="H2" s="20"/>
      <c r="I2" s="20"/>
    </row>
    <row r="3" spans="1:9" ht="21" x14ac:dyDescent="0.35">
      <c r="A3" s="19" t="str">
        <f>Pricing!B3</f>
        <v>Rebate</v>
      </c>
      <c r="B3" s="38">
        <f>Pricing!C3</f>
        <v>0.2</v>
      </c>
      <c r="C3" s="57"/>
      <c r="D3" s="3"/>
      <c r="E3" s="3"/>
      <c r="F3" s="3"/>
      <c r="G3" s="3"/>
      <c r="H3" s="3"/>
      <c r="I3" s="3"/>
    </row>
    <row r="4" spans="1:9" x14ac:dyDescent="0.25">
      <c r="A4" s="3"/>
      <c r="B4" s="3"/>
      <c r="C4" s="57"/>
      <c r="D4" s="3"/>
      <c r="E4" s="3"/>
      <c r="F4" s="3"/>
      <c r="G4" s="3"/>
      <c r="H4" s="3"/>
      <c r="I4" s="3"/>
    </row>
    <row r="5" spans="1:9" ht="18.75" x14ac:dyDescent="0.3">
      <c r="A5" s="58"/>
      <c r="B5" s="58" t="s">
        <v>0</v>
      </c>
      <c r="C5" s="4" t="s">
        <v>1</v>
      </c>
      <c r="D5" s="58" t="s">
        <v>2</v>
      </c>
      <c r="E5" s="58" t="s">
        <v>3</v>
      </c>
      <c r="F5" s="135" t="s">
        <v>4</v>
      </c>
      <c r="G5" s="135"/>
      <c r="H5" s="58"/>
      <c r="I5" s="33"/>
    </row>
    <row r="6" spans="1:9" ht="18.75" x14ac:dyDescent="0.3">
      <c r="A6" s="61" t="str">
        <f>Pricing!B6</f>
        <v>Tramadol</v>
      </c>
      <c r="B6" s="5">
        <f>Pricing!C6</f>
        <v>100</v>
      </c>
      <c r="C6" s="59">
        <f>Pricing!D6</f>
        <v>480</v>
      </c>
      <c r="D6" s="30">
        <f>Pricing!E6</f>
        <v>0.06</v>
      </c>
      <c r="E6" s="6">
        <f>B2*D6</f>
        <v>21</v>
      </c>
      <c r="F6" s="134">
        <f t="shared" ref="F6:F14" si="0">(C6/B6)*E6</f>
        <v>100.8</v>
      </c>
      <c r="G6" s="134"/>
      <c r="H6" s="3"/>
      <c r="I6" s="33"/>
    </row>
    <row r="7" spans="1:9" ht="18.75" x14ac:dyDescent="0.3">
      <c r="A7" s="61">
        <f>Pricing!B7</f>
        <v>0</v>
      </c>
      <c r="B7" s="5">
        <f>Pricing!C7</f>
        <v>1</v>
      </c>
      <c r="C7" s="59">
        <f>Pricing!D7</f>
        <v>0</v>
      </c>
      <c r="D7" s="30">
        <f>Pricing!E7</f>
        <v>1.4999999999999999E-4</v>
      </c>
      <c r="E7" s="6">
        <f>B2*D7</f>
        <v>5.2499999999999998E-2</v>
      </c>
      <c r="F7" s="134">
        <f t="shared" si="0"/>
        <v>0</v>
      </c>
      <c r="G7" s="134"/>
      <c r="H7" s="3"/>
      <c r="I7" s="33"/>
    </row>
    <row r="8" spans="1:9" ht="18.75" x14ac:dyDescent="0.3">
      <c r="A8" s="61">
        <f>Pricing!B8</f>
        <v>0</v>
      </c>
      <c r="B8" s="5">
        <f>Pricing!C8</f>
        <v>1</v>
      </c>
      <c r="C8" s="59">
        <f>Pricing!D8</f>
        <v>0</v>
      </c>
      <c r="D8" s="30">
        <f>Pricing!E8</f>
        <v>1.4999999999999999E-4</v>
      </c>
      <c r="E8" s="6">
        <f>B2*D8</f>
        <v>5.2499999999999998E-2</v>
      </c>
      <c r="F8" s="134">
        <f t="shared" si="0"/>
        <v>0</v>
      </c>
      <c r="G8" s="134"/>
      <c r="H8" s="3"/>
      <c r="I8" s="33"/>
    </row>
    <row r="9" spans="1:9" x14ac:dyDescent="0.25">
      <c r="A9" s="61">
        <f>Pricing!B9</f>
        <v>0</v>
      </c>
      <c r="B9" s="5">
        <f>Pricing!C9</f>
        <v>1</v>
      </c>
      <c r="C9" s="59">
        <f>Pricing!D9</f>
        <v>0</v>
      </c>
      <c r="D9" s="30">
        <f>Pricing!E9</f>
        <v>0.22500000000000001</v>
      </c>
      <c r="E9" s="6">
        <f>B2*D9</f>
        <v>78.75</v>
      </c>
      <c r="F9" s="134">
        <f t="shared" si="0"/>
        <v>0</v>
      </c>
      <c r="G9" s="134"/>
      <c r="H9" s="3"/>
      <c r="I9" s="3"/>
    </row>
    <row r="10" spans="1:9" x14ac:dyDescent="0.25">
      <c r="A10" s="61">
        <f>Pricing!B10</f>
        <v>0</v>
      </c>
      <c r="B10" s="5">
        <f>Pricing!C10</f>
        <v>1</v>
      </c>
      <c r="C10" s="59">
        <f>Pricing!D10</f>
        <v>0</v>
      </c>
      <c r="D10" s="30">
        <f>Pricing!E10</f>
        <v>4.3999999999999997E-2</v>
      </c>
      <c r="E10" s="6">
        <f>B2*D10</f>
        <v>15.399999999999999</v>
      </c>
      <c r="F10" s="134">
        <f t="shared" si="0"/>
        <v>0</v>
      </c>
      <c r="G10" s="134"/>
      <c r="H10" s="3"/>
      <c r="I10" s="3"/>
    </row>
    <row r="11" spans="1:9" x14ac:dyDescent="0.25">
      <c r="A11" s="61" t="str">
        <f>Pricing!B11</f>
        <v>Capsule</v>
      </c>
      <c r="B11" s="5">
        <f>Pricing!C11</f>
        <v>1000</v>
      </c>
      <c r="C11" s="59">
        <f>Pricing!D11</f>
        <v>24</v>
      </c>
      <c r="D11" s="30">
        <f>Pricing!E11</f>
        <v>1</v>
      </c>
      <c r="E11" s="6">
        <f>B2*D11</f>
        <v>350</v>
      </c>
      <c r="F11" s="134">
        <f t="shared" si="0"/>
        <v>8.4</v>
      </c>
      <c r="G11" s="134"/>
      <c r="H11" s="3"/>
      <c r="I11" s="3"/>
    </row>
    <row r="12" spans="1:9" x14ac:dyDescent="0.25">
      <c r="A12" s="61">
        <f>Pricing!B12</f>
        <v>0</v>
      </c>
      <c r="B12" s="5">
        <f>Pricing!C12</f>
        <v>1</v>
      </c>
      <c r="C12" s="59">
        <f>Pricing!D12</f>
        <v>0</v>
      </c>
      <c r="D12" s="30">
        <f>Pricing!E12</f>
        <v>0</v>
      </c>
      <c r="E12" s="6">
        <f>B2*D12</f>
        <v>0</v>
      </c>
      <c r="F12" s="134">
        <f t="shared" si="0"/>
        <v>0</v>
      </c>
      <c r="G12" s="134"/>
      <c r="H12" s="3"/>
      <c r="I12" s="3"/>
    </row>
    <row r="13" spans="1:9" x14ac:dyDescent="0.25">
      <c r="A13" s="61">
        <f>Pricing!B13</f>
        <v>0</v>
      </c>
      <c r="B13" s="5">
        <f>Pricing!C13</f>
        <v>1</v>
      </c>
      <c r="C13" s="59">
        <f>Pricing!D13</f>
        <v>0</v>
      </c>
      <c r="D13" s="30">
        <f>Pricing!E13</f>
        <v>0</v>
      </c>
      <c r="E13" s="6">
        <f>B2*D13</f>
        <v>0</v>
      </c>
      <c r="F13" s="134">
        <f t="shared" si="0"/>
        <v>0</v>
      </c>
      <c r="G13" s="134"/>
      <c r="H13" s="3"/>
      <c r="I13" s="3"/>
    </row>
    <row r="14" spans="1:9" x14ac:dyDescent="0.25">
      <c r="A14" s="61">
        <f>Pricing!B14</f>
        <v>0</v>
      </c>
      <c r="B14" s="5">
        <f>Pricing!C14</f>
        <v>1</v>
      </c>
      <c r="C14" s="59">
        <f>Pricing!D14</f>
        <v>0</v>
      </c>
      <c r="D14" s="30">
        <f>Pricing!E14</f>
        <v>0</v>
      </c>
      <c r="E14" s="6">
        <f>B2*D14</f>
        <v>0</v>
      </c>
      <c r="F14" s="134">
        <f t="shared" si="0"/>
        <v>0</v>
      </c>
      <c r="G14" s="134"/>
      <c r="H14" s="3"/>
      <c r="I14" s="3"/>
    </row>
    <row r="15" spans="1:9" ht="21" x14ac:dyDescent="0.35">
      <c r="A15" s="58"/>
      <c r="B15" s="58"/>
      <c r="C15" s="57"/>
      <c r="D15" s="33" t="s">
        <v>13</v>
      </c>
      <c r="E15" s="9"/>
      <c r="F15" s="132">
        <f>SUM(F6:F14)</f>
        <v>109.2</v>
      </c>
      <c r="G15" s="132"/>
      <c r="H15" s="3"/>
      <c r="I15" s="3"/>
    </row>
    <row r="16" spans="1:9" x14ac:dyDescent="0.25">
      <c r="A16" s="61" t="s">
        <v>14</v>
      </c>
      <c r="B16" s="21"/>
      <c r="C16" s="61" t="s">
        <v>20</v>
      </c>
      <c r="D16" s="10">
        <v>0.8</v>
      </c>
      <c r="E16" s="61"/>
      <c r="F16" s="61"/>
      <c r="G16" s="167" t="s">
        <v>21</v>
      </c>
      <c r="H16" s="167"/>
      <c r="I16" s="10">
        <f>Pricing!R1</f>
        <v>0.9</v>
      </c>
    </row>
    <row r="17" spans="1:9" x14ac:dyDescent="0.25">
      <c r="A17" s="21"/>
      <c r="B17" s="61" t="s">
        <v>18</v>
      </c>
      <c r="C17" s="61" t="s">
        <v>19</v>
      </c>
      <c r="D17" s="21"/>
      <c r="E17" s="21"/>
      <c r="F17" s="21"/>
      <c r="G17" s="61" t="s">
        <v>18</v>
      </c>
      <c r="H17" s="61" t="s">
        <v>19</v>
      </c>
      <c r="I17" s="21"/>
    </row>
    <row r="18" spans="1:9" x14ac:dyDescent="0.25">
      <c r="A18" s="21" t="s">
        <v>5</v>
      </c>
      <c r="B18" s="21"/>
      <c r="C18" s="21"/>
      <c r="D18" s="59">
        <f>F15</f>
        <v>109.2</v>
      </c>
      <c r="E18" s="21"/>
      <c r="F18" s="21" t="s">
        <v>5</v>
      </c>
      <c r="G18" s="21"/>
      <c r="H18" s="21"/>
      <c r="I18" s="59">
        <f>F15</f>
        <v>109.2</v>
      </c>
    </row>
    <row r="19" spans="1:9" x14ac:dyDescent="0.25">
      <c r="A19" s="21" t="s">
        <v>17</v>
      </c>
      <c r="B19" s="21"/>
      <c r="C19" s="21"/>
      <c r="D19" s="59">
        <f>D18*0.8</f>
        <v>87.360000000000014</v>
      </c>
      <c r="E19" s="21"/>
      <c r="F19" s="21" t="s">
        <v>17</v>
      </c>
      <c r="G19" s="21"/>
      <c r="H19" s="21"/>
      <c r="I19" s="59">
        <f>I16*F15</f>
        <v>98.28</v>
      </c>
    </row>
    <row r="20" spans="1:9" x14ac:dyDescent="0.25">
      <c r="A20" s="61" t="s">
        <v>16</v>
      </c>
      <c r="B20" s="5">
        <f>'300'!B20+1</f>
        <v>4</v>
      </c>
      <c r="C20" s="11">
        <f>Pricing!L5</f>
        <v>25</v>
      </c>
      <c r="D20" s="59">
        <f>B20*C20</f>
        <v>100</v>
      </c>
      <c r="E20" s="21"/>
      <c r="F20" s="61" t="s">
        <v>16</v>
      </c>
      <c r="G20" s="5">
        <f>B20</f>
        <v>4</v>
      </c>
      <c r="H20" s="11">
        <f>C20</f>
        <v>25</v>
      </c>
      <c r="I20" s="59">
        <f>G20*H20</f>
        <v>100</v>
      </c>
    </row>
    <row r="21" spans="1:9" x14ac:dyDescent="0.25">
      <c r="A21" s="21" t="s">
        <v>8</v>
      </c>
      <c r="B21" s="21"/>
      <c r="C21" s="21"/>
      <c r="D21" s="59">
        <f>Pricing!M6</f>
        <v>1</v>
      </c>
      <c r="E21" s="21"/>
      <c r="F21" s="21" t="s">
        <v>8</v>
      </c>
      <c r="G21" s="21"/>
      <c r="H21" s="21"/>
      <c r="I21" s="59">
        <f>D21</f>
        <v>1</v>
      </c>
    </row>
    <row r="22" spans="1:9" x14ac:dyDescent="0.25">
      <c r="A22" s="21" t="s">
        <v>9</v>
      </c>
      <c r="B22" s="21"/>
      <c r="C22" s="21"/>
      <c r="D22" s="59">
        <f>Pricing!M7</f>
        <v>25</v>
      </c>
      <c r="E22" s="21"/>
      <c r="F22" s="21" t="s">
        <v>9</v>
      </c>
      <c r="G22" s="21"/>
      <c r="H22" s="21"/>
      <c r="I22" s="59">
        <f>D22</f>
        <v>25</v>
      </c>
    </row>
    <row r="23" spans="1:9" x14ac:dyDescent="0.25">
      <c r="A23" s="14" t="s">
        <v>28</v>
      </c>
      <c r="B23" s="3"/>
      <c r="C23" s="57"/>
      <c r="D23" s="57">
        <f>SUM(D18:D22)</f>
        <v>322.56</v>
      </c>
      <c r="E23" s="3"/>
      <c r="F23" s="14" t="s">
        <v>28</v>
      </c>
      <c r="G23" s="3"/>
      <c r="H23" s="57"/>
      <c r="I23" s="57">
        <f>SUM(I18:I22)</f>
        <v>333.48</v>
      </c>
    </row>
    <row r="24" spans="1:9" x14ac:dyDescent="0.25">
      <c r="A24" s="3" t="s">
        <v>6</v>
      </c>
      <c r="B24" s="3"/>
      <c r="C24" s="57"/>
      <c r="D24" s="57">
        <f>D23*0.075268</f>
        <v>24.278446080000002</v>
      </c>
      <c r="E24" s="3"/>
      <c r="F24" s="3" t="s">
        <v>6</v>
      </c>
      <c r="G24" s="3"/>
      <c r="H24" s="57"/>
      <c r="I24" s="57">
        <f>I23*0.075268</f>
        <v>25.100372640000003</v>
      </c>
    </row>
    <row r="25" spans="1:9" x14ac:dyDescent="0.25">
      <c r="A25" s="3" t="s">
        <v>29</v>
      </c>
      <c r="B25" s="3"/>
      <c r="C25" s="57"/>
      <c r="D25" s="57">
        <f>D23+D24</f>
        <v>346.83844607999998</v>
      </c>
      <c r="E25" s="3"/>
      <c r="F25" s="3" t="s">
        <v>29</v>
      </c>
      <c r="G25" s="3"/>
      <c r="H25" s="57"/>
      <c r="I25" s="57">
        <f>I23+I24</f>
        <v>358.58037264000001</v>
      </c>
    </row>
    <row r="26" spans="1:9" x14ac:dyDescent="0.25">
      <c r="A26" s="3" t="s">
        <v>7</v>
      </c>
      <c r="B26" s="3"/>
      <c r="C26" s="57"/>
      <c r="D26" s="57">
        <f>(D25*B3)/(1+(-1*B3))</f>
        <v>86.709611519999996</v>
      </c>
      <c r="E26" s="3"/>
      <c r="F26" s="3" t="s">
        <v>7</v>
      </c>
      <c r="G26" s="3"/>
      <c r="H26" s="57"/>
      <c r="I26" s="57">
        <f>(I25*B3)/(1+(-1*B3))</f>
        <v>89.645093160000002</v>
      </c>
    </row>
    <row r="27" spans="1:9" x14ac:dyDescent="0.25">
      <c r="A27" s="3"/>
      <c r="B27" s="3"/>
      <c r="C27" s="57"/>
      <c r="D27" s="57"/>
      <c r="E27" s="3"/>
      <c r="F27" s="3"/>
      <c r="G27" s="3"/>
      <c r="H27" s="57"/>
      <c r="I27" s="57"/>
    </row>
    <row r="28" spans="1:9" ht="18.75" x14ac:dyDescent="0.25">
      <c r="A28" s="15" t="s">
        <v>10</v>
      </c>
      <c r="B28" s="15"/>
      <c r="C28" s="16"/>
      <c r="D28" s="35">
        <f>D25+D26</f>
        <v>433.54805759999999</v>
      </c>
      <c r="E28" s="15"/>
      <c r="F28" s="15" t="s">
        <v>10</v>
      </c>
      <c r="G28" s="15"/>
      <c r="H28" s="16"/>
      <c r="I28" s="16">
        <f>I25+I26</f>
        <v>448.22546579999999</v>
      </c>
    </row>
    <row r="29" spans="1:9" ht="18.75" x14ac:dyDescent="0.3">
      <c r="A29" s="33" t="s">
        <v>29</v>
      </c>
      <c r="B29" s="33"/>
      <c r="C29" s="8"/>
      <c r="D29" s="36">
        <f>D25</f>
        <v>346.83844607999998</v>
      </c>
      <c r="E29" s="33"/>
      <c r="F29" s="33" t="s">
        <v>29</v>
      </c>
      <c r="G29" s="33"/>
      <c r="H29" s="8"/>
      <c r="I29" s="8">
        <f>I25</f>
        <v>358.58037264000001</v>
      </c>
    </row>
    <row r="30" spans="1:9" x14ac:dyDescent="0.25">
      <c r="A30" s="3"/>
      <c r="B30" s="3"/>
      <c r="C30" s="57"/>
      <c r="D30" s="57"/>
      <c r="E30" s="3"/>
      <c r="F30" s="3"/>
      <c r="G30" s="3"/>
      <c r="H30" s="57"/>
      <c r="I30" s="57"/>
    </row>
    <row r="31" spans="1:9" x14ac:dyDescent="0.25">
      <c r="A31" s="58" t="s">
        <v>11</v>
      </c>
      <c r="B31" s="58"/>
      <c r="C31" s="4"/>
      <c r="D31" s="4">
        <f>SUM(-1*D18+-1*D21+-1*D22+D23+-1*D20)</f>
        <v>87.360000000000014</v>
      </c>
      <c r="E31" s="58"/>
      <c r="F31" s="58" t="s">
        <v>11</v>
      </c>
      <c r="G31" s="58"/>
      <c r="H31" s="4"/>
      <c r="I31" s="4">
        <f>SUM(-1*I18+-1*I21+-1*I22+I23+-1*I20)</f>
        <v>98.28000000000003</v>
      </c>
    </row>
    <row r="32" spans="1:9" x14ac:dyDescent="0.25">
      <c r="A32" s="58" t="s">
        <v>33</v>
      </c>
      <c r="B32" s="3"/>
      <c r="C32" s="3"/>
      <c r="D32" s="57">
        <f>D29+(-1*F15)</f>
        <v>237.63844607999999</v>
      </c>
      <c r="E32" s="3"/>
      <c r="F32" s="58" t="s">
        <v>33</v>
      </c>
      <c r="G32" s="3"/>
      <c r="H32" s="3"/>
      <c r="I32" s="57">
        <f>I29+(-1*F15)</f>
        <v>249.38037264000002</v>
      </c>
    </row>
    <row r="33" spans="1:9" x14ac:dyDescent="0.25">
      <c r="A33" s="58" t="s">
        <v>12</v>
      </c>
      <c r="B33" s="58"/>
      <c r="C33" s="17"/>
      <c r="D33" s="17">
        <f>(D31/D18)*1</f>
        <v>0.80000000000000016</v>
      </c>
      <c r="E33" s="58"/>
      <c r="F33" s="58" t="s">
        <v>12</v>
      </c>
      <c r="G33" s="58"/>
      <c r="H33" s="17"/>
      <c r="I33" s="17">
        <f>(I31/I18)*1</f>
        <v>0.90000000000000024</v>
      </c>
    </row>
    <row r="34" spans="1:9" x14ac:dyDescent="0.25">
      <c r="A34" s="40"/>
      <c r="B34" s="40"/>
      <c r="C34" s="39"/>
      <c r="D34" s="40"/>
      <c r="E34" s="40"/>
      <c r="F34" s="40"/>
      <c r="G34" s="40"/>
      <c r="H34" s="40"/>
      <c r="I34" s="40"/>
    </row>
  </sheetData>
  <sheetProtection algorithmName="SHA-512" hashValue="X2FovZKAPtW5nShb/pxEFX/asNAsytykavQ6XZ1gkEHYLsYwNFowFZtOZww4mWcmmiOq3yeqkuwnIWsJhO5qJg==" saltValue="PGKl8QGwe72Gl+uqYrEegA==" spinCount="100000" sheet="1" objects="1" scenarios="1"/>
  <mergeCells count="13">
    <mergeCell ref="G16:H16"/>
    <mergeCell ref="F10:G10"/>
    <mergeCell ref="F11:G11"/>
    <mergeCell ref="F12:G12"/>
    <mergeCell ref="F13:G13"/>
    <mergeCell ref="F14:G14"/>
    <mergeCell ref="F15:G15"/>
    <mergeCell ref="F9:G9"/>
    <mergeCell ref="B1:I1"/>
    <mergeCell ref="F5:G5"/>
    <mergeCell ref="F6:G6"/>
    <mergeCell ref="F7:G7"/>
    <mergeCell ref="F8:G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08D96-1DBB-B14C-B459-4CD464622220}">
  <dimension ref="A1:I34"/>
  <sheetViews>
    <sheetView workbookViewId="0">
      <selection activeCell="G26" sqref="G26"/>
    </sheetView>
  </sheetViews>
  <sheetFormatPr defaultColWidth="10.875" defaultRowHeight="15.75" x14ac:dyDescent="0.25"/>
  <cols>
    <col min="1" max="1" width="17.125" style="63" customWidth="1"/>
    <col min="2" max="16384" width="10.875" style="63"/>
  </cols>
  <sheetData>
    <row r="1" spans="1:9" ht="21" x14ac:dyDescent="0.35">
      <c r="A1" s="1" t="s">
        <v>22</v>
      </c>
      <c r="B1" s="165" t="str">
        <f>Pricing!C1</f>
        <v>Tramadol</v>
      </c>
      <c r="C1" s="165"/>
      <c r="D1" s="165"/>
      <c r="E1" s="165"/>
      <c r="F1" s="165"/>
      <c r="G1" s="165"/>
      <c r="H1" s="165"/>
      <c r="I1" s="165"/>
    </row>
    <row r="2" spans="1:9" ht="21" x14ac:dyDescent="0.35">
      <c r="A2" s="1" t="s">
        <v>15</v>
      </c>
      <c r="B2" s="32">
        <v>400</v>
      </c>
      <c r="C2" s="62" t="s">
        <v>25</v>
      </c>
      <c r="D2" s="20"/>
      <c r="E2" s="20"/>
      <c r="F2" s="20"/>
      <c r="G2" s="20"/>
      <c r="H2" s="20"/>
      <c r="I2" s="20"/>
    </row>
    <row r="3" spans="1:9" ht="21" x14ac:dyDescent="0.35">
      <c r="A3" s="19" t="str">
        <f>Pricing!B3</f>
        <v>Rebate</v>
      </c>
      <c r="B3" s="38">
        <f>Pricing!C3</f>
        <v>0.2</v>
      </c>
      <c r="C3" s="57"/>
      <c r="D3" s="3"/>
      <c r="E3" s="3"/>
      <c r="F3" s="3"/>
      <c r="G3" s="3"/>
      <c r="H3" s="3"/>
      <c r="I3" s="3"/>
    </row>
    <row r="4" spans="1:9" x14ac:dyDescent="0.25">
      <c r="A4" s="3"/>
      <c r="B4" s="3"/>
      <c r="C4" s="57"/>
      <c r="D4" s="3"/>
      <c r="E4" s="3"/>
      <c r="F4" s="3"/>
      <c r="G4" s="3"/>
      <c r="H4" s="3"/>
      <c r="I4" s="3"/>
    </row>
    <row r="5" spans="1:9" ht="18.75" x14ac:dyDescent="0.3">
      <c r="A5" s="58"/>
      <c r="B5" s="58" t="s">
        <v>0</v>
      </c>
      <c r="C5" s="4" t="s">
        <v>1</v>
      </c>
      <c r="D5" s="58" t="s">
        <v>2</v>
      </c>
      <c r="E5" s="58" t="s">
        <v>3</v>
      </c>
      <c r="F5" s="135" t="s">
        <v>4</v>
      </c>
      <c r="G5" s="135"/>
      <c r="H5" s="58"/>
      <c r="I5" s="33"/>
    </row>
    <row r="6" spans="1:9" ht="18.75" x14ac:dyDescent="0.3">
      <c r="A6" s="61" t="str">
        <f>Pricing!B6</f>
        <v>Tramadol</v>
      </c>
      <c r="B6" s="5">
        <f>Pricing!C6</f>
        <v>100</v>
      </c>
      <c r="C6" s="59">
        <f>Pricing!D6</f>
        <v>480</v>
      </c>
      <c r="D6" s="30">
        <f>Pricing!E6</f>
        <v>0.06</v>
      </c>
      <c r="E6" s="6">
        <f>B2*D6</f>
        <v>24</v>
      </c>
      <c r="F6" s="134">
        <f t="shared" ref="F6:F14" si="0">(C6/B6)*E6</f>
        <v>115.19999999999999</v>
      </c>
      <c r="G6" s="134"/>
      <c r="H6" s="3"/>
      <c r="I6" s="33"/>
    </row>
    <row r="7" spans="1:9" ht="18.75" x14ac:dyDescent="0.3">
      <c r="A7" s="61">
        <f>Pricing!B7</f>
        <v>0</v>
      </c>
      <c r="B7" s="5">
        <f>Pricing!C7</f>
        <v>1</v>
      </c>
      <c r="C7" s="59">
        <f>Pricing!D7</f>
        <v>0</v>
      </c>
      <c r="D7" s="30">
        <f>Pricing!E7</f>
        <v>1.4999999999999999E-4</v>
      </c>
      <c r="E7" s="6">
        <f>B2*D7</f>
        <v>0.06</v>
      </c>
      <c r="F7" s="134">
        <f t="shared" si="0"/>
        <v>0</v>
      </c>
      <c r="G7" s="134"/>
      <c r="H7" s="3"/>
      <c r="I7" s="33"/>
    </row>
    <row r="8" spans="1:9" ht="18.75" x14ac:dyDescent="0.3">
      <c r="A8" s="61">
        <f>Pricing!B8</f>
        <v>0</v>
      </c>
      <c r="B8" s="5">
        <f>Pricing!C8</f>
        <v>1</v>
      </c>
      <c r="C8" s="59">
        <f>Pricing!D8</f>
        <v>0</v>
      </c>
      <c r="D8" s="30">
        <f>Pricing!E8</f>
        <v>1.4999999999999999E-4</v>
      </c>
      <c r="E8" s="6">
        <f>B2*D8</f>
        <v>0.06</v>
      </c>
      <c r="F8" s="134">
        <f t="shared" si="0"/>
        <v>0</v>
      </c>
      <c r="G8" s="134"/>
      <c r="H8" s="3"/>
      <c r="I8" s="33"/>
    </row>
    <row r="9" spans="1:9" x14ac:dyDescent="0.25">
      <c r="A9" s="61">
        <f>Pricing!B9</f>
        <v>0</v>
      </c>
      <c r="B9" s="5">
        <f>Pricing!C9</f>
        <v>1</v>
      </c>
      <c r="C9" s="59">
        <f>Pricing!D9</f>
        <v>0</v>
      </c>
      <c r="D9" s="30">
        <f>Pricing!E9</f>
        <v>0.22500000000000001</v>
      </c>
      <c r="E9" s="6">
        <f>B2*D9</f>
        <v>90</v>
      </c>
      <c r="F9" s="134">
        <f t="shared" si="0"/>
        <v>0</v>
      </c>
      <c r="G9" s="134"/>
      <c r="H9" s="3"/>
      <c r="I9" s="3"/>
    </row>
    <row r="10" spans="1:9" x14ac:dyDescent="0.25">
      <c r="A10" s="61">
        <f>Pricing!B10</f>
        <v>0</v>
      </c>
      <c r="B10" s="5">
        <f>Pricing!C10</f>
        <v>1</v>
      </c>
      <c r="C10" s="59">
        <f>Pricing!D10</f>
        <v>0</v>
      </c>
      <c r="D10" s="30">
        <f>Pricing!E10</f>
        <v>4.3999999999999997E-2</v>
      </c>
      <c r="E10" s="6">
        <f>B2*D10</f>
        <v>17.599999999999998</v>
      </c>
      <c r="F10" s="134">
        <f t="shared" si="0"/>
        <v>0</v>
      </c>
      <c r="G10" s="134"/>
      <c r="H10" s="3"/>
      <c r="I10" s="3"/>
    </row>
    <row r="11" spans="1:9" x14ac:dyDescent="0.25">
      <c r="A11" s="61" t="str">
        <f>Pricing!B11</f>
        <v>Capsule</v>
      </c>
      <c r="B11" s="5">
        <f>Pricing!C11</f>
        <v>1000</v>
      </c>
      <c r="C11" s="59">
        <f>Pricing!D11</f>
        <v>24</v>
      </c>
      <c r="D11" s="30">
        <f>Pricing!E11</f>
        <v>1</v>
      </c>
      <c r="E11" s="6">
        <f>B2*D11</f>
        <v>400</v>
      </c>
      <c r="F11" s="134">
        <f t="shared" si="0"/>
        <v>9.6</v>
      </c>
      <c r="G11" s="134"/>
      <c r="H11" s="3"/>
      <c r="I11" s="3"/>
    </row>
    <row r="12" spans="1:9" x14ac:dyDescent="0.25">
      <c r="A12" s="61">
        <f>Pricing!B12</f>
        <v>0</v>
      </c>
      <c r="B12" s="5">
        <f>Pricing!C12</f>
        <v>1</v>
      </c>
      <c r="C12" s="59">
        <f>Pricing!D12</f>
        <v>0</v>
      </c>
      <c r="D12" s="30">
        <f>Pricing!E12</f>
        <v>0</v>
      </c>
      <c r="E12" s="6">
        <f>B2*D12</f>
        <v>0</v>
      </c>
      <c r="F12" s="134">
        <f t="shared" si="0"/>
        <v>0</v>
      </c>
      <c r="G12" s="134"/>
      <c r="H12" s="3"/>
      <c r="I12" s="3"/>
    </row>
    <row r="13" spans="1:9" x14ac:dyDescent="0.25">
      <c r="A13" s="61">
        <f>Pricing!B13</f>
        <v>0</v>
      </c>
      <c r="B13" s="5">
        <f>Pricing!C13</f>
        <v>1</v>
      </c>
      <c r="C13" s="59">
        <f>Pricing!D13</f>
        <v>0</v>
      </c>
      <c r="D13" s="30">
        <f>Pricing!E13</f>
        <v>0</v>
      </c>
      <c r="E13" s="6">
        <f>B2*D13</f>
        <v>0</v>
      </c>
      <c r="F13" s="134">
        <f t="shared" si="0"/>
        <v>0</v>
      </c>
      <c r="G13" s="134"/>
      <c r="H13" s="3"/>
      <c r="I13" s="3"/>
    </row>
    <row r="14" spans="1:9" x14ac:dyDescent="0.25">
      <c r="A14" s="61">
        <f>Pricing!B14</f>
        <v>0</v>
      </c>
      <c r="B14" s="5">
        <f>Pricing!C14</f>
        <v>1</v>
      </c>
      <c r="C14" s="59">
        <f>Pricing!D14</f>
        <v>0</v>
      </c>
      <c r="D14" s="30">
        <f>Pricing!E14</f>
        <v>0</v>
      </c>
      <c r="E14" s="6">
        <f>B2*D14</f>
        <v>0</v>
      </c>
      <c r="F14" s="134">
        <f t="shared" si="0"/>
        <v>0</v>
      </c>
      <c r="G14" s="134"/>
      <c r="H14" s="3"/>
      <c r="I14" s="3"/>
    </row>
    <row r="15" spans="1:9" ht="21" x14ac:dyDescent="0.35">
      <c r="A15" s="58"/>
      <c r="B15" s="58"/>
      <c r="C15" s="57"/>
      <c r="D15" s="33" t="s">
        <v>13</v>
      </c>
      <c r="E15" s="9"/>
      <c r="F15" s="132">
        <f>SUM(F6:F14)</f>
        <v>124.79999999999998</v>
      </c>
      <c r="G15" s="132"/>
      <c r="H15" s="3"/>
      <c r="I15" s="3"/>
    </row>
    <row r="16" spans="1:9" x14ac:dyDescent="0.25">
      <c r="A16" s="61" t="s">
        <v>14</v>
      </c>
      <c r="B16" s="21"/>
      <c r="C16" s="61" t="s">
        <v>20</v>
      </c>
      <c r="D16" s="10">
        <v>0.8</v>
      </c>
      <c r="E16" s="61"/>
      <c r="F16" s="61"/>
      <c r="G16" s="167" t="s">
        <v>21</v>
      </c>
      <c r="H16" s="167"/>
      <c r="I16" s="10">
        <f>Pricing!R1</f>
        <v>0.9</v>
      </c>
    </row>
    <row r="17" spans="1:9" x14ac:dyDescent="0.25">
      <c r="A17" s="21"/>
      <c r="B17" s="61" t="s">
        <v>18</v>
      </c>
      <c r="C17" s="61" t="s">
        <v>19</v>
      </c>
      <c r="D17" s="21"/>
      <c r="E17" s="21"/>
      <c r="F17" s="21"/>
      <c r="G17" s="61" t="s">
        <v>18</v>
      </c>
      <c r="H17" s="61" t="s">
        <v>19</v>
      </c>
      <c r="I17" s="21"/>
    </row>
    <row r="18" spans="1:9" x14ac:dyDescent="0.25">
      <c r="A18" s="21" t="s">
        <v>5</v>
      </c>
      <c r="B18" s="21"/>
      <c r="C18" s="21"/>
      <c r="D18" s="59">
        <f>F15</f>
        <v>124.79999999999998</v>
      </c>
      <c r="E18" s="21"/>
      <c r="F18" s="21" t="s">
        <v>5</v>
      </c>
      <c r="G18" s="21"/>
      <c r="H18" s="21"/>
      <c r="I18" s="59">
        <f>F15</f>
        <v>124.79999999999998</v>
      </c>
    </row>
    <row r="19" spans="1:9" x14ac:dyDescent="0.25">
      <c r="A19" s="21" t="s">
        <v>17</v>
      </c>
      <c r="B19" s="21"/>
      <c r="C19" s="21"/>
      <c r="D19" s="59">
        <f>D18*0.8</f>
        <v>99.839999999999989</v>
      </c>
      <c r="E19" s="21"/>
      <c r="F19" s="21" t="s">
        <v>17</v>
      </c>
      <c r="G19" s="21"/>
      <c r="H19" s="21"/>
      <c r="I19" s="59">
        <f>I16*F15</f>
        <v>112.32</v>
      </c>
    </row>
    <row r="20" spans="1:9" x14ac:dyDescent="0.25">
      <c r="A20" s="61" t="s">
        <v>16</v>
      </c>
      <c r="B20" s="5">
        <f>'350'!B20</f>
        <v>4</v>
      </c>
      <c r="C20" s="11">
        <f>Pricing!L5</f>
        <v>25</v>
      </c>
      <c r="D20" s="59">
        <f>B20*C20</f>
        <v>100</v>
      </c>
      <c r="E20" s="21"/>
      <c r="F20" s="61" t="s">
        <v>16</v>
      </c>
      <c r="G20" s="5">
        <f>B20</f>
        <v>4</v>
      </c>
      <c r="H20" s="11">
        <f>C20</f>
        <v>25</v>
      </c>
      <c r="I20" s="59">
        <f>G20*H20</f>
        <v>100</v>
      </c>
    </row>
    <row r="21" spans="1:9" x14ac:dyDescent="0.25">
      <c r="A21" s="21" t="s">
        <v>8</v>
      </c>
      <c r="B21" s="21"/>
      <c r="C21" s="21"/>
      <c r="D21" s="59">
        <f>Pricing!M6</f>
        <v>1</v>
      </c>
      <c r="E21" s="21"/>
      <c r="F21" s="21" t="s">
        <v>8</v>
      </c>
      <c r="G21" s="21"/>
      <c r="H21" s="21"/>
      <c r="I21" s="59">
        <f>D21</f>
        <v>1</v>
      </c>
    </row>
    <row r="22" spans="1:9" x14ac:dyDescent="0.25">
      <c r="A22" s="21" t="s">
        <v>9</v>
      </c>
      <c r="B22" s="21"/>
      <c r="C22" s="21"/>
      <c r="D22" s="59">
        <f>Pricing!M7</f>
        <v>25</v>
      </c>
      <c r="E22" s="21"/>
      <c r="F22" s="21" t="s">
        <v>9</v>
      </c>
      <c r="G22" s="21"/>
      <c r="H22" s="21"/>
      <c r="I22" s="59">
        <f>D22</f>
        <v>25</v>
      </c>
    </row>
    <row r="23" spans="1:9" x14ac:dyDescent="0.25">
      <c r="A23" s="14" t="s">
        <v>28</v>
      </c>
      <c r="B23" s="3"/>
      <c r="C23" s="57"/>
      <c r="D23" s="57">
        <f>SUM(D18:D22)</f>
        <v>350.64</v>
      </c>
      <c r="E23" s="3"/>
      <c r="F23" s="14" t="s">
        <v>28</v>
      </c>
      <c r="G23" s="3"/>
      <c r="H23" s="57"/>
      <c r="I23" s="57">
        <f>SUM(I18:I22)</f>
        <v>363.12</v>
      </c>
    </row>
    <row r="24" spans="1:9" x14ac:dyDescent="0.25">
      <c r="A24" s="3" t="s">
        <v>6</v>
      </c>
      <c r="B24" s="3"/>
      <c r="C24" s="57"/>
      <c r="D24" s="57">
        <f>D23*0.075268</f>
        <v>26.391971519999998</v>
      </c>
      <c r="E24" s="3"/>
      <c r="F24" s="3" t="s">
        <v>6</v>
      </c>
      <c r="G24" s="3"/>
      <c r="H24" s="57"/>
      <c r="I24" s="57">
        <f>I23*0.075268</f>
        <v>27.33131616</v>
      </c>
    </row>
    <row r="25" spans="1:9" x14ac:dyDescent="0.25">
      <c r="A25" s="3" t="s">
        <v>29</v>
      </c>
      <c r="B25" s="3"/>
      <c r="C25" s="57"/>
      <c r="D25" s="57">
        <f>D23+D24</f>
        <v>377.03197151999996</v>
      </c>
      <c r="E25" s="3"/>
      <c r="F25" s="3" t="s">
        <v>29</v>
      </c>
      <c r="G25" s="3"/>
      <c r="H25" s="57"/>
      <c r="I25" s="57">
        <f>I23+I24</f>
        <v>390.45131616000003</v>
      </c>
    </row>
    <row r="26" spans="1:9" x14ac:dyDescent="0.25">
      <c r="A26" s="3" t="s">
        <v>7</v>
      </c>
      <c r="B26" s="3"/>
      <c r="C26" s="57"/>
      <c r="D26" s="57">
        <f>(D25*B3)/(1+(-1*B3))</f>
        <v>94.257992879999975</v>
      </c>
      <c r="E26" s="3"/>
      <c r="F26" s="3" t="s">
        <v>7</v>
      </c>
      <c r="G26" s="3"/>
      <c r="H26" s="57"/>
      <c r="I26" s="57">
        <f>(I25*B3)/(1+(-1*B3))</f>
        <v>97.612829040000008</v>
      </c>
    </row>
    <row r="27" spans="1:9" x14ac:dyDescent="0.25">
      <c r="A27" s="3"/>
      <c r="B27" s="3"/>
      <c r="C27" s="57"/>
      <c r="D27" s="57"/>
      <c r="E27" s="3"/>
      <c r="F27" s="3"/>
      <c r="G27" s="3"/>
      <c r="H27" s="57"/>
      <c r="I27" s="57"/>
    </row>
    <row r="28" spans="1:9" ht="18.75" x14ac:dyDescent="0.25">
      <c r="A28" s="15" t="s">
        <v>10</v>
      </c>
      <c r="B28" s="15"/>
      <c r="C28" s="16"/>
      <c r="D28" s="35">
        <f>D25+D26</f>
        <v>471.28996439999992</v>
      </c>
      <c r="E28" s="15"/>
      <c r="F28" s="15" t="s">
        <v>10</v>
      </c>
      <c r="G28" s="15"/>
      <c r="H28" s="16"/>
      <c r="I28" s="16">
        <f>I25+I26</f>
        <v>488.06414520000004</v>
      </c>
    </row>
    <row r="29" spans="1:9" ht="18.75" x14ac:dyDescent="0.3">
      <c r="A29" s="33" t="s">
        <v>29</v>
      </c>
      <c r="B29" s="33"/>
      <c r="C29" s="8"/>
      <c r="D29" s="36">
        <f>D25</f>
        <v>377.03197151999996</v>
      </c>
      <c r="E29" s="33"/>
      <c r="F29" s="33" t="s">
        <v>29</v>
      </c>
      <c r="G29" s="33"/>
      <c r="H29" s="8"/>
      <c r="I29" s="8">
        <f>I25</f>
        <v>390.45131616000003</v>
      </c>
    </row>
    <row r="30" spans="1:9" x14ac:dyDescent="0.25">
      <c r="A30" s="3"/>
      <c r="B30" s="3"/>
      <c r="C30" s="57"/>
      <c r="D30" s="57"/>
      <c r="E30" s="3"/>
      <c r="F30" s="3"/>
      <c r="G30" s="3"/>
      <c r="H30" s="57"/>
      <c r="I30" s="57"/>
    </row>
    <row r="31" spans="1:9" x14ac:dyDescent="0.25">
      <c r="A31" s="58" t="s">
        <v>11</v>
      </c>
      <c r="B31" s="58"/>
      <c r="C31" s="4"/>
      <c r="D31" s="4">
        <f>SUM(-1*D18+-1*D21+-1*D22+D23+-1*D20)</f>
        <v>99.84</v>
      </c>
      <c r="E31" s="58"/>
      <c r="F31" s="58" t="s">
        <v>11</v>
      </c>
      <c r="G31" s="58"/>
      <c r="H31" s="4"/>
      <c r="I31" s="4">
        <f>SUM(-1*I18+-1*I21+-1*I22+I23+-1*I20)</f>
        <v>112.32000000000002</v>
      </c>
    </row>
    <row r="32" spans="1:9" x14ac:dyDescent="0.25">
      <c r="A32" s="58" t="s">
        <v>33</v>
      </c>
      <c r="B32" s="3"/>
      <c r="C32" s="3"/>
      <c r="D32" s="57">
        <f>D29+(-1*F15)</f>
        <v>252.23197151999997</v>
      </c>
      <c r="E32" s="3"/>
      <c r="F32" s="58" t="s">
        <v>33</v>
      </c>
      <c r="G32" s="3"/>
      <c r="H32" s="3"/>
      <c r="I32" s="57">
        <f>I29+(-1*F15)</f>
        <v>265.65131616000008</v>
      </c>
    </row>
    <row r="33" spans="1:9" x14ac:dyDescent="0.25">
      <c r="A33" s="58" t="s">
        <v>12</v>
      </c>
      <c r="B33" s="58"/>
      <c r="C33" s="17"/>
      <c r="D33" s="17">
        <f>(D31/D18)*1</f>
        <v>0.80000000000000016</v>
      </c>
      <c r="E33" s="58"/>
      <c r="F33" s="58" t="s">
        <v>12</v>
      </c>
      <c r="G33" s="58"/>
      <c r="H33" s="17"/>
      <c r="I33" s="17">
        <f>(I31/I18)*1</f>
        <v>0.90000000000000024</v>
      </c>
    </row>
    <row r="34" spans="1:9" x14ac:dyDescent="0.25">
      <c r="A34" s="40"/>
      <c r="B34" s="40"/>
      <c r="C34" s="39"/>
      <c r="D34" s="40"/>
      <c r="E34" s="40"/>
      <c r="F34" s="40"/>
      <c r="G34" s="40"/>
      <c r="H34" s="40"/>
      <c r="I34" s="40"/>
    </row>
  </sheetData>
  <sheetProtection algorithmName="SHA-512" hashValue="CZxQV8qdkwonGcNriSgqVjmjJ3IYZq+AHOnp2S7dVW6cHsSaqTUpBixDhTMHVW/1NKvPMFqgyYnD/9lKSTC26Q==" saltValue="6ayTzJqYP2n+JqctlDQtwQ==" spinCount="100000" sheet="1" objects="1" scenarios="1"/>
  <mergeCells count="13">
    <mergeCell ref="G16:H16"/>
    <mergeCell ref="F10:G10"/>
    <mergeCell ref="F11:G11"/>
    <mergeCell ref="F12:G12"/>
    <mergeCell ref="F13:G13"/>
    <mergeCell ref="F14:G14"/>
    <mergeCell ref="F15:G15"/>
    <mergeCell ref="F9:G9"/>
    <mergeCell ref="B1:I1"/>
    <mergeCell ref="F5:G5"/>
    <mergeCell ref="F6:G6"/>
    <mergeCell ref="F7:G7"/>
    <mergeCell ref="F8:G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1C364-6903-AB48-B3AD-1A166140B6EF}">
  <dimension ref="A1:I34"/>
  <sheetViews>
    <sheetView workbookViewId="0">
      <selection activeCell="G26" sqref="G26"/>
    </sheetView>
  </sheetViews>
  <sheetFormatPr defaultColWidth="10.875" defaultRowHeight="15.75" x14ac:dyDescent="0.25"/>
  <cols>
    <col min="1" max="1" width="15" style="63" customWidth="1"/>
    <col min="2" max="16384" width="10.875" style="63"/>
  </cols>
  <sheetData>
    <row r="1" spans="1:9" ht="21" x14ac:dyDescent="0.35">
      <c r="A1" s="1" t="s">
        <v>22</v>
      </c>
      <c r="B1" s="165" t="str">
        <f>Pricing!C1</f>
        <v>Tramadol</v>
      </c>
      <c r="C1" s="165"/>
      <c r="D1" s="165"/>
      <c r="E1" s="165"/>
      <c r="F1" s="165"/>
      <c r="G1" s="165"/>
      <c r="H1" s="165"/>
      <c r="I1" s="165"/>
    </row>
    <row r="2" spans="1:9" ht="21" x14ac:dyDescent="0.35">
      <c r="A2" s="1" t="s">
        <v>15</v>
      </c>
      <c r="B2" s="32">
        <v>450</v>
      </c>
      <c r="C2" s="62" t="s">
        <v>25</v>
      </c>
      <c r="D2" s="20"/>
      <c r="E2" s="20"/>
      <c r="F2" s="20"/>
      <c r="G2" s="20"/>
      <c r="H2" s="20"/>
      <c r="I2" s="20"/>
    </row>
    <row r="3" spans="1:9" ht="21" x14ac:dyDescent="0.35">
      <c r="A3" s="19" t="str">
        <f>Pricing!B3</f>
        <v>Rebate</v>
      </c>
      <c r="B3" s="38">
        <f>Pricing!C3</f>
        <v>0.2</v>
      </c>
      <c r="C3" s="57"/>
      <c r="D3" s="3"/>
      <c r="E3" s="3"/>
      <c r="F3" s="3"/>
      <c r="G3" s="3"/>
      <c r="H3" s="3"/>
      <c r="I3" s="3"/>
    </row>
    <row r="4" spans="1:9" x14ac:dyDescent="0.25">
      <c r="A4" s="3"/>
      <c r="B4" s="3"/>
      <c r="C4" s="57"/>
      <c r="D4" s="3"/>
      <c r="E4" s="3"/>
      <c r="F4" s="3"/>
      <c r="G4" s="3"/>
      <c r="H4" s="3"/>
      <c r="I4" s="3"/>
    </row>
    <row r="5" spans="1:9" ht="18.75" x14ac:dyDescent="0.3">
      <c r="A5" s="58"/>
      <c r="B5" s="58" t="s">
        <v>0</v>
      </c>
      <c r="C5" s="4" t="s">
        <v>1</v>
      </c>
      <c r="D5" s="58" t="s">
        <v>2</v>
      </c>
      <c r="E5" s="58" t="s">
        <v>3</v>
      </c>
      <c r="F5" s="135" t="s">
        <v>4</v>
      </c>
      <c r="G5" s="135"/>
      <c r="H5" s="58"/>
      <c r="I5" s="33"/>
    </row>
    <row r="6" spans="1:9" ht="18.75" x14ac:dyDescent="0.3">
      <c r="A6" s="61" t="str">
        <f>Pricing!B6</f>
        <v>Tramadol</v>
      </c>
      <c r="B6" s="5">
        <f>Pricing!C6</f>
        <v>100</v>
      </c>
      <c r="C6" s="59">
        <f>Pricing!D6</f>
        <v>480</v>
      </c>
      <c r="D6" s="30">
        <f>Pricing!E6</f>
        <v>0.06</v>
      </c>
      <c r="E6" s="6">
        <f>B2*D6</f>
        <v>27</v>
      </c>
      <c r="F6" s="134">
        <f t="shared" ref="F6:F14" si="0">(C6/B6)*E6</f>
        <v>129.6</v>
      </c>
      <c r="G6" s="134"/>
      <c r="H6" s="3"/>
      <c r="I6" s="33"/>
    </row>
    <row r="7" spans="1:9" ht="18.75" x14ac:dyDescent="0.3">
      <c r="A7" s="61">
        <f>Pricing!B7</f>
        <v>0</v>
      </c>
      <c r="B7" s="5">
        <f>Pricing!C7</f>
        <v>1</v>
      </c>
      <c r="C7" s="59">
        <f>Pricing!D7</f>
        <v>0</v>
      </c>
      <c r="D7" s="30">
        <f>Pricing!E7</f>
        <v>1.4999999999999999E-4</v>
      </c>
      <c r="E7" s="6">
        <f>B2*D7</f>
        <v>6.7499999999999991E-2</v>
      </c>
      <c r="F7" s="134">
        <f t="shared" si="0"/>
        <v>0</v>
      </c>
      <c r="G7" s="134"/>
      <c r="H7" s="3"/>
      <c r="I7" s="33"/>
    </row>
    <row r="8" spans="1:9" ht="18.75" x14ac:dyDescent="0.3">
      <c r="A8" s="61">
        <f>Pricing!B8</f>
        <v>0</v>
      </c>
      <c r="B8" s="5">
        <f>Pricing!C8</f>
        <v>1</v>
      </c>
      <c r="C8" s="59">
        <f>Pricing!D8</f>
        <v>0</v>
      </c>
      <c r="D8" s="30">
        <f>Pricing!E8</f>
        <v>1.4999999999999999E-4</v>
      </c>
      <c r="E8" s="6">
        <f>B2*D8</f>
        <v>6.7499999999999991E-2</v>
      </c>
      <c r="F8" s="134">
        <f t="shared" si="0"/>
        <v>0</v>
      </c>
      <c r="G8" s="134"/>
      <c r="H8" s="3"/>
      <c r="I8" s="33"/>
    </row>
    <row r="9" spans="1:9" x14ac:dyDescent="0.25">
      <c r="A9" s="61">
        <f>Pricing!B9</f>
        <v>0</v>
      </c>
      <c r="B9" s="5">
        <f>Pricing!C9</f>
        <v>1</v>
      </c>
      <c r="C9" s="59">
        <f>Pricing!D9</f>
        <v>0</v>
      </c>
      <c r="D9" s="30">
        <f>Pricing!E9</f>
        <v>0.22500000000000001</v>
      </c>
      <c r="E9" s="6">
        <f>B2*D9</f>
        <v>101.25</v>
      </c>
      <c r="F9" s="134">
        <f t="shared" si="0"/>
        <v>0</v>
      </c>
      <c r="G9" s="134"/>
      <c r="H9" s="3"/>
      <c r="I9" s="3"/>
    </row>
    <row r="10" spans="1:9" x14ac:dyDescent="0.25">
      <c r="A10" s="61">
        <f>Pricing!B10</f>
        <v>0</v>
      </c>
      <c r="B10" s="5">
        <f>Pricing!C10</f>
        <v>1</v>
      </c>
      <c r="C10" s="59">
        <f>Pricing!D10</f>
        <v>0</v>
      </c>
      <c r="D10" s="30">
        <f>Pricing!E10</f>
        <v>4.3999999999999997E-2</v>
      </c>
      <c r="E10" s="6">
        <f>B2*D10</f>
        <v>19.799999999999997</v>
      </c>
      <c r="F10" s="134">
        <f t="shared" si="0"/>
        <v>0</v>
      </c>
      <c r="G10" s="134"/>
      <c r="H10" s="3"/>
      <c r="I10" s="3"/>
    </row>
    <row r="11" spans="1:9" x14ac:dyDescent="0.25">
      <c r="A11" s="61" t="str">
        <f>Pricing!B11</f>
        <v>Capsule</v>
      </c>
      <c r="B11" s="5">
        <f>Pricing!C11</f>
        <v>1000</v>
      </c>
      <c r="C11" s="59">
        <f>Pricing!D11</f>
        <v>24</v>
      </c>
      <c r="D11" s="30">
        <f>Pricing!E11</f>
        <v>1</v>
      </c>
      <c r="E11" s="6">
        <f>B2*D11</f>
        <v>450</v>
      </c>
      <c r="F11" s="134">
        <f t="shared" si="0"/>
        <v>10.8</v>
      </c>
      <c r="G11" s="134"/>
      <c r="H11" s="3"/>
      <c r="I11" s="3"/>
    </row>
    <row r="12" spans="1:9" x14ac:dyDescent="0.25">
      <c r="A12" s="61">
        <f>Pricing!B12</f>
        <v>0</v>
      </c>
      <c r="B12" s="5">
        <f>Pricing!C12</f>
        <v>1</v>
      </c>
      <c r="C12" s="59">
        <f>Pricing!D12</f>
        <v>0</v>
      </c>
      <c r="D12" s="30">
        <f>Pricing!E12</f>
        <v>0</v>
      </c>
      <c r="E12" s="6">
        <f>B2*D12</f>
        <v>0</v>
      </c>
      <c r="F12" s="134">
        <f t="shared" si="0"/>
        <v>0</v>
      </c>
      <c r="G12" s="134"/>
      <c r="H12" s="3"/>
      <c r="I12" s="3"/>
    </row>
    <row r="13" spans="1:9" x14ac:dyDescent="0.25">
      <c r="A13" s="61">
        <f>Pricing!B13</f>
        <v>0</v>
      </c>
      <c r="B13" s="5">
        <f>Pricing!C13</f>
        <v>1</v>
      </c>
      <c r="C13" s="59">
        <f>Pricing!D13</f>
        <v>0</v>
      </c>
      <c r="D13" s="30">
        <f>Pricing!E13</f>
        <v>0</v>
      </c>
      <c r="E13" s="6">
        <f>B2*D13</f>
        <v>0</v>
      </c>
      <c r="F13" s="134">
        <f t="shared" si="0"/>
        <v>0</v>
      </c>
      <c r="G13" s="134"/>
      <c r="H13" s="3"/>
      <c r="I13" s="3"/>
    </row>
    <row r="14" spans="1:9" x14ac:dyDescent="0.25">
      <c r="A14" s="61">
        <f>Pricing!B14</f>
        <v>0</v>
      </c>
      <c r="B14" s="5">
        <f>Pricing!C14</f>
        <v>1</v>
      </c>
      <c r="C14" s="59">
        <f>Pricing!D14</f>
        <v>0</v>
      </c>
      <c r="D14" s="30">
        <f>Pricing!E14</f>
        <v>0</v>
      </c>
      <c r="E14" s="6">
        <f>B2*D14</f>
        <v>0</v>
      </c>
      <c r="F14" s="134">
        <f t="shared" si="0"/>
        <v>0</v>
      </c>
      <c r="G14" s="134"/>
      <c r="H14" s="3"/>
      <c r="I14" s="3"/>
    </row>
    <row r="15" spans="1:9" ht="21" x14ac:dyDescent="0.35">
      <c r="A15" s="58"/>
      <c r="B15" s="58"/>
      <c r="C15" s="57"/>
      <c r="D15" s="33" t="s">
        <v>13</v>
      </c>
      <c r="E15" s="9"/>
      <c r="F15" s="132">
        <f>SUM(F6:F14)</f>
        <v>140.4</v>
      </c>
      <c r="G15" s="132"/>
      <c r="H15" s="3"/>
      <c r="I15" s="3"/>
    </row>
    <row r="16" spans="1:9" x14ac:dyDescent="0.25">
      <c r="A16" s="61" t="s">
        <v>14</v>
      </c>
      <c r="B16" s="21"/>
      <c r="C16" s="61" t="s">
        <v>20</v>
      </c>
      <c r="D16" s="10">
        <v>0.8</v>
      </c>
      <c r="E16" s="61"/>
      <c r="F16" s="61"/>
      <c r="G16" s="167" t="s">
        <v>21</v>
      </c>
      <c r="H16" s="167"/>
      <c r="I16" s="10">
        <f>Pricing!R1</f>
        <v>0.9</v>
      </c>
    </row>
    <row r="17" spans="1:9" x14ac:dyDescent="0.25">
      <c r="A17" s="21"/>
      <c r="B17" s="61" t="s">
        <v>18</v>
      </c>
      <c r="C17" s="61" t="s">
        <v>19</v>
      </c>
      <c r="D17" s="21"/>
      <c r="E17" s="21"/>
      <c r="F17" s="21"/>
      <c r="G17" s="61" t="s">
        <v>18</v>
      </c>
      <c r="H17" s="61" t="s">
        <v>19</v>
      </c>
      <c r="I17" s="21"/>
    </row>
    <row r="18" spans="1:9" x14ac:dyDescent="0.25">
      <c r="A18" s="21" t="s">
        <v>5</v>
      </c>
      <c r="B18" s="21"/>
      <c r="C18" s="21"/>
      <c r="D18" s="59">
        <f>F15</f>
        <v>140.4</v>
      </c>
      <c r="E18" s="21"/>
      <c r="F18" s="21" t="s">
        <v>5</v>
      </c>
      <c r="G18" s="21"/>
      <c r="H18" s="21"/>
      <c r="I18" s="59">
        <f>F15</f>
        <v>140.4</v>
      </c>
    </row>
    <row r="19" spans="1:9" x14ac:dyDescent="0.25">
      <c r="A19" s="21" t="s">
        <v>17</v>
      </c>
      <c r="B19" s="21"/>
      <c r="C19" s="21"/>
      <c r="D19" s="59">
        <f>D18*0.8</f>
        <v>112.32000000000001</v>
      </c>
      <c r="E19" s="21"/>
      <c r="F19" s="21" t="s">
        <v>17</v>
      </c>
      <c r="G19" s="21"/>
      <c r="H19" s="21"/>
      <c r="I19" s="59">
        <f>I16*F15</f>
        <v>126.36000000000001</v>
      </c>
    </row>
    <row r="20" spans="1:9" x14ac:dyDescent="0.25">
      <c r="A20" s="61" t="s">
        <v>16</v>
      </c>
      <c r="B20" s="5">
        <f>'400'!B20+1</f>
        <v>5</v>
      </c>
      <c r="C20" s="11">
        <f>Pricing!L5</f>
        <v>25</v>
      </c>
      <c r="D20" s="59">
        <f>B20*C20</f>
        <v>125</v>
      </c>
      <c r="E20" s="21"/>
      <c r="F20" s="61" t="s">
        <v>16</v>
      </c>
      <c r="G20" s="5">
        <f>B20</f>
        <v>5</v>
      </c>
      <c r="H20" s="11">
        <f>C20</f>
        <v>25</v>
      </c>
      <c r="I20" s="59">
        <f>G20*H20</f>
        <v>125</v>
      </c>
    </row>
    <row r="21" spans="1:9" x14ac:dyDescent="0.25">
      <c r="A21" s="21" t="s">
        <v>8</v>
      </c>
      <c r="B21" s="21"/>
      <c r="C21" s="21"/>
      <c r="D21" s="59">
        <f>Pricing!M6</f>
        <v>1</v>
      </c>
      <c r="E21" s="21"/>
      <c r="F21" s="21" t="s">
        <v>8</v>
      </c>
      <c r="G21" s="21"/>
      <c r="H21" s="21"/>
      <c r="I21" s="59">
        <f>D21</f>
        <v>1</v>
      </c>
    </row>
    <row r="22" spans="1:9" x14ac:dyDescent="0.25">
      <c r="A22" s="21" t="s">
        <v>9</v>
      </c>
      <c r="B22" s="21"/>
      <c r="C22" s="21"/>
      <c r="D22" s="59">
        <f>Pricing!M7</f>
        <v>25</v>
      </c>
      <c r="E22" s="21"/>
      <c r="F22" s="21" t="s">
        <v>9</v>
      </c>
      <c r="G22" s="21"/>
      <c r="H22" s="21"/>
      <c r="I22" s="59">
        <f>D22</f>
        <v>25</v>
      </c>
    </row>
    <row r="23" spans="1:9" x14ac:dyDescent="0.25">
      <c r="A23" s="14" t="s">
        <v>28</v>
      </c>
      <c r="B23" s="3"/>
      <c r="C23" s="57"/>
      <c r="D23" s="57">
        <f>SUM(D18:D22)</f>
        <v>403.72</v>
      </c>
      <c r="E23" s="3"/>
      <c r="F23" s="14" t="s">
        <v>28</v>
      </c>
      <c r="G23" s="3"/>
      <c r="H23" s="57"/>
      <c r="I23" s="57">
        <f>SUM(I18:I22)</f>
        <v>417.76</v>
      </c>
    </row>
    <row r="24" spans="1:9" x14ac:dyDescent="0.25">
      <c r="A24" s="3" t="s">
        <v>6</v>
      </c>
      <c r="B24" s="3"/>
      <c r="C24" s="57"/>
      <c r="D24" s="57">
        <f>D23*0.075268</f>
        <v>30.387196960000004</v>
      </c>
      <c r="E24" s="3"/>
      <c r="F24" s="3" t="s">
        <v>6</v>
      </c>
      <c r="G24" s="3"/>
      <c r="H24" s="57"/>
      <c r="I24" s="57">
        <f>I23*0.075268</f>
        <v>31.443959679999999</v>
      </c>
    </row>
    <row r="25" spans="1:9" x14ac:dyDescent="0.25">
      <c r="A25" s="3" t="s">
        <v>29</v>
      </c>
      <c r="B25" s="3"/>
      <c r="C25" s="57"/>
      <c r="D25" s="57">
        <f>D23+D24</f>
        <v>434.10719696000001</v>
      </c>
      <c r="E25" s="3"/>
      <c r="F25" s="3" t="s">
        <v>29</v>
      </c>
      <c r="G25" s="3"/>
      <c r="H25" s="57"/>
      <c r="I25" s="57">
        <f>I23+I24</f>
        <v>449.20395967999997</v>
      </c>
    </row>
    <row r="26" spans="1:9" x14ac:dyDescent="0.25">
      <c r="A26" s="3" t="s">
        <v>7</v>
      </c>
      <c r="B26" s="3"/>
      <c r="C26" s="57"/>
      <c r="D26" s="57">
        <f>(D25*B3)/(1+(-1*B3))</f>
        <v>108.52679924</v>
      </c>
      <c r="E26" s="3"/>
      <c r="F26" s="3" t="s">
        <v>7</v>
      </c>
      <c r="G26" s="3"/>
      <c r="H26" s="57"/>
      <c r="I26" s="57">
        <f>(I25*B3)/(1+(-1*B3))</f>
        <v>112.30098991999999</v>
      </c>
    </row>
    <row r="27" spans="1:9" x14ac:dyDescent="0.25">
      <c r="A27" s="3"/>
      <c r="B27" s="3"/>
      <c r="C27" s="57"/>
      <c r="D27" s="57"/>
      <c r="E27" s="3"/>
      <c r="F27" s="3"/>
      <c r="G27" s="3"/>
      <c r="H27" s="57"/>
      <c r="I27" s="57"/>
    </row>
    <row r="28" spans="1:9" ht="18.75" x14ac:dyDescent="0.25">
      <c r="A28" s="15" t="s">
        <v>10</v>
      </c>
      <c r="B28" s="15"/>
      <c r="C28" s="16"/>
      <c r="D28" s="35">
        <f>D25+D26</f>
        <v>542.63399619999996</v>
      </c>
      <c r="E28" s="15"/>
      <c r="F28" s="15" t="s">
        <v>10</v>
      </c>
      <c r="G28" s="15"/>
      <c r="H28" s="16"/>
      <c r="I28" s="16">
        <f>I25+I26</f>
        <v>561.50494959999992</v>
      </c>
    </row>
    <row r="29" spans="1:9" ht="18.75" x14ac:dyDescent="0.3">
      <c r="A29" s="33" t="s">
        <v>29</v>
      </c>
      <c r="B29" s="33"/>
      <c r="C29" s="8"/>
      <c r="D29" s="36">
        <f>D25</f>
        <v>434.10719696000001</v>
      </c>
      <c r="E29" s="33"/>
      <c r="F29" s="33" t="s">
        <v>29</v>
      </c>
      <c r="G29" s="33"/>
      <c r="H29" s="8"/>
      <c r="I29" s="8">
        <f>I25</f>
        <v>449.20395967999997</v>
      </c>
    </row>
    <row r="30" spans="1:9" x14ac:dyDescent="0.25">
      <c r="A30" s="3"/>
      <c r="B30" s="3"/>
      <c r="C30" s="57"/>
      <c r="D30" s="57"/>
      <c r="E30" s="3"/>
      <c r="F30" s="3"/>
      <c r="G30" s="3"/>
      <c r="H30" s="57"/>
      <c r="I30" s="57"/>
    </row>
    <row r="31" spans="1:9" x14ac:dyDescent="0.25">
      <c r="A31" s="58" t="s">
        <v>11</v>
      </c>
      <c r="B31" s="58"/>
      <c r="C31" s="4"/>
      <c r="D31" s="4">
        <f>SUM(-1*D18+-1*D21+-1*D22+D23+-1*D20)</f>
        <v>112.32000000000002</v>
      </c>
      <c r="E31" s="58"/>
      <c r="F31" s="58" t="s">
        <v>11</v>
      </c>
      <c r="G31" s="58"/>
      <c r="H31" s="4"/>
      <c r="I31" s="4">
        <f>SUM(-1*I18+-1*I21+-1*I22+I23+-1*I20)</f>
        <v>126.35999999999999</v>
      </c>
    </row>
    <row r="32" spans="1:9" x14ac:dyDescent="0.25">
      <c r="A32" s="58" t="s">
        <v>33</v>
      </c>
      <c r="B32" s="3"/>
      <c r="C32" s="3"/>
      <c r="D32" s="57">
        <f>D29+(-1*F15)</f>
        <v>293.70719696000003</v>
      </c>
      <c r="E32" s="3"/>
      <c r="F32" s="58" t="s">
        <v>33</v>
      </c>
      <c r="G32" s="3"/>
      <c r="H32" s="3"/>
      <c r="I32" s="57">
        <f>I29+(-1*F15)</f>
        <v>308.80395967999993</v>
      </c>
    </row>
    <row r="33" spans="1:9" x14ac:dyDescent="0.25">
      <c r="A33" s="58" t="s">
        <v>12</v>
      </c>
      <c r="B33" s="58"/>
      <c r="C33" s="17"/>
      <c r="D33" s="17">
        <f>(D31/D18)*1</f>
        <v>0.80000000000000016</v>
      </c>
      <c r="E33" s="58"/>
      <c r="F33" s="58" t="s">
        <v>12</v>
      </c>
      <c r="G33" s="58"/>
      <c r="H33" s="17"/>
      <c r="I33" s="17">
        <f>(I31/I18)*1</f>
        <v>0.89999999999999991</v>
      </c>
    </row>
    <row r="34" spans="1:9" x14ac:dyDescent="0.25">
      <c r="A34" s="40"/>
      <c r="B34" s="40"/>
      <c r="C34" s="39"/>
      <c r="D34" s="40"/>
      <c r="E34" s="40"/>
      <c r="F34" s="40"/>
      <c r="G34" s="40"/>
      <c r="H34" s="40"/>
      <c r="I34" s="40"/>
    </row>
  </sheetData>
  <sheetProtection algorithmName="SHA-512" hashValue="8YjRMCjdQ6RfpKXMfDvVjsxnVymF19Z/NVFcG6yrSxH0n/jEtPuFilCeSPcunJ0kyjG+TLslJpNvz0e0cApzvA==" saltValue="JG8usa1Vq0dHCrhjc+ZFXA==" spinCount="100000" sheet="1" objects="1" scenarios="1"/>
  <mergeCells count="13">
    <mergeCell ref="G16:H16"/>
    <mergeCell ref="F10:G10"/>
    <mergeCell ref="F11:G11"/>
    <mergeCell ref="F12:G12"/>
    <mergeCell ref="F13:G13"/>
    <mergeCell ref="F14:G14"/>
    <mergeCell ref="F15:G15"/>
    <mergeCell ref="F9:G9"/>
    <mergeCell ref="B1:I1"/>
    <mergeCell ref="F5:G5"/>
    <mergeCell ref="F6:G6"/>
    <mergeCell ref="F7:G7"/>
    <mergeCell ref="F8:G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550E7-679C-8A4D-A2C6-E6037D16F579}">
  <dimension ref="A1:I34"/>
  <sheetViews>
    <sheetView workbookViewId="0">
      <selection activeCell="G26" sqref="G26"/>
    </sheetView>
  </sheetViews>
  <sheetFormatPr defaultColWidth="10.875" defaultRowHeight="15.75" x14ac:dyDescent="0.25"/>
  <cols>
    <col min="1" max="1" width="15.375" style="63" customWidth="1"/>
    <col min="2" max="16384" width="10.875" style="63"/>
  </cols>
  <sheetData>
    <row r="1" spans="1:9" ht="21" x14ac:dyDescent="0.35">
      <c r="A1" s="1" t="s">
        <v>22</v>
      </c>
      <c r="B1" s="165" t="str">
        <f>Pricing!C1</f>
        <v>Tramadol</v>
      </c>
      <c r="C1" s="165"/>
      <c r="D1" s="165"/>
      <c r="E1" s="165"/>
      <c r="F1" s="165"/>
      <c r="G1" s="165"/>
      <c r="H1" s="165"/>
      <c r="I1" s="165"/>
    </row>
    <row r="2" spans="1:9" ht="21" x14ac:dyDescent="0.35">
      <c r="A2" s="1" t="s">
        <v>15</v>
      </c>
      <c r="B2" s="32">
        <v>500</v>
      </c>
      <c r="C2" s="62" t="s">
        <v>25</v>
      </c>
      <c r="D2" s="20"/>
      <c r="E2" s="20"/>
      <c r="F2" s="20"/>
      <c r="G2" s="20"/>
      <c r="H2" s="20"/>
      <c r="I2" s="20"/>
    </row>
    <row r="3" spans="1:9" ht="21" x14ac:dyDescent="0.35">
      <c r="A3" s="19" t="str">
        <f>Pricing!B3</f>
        <v>Rebate</v>
      </c>
      <c r="B3" s="38">
        <f>Pricing!C3</f>
        <v>0.2</v>
      </c>
      <c r="C3" s="57"/>
      <c r="D3" s="3"/>
      <c r="E3" s="3"/>
      <c r="F3" s="3"/>
      <c r="G3" s="3"/>
      <c r="H3" s="3"/>
      <c r="I3" s="3"/>
    </row>
    <row r="4" spans="1:9" x14ac:dyDescent="0.25">
      <c r="A4" s="3"/>
      <c r="B4" s="3"/>
      <c r="C4" s="57"/>
      <c r="D4" s="3"/>
      <c r="E4" s="3"/>
      <c r="F4" s="3"/>
      <c r="G4" s="3"/>
      <c r="H4" s="3"/>
      <c r="I4" s="3"/>
    </row>
    <row r="5" spans="1:9" ht="18.75" x14ac:dyDescent="0.3">
      <c r="A5" s="58"/>
      <c r="B5" s="58" t="s">
        <v>0</v>
      </c>
      <c r="C5" s="4" t="s">
        <v>1</v>
      </c>
      <c r="D5" s="58" t="s">
        <v>2</v>
      </c>
      <c r="E5" s="58" t="s">
        <v>3</v>
      </c>
      <c r="F5" s="135" t="s">
        <v>4</v>
      </c>
      <c r="G5" s="135"/>
      <c r="H5" s="58"/>
      <c r="I5" s="33"/>
    </row>
    <row r="6" spans="1:9" ht="18.75" x14ac:dyDescent="0.3">
      <c r="A6" s="61" t="str">
        <f>Pricing!B6</f>
        <v>Tramadol</v>
      </c>
      <c r="B6" s="5">
        <f>Pricing!C6</f>
        <v>100</v>
      </c>
      <c r="C6" s="59">
        <f>Pricing!D6</f>
        <v>480</v>
      </c>
      <c r="D6" s="30">
        <f>Pricing!E6</f>
        <v>0.06</v>
      </c>
      <c r="E6" s="6">
        <f>B2*D6</f>
        <v>30</v>
      </c>
      <c r="F6" s="134">
        <f t="shared" ref="F6:F14" si="0">(C6/B6)*E6</f>
        <v>144</v>
      </c>
      <c r="G6" s="134"/>
      <c r="H6" s="3"/>
      <c r="I6" s="33"/>
    </row>
    <row r="7" spans="1:9" ht="18.75" x14ac:dyDescent="0.3">
      <c r="A7" s="61">
        <f>Pricing!B7</f>
        <v>0</v>
      </c>
      <c r="B7" s="5">
        <f>Pricing!C7</f>
        <v>1</v>
      </c>
      <c r="C7" s="59">
        <f>Pricing!D7</f>
        <v>0</v>
      </c>
      <c r="D7" s="30">
        <f>Pricing!E7</f>
        <v>1.4999999999999999E-4</v>
      </c>
      <c r="E7" s="6">
        <f>B2*D7</f>
        <v>7.4999999999999997E-2</v>
      </c>
      <c r="F7" s="134">
        <f t="shared" si="0"/>
        <v>0</v>
      </c>
      <c r="G7" s="134"/>
      <c r="H7" s="3"/>
      <c r="I7" s="33"/>
    </row>
    <row r="8" spans="1:9" ht="18.75" x14ac:dyDescent="0.3">
      <c r="A8" s="61">
        <f>Pricing!B8</f>
        <v>0</v>
      </c>
      <c r="B8" s="5">
        <f>Pricing!C8</f>
        <v>1</v>
      </c>
      <c r="C8" s="59">
        <f>Pricing!D8</f>
        <v>0</v>
      </c>
      <c r="D8" s="30">
        <f>Pricing!E8</f>
        <v>1.4999999999999999E-4</v>
      </c>
      <c r="E8" s="6">
        <f>B2*D8</f>
        <v>7.4999999999999997E-2</v>
      </c>
      <c r="F8" s="134">
        <f t="shared" si="0"/>
        <v>0</v>
      </c>
      <c r="G8" s="134"/>
      <c r="H8" s="3"/>
      <c r="I8" s="33"/>
    </row>
    <row r="9" spans="1:9" x14ac:dyDescent="0.25">
      <c r="A9" s="61">
        <f>Pricing!B9</f>
        <v>0</v>
      </c>
      <c r="B9" s="5">
        <f>Pricing!C9</f>
        <v>1</v>
      </c>
      <c r="C9" s="59">
        <f>Pricing!D9</f>
        <v>0</v>
      </c>
      <c r="D9" s="30">
        <f>Pricing!E9</f>
        <v>0.22500000000000001</v>
      </c>
      <c r="E9" s="6">
        <f>B2*D9</f>
        <v>112.5</v>
      </c>
      <c r="F9" s="134">
        <f t="shared" si="0"/>
        <v>0</v>
      </c>
      <c r="G9" s="134"/>
      <c r="H9" s="3"/>
      <c r="I9" s="3"/>
    </row>
    <row r="10" spans="1:9" x14ac:dyDescent="0.25">
      <c r="A10" s="61">
        <f>Pricing!B10</f>
        <v>0</v>
      </c>
      <c r="B10" s="5">
        <f>Pricing!C10</f>
        <v>1</v>
      </c>
      <c r="C10" s="59">
        <f>Pricing!D10</f>
        <v>0</v>
      </c>
      <c r="D10" s="30">
        <f>Pricing!E10</f>
        <v>4.3999999999999997E-2</v>
      </c>
      <c r="E10" s="6">
        <f>B2*D10</f>
        <v>22</v>
      </c>
      <c r="F10" s="134">
        <f t="shared" si="0"/>
        <v>0</v>
      </c>
      <c r="G10" s="134"/>
      <c r="H10" s="3"/>
      <c r="I10" s="3"/>
    </row>
    <row r="11" spans="1:9" x14ac:dyDescent="0.25">
      <c r="A11" s="61" t="str">
        <f>Pricing!B11</f>
        <v>Capsule</v>
      </c>
      <c r="B11" s="5">
        <f>Pricing!C11</f>
        <v>1000</v>
      </c>
      <c r="C11" s="59">
        <f>Pricing!D11</f>
        <v>24</v>
      </c>
      <c r="D11" s="30">
        <f>Pricing!E11</f>
        <v>1</v>
      </c>
      <c r="E11" s="6">
        <f>B2*D11</f>
        <v>500</v>
      </c>
      <c r="F11" s="134">
        <f t="shared" si="0"/>
        <v>12</v>
      </c>
      <c r="G11" s="134"/>
      <c r="H11" s="3"/>
      <c r="I11" s="3"/>
    </row>
    <row r="12" spans="1:9" x14ac:dyDescent="0.25">
      <c r="A12" s="61">
        <f>Pricing!B12</f>
        <v>0</v>
      </c>
      <c r="B12" s="5">
        <f>Pricing!C12</f>
        <v>1</v>
      </c>
      <c r="C12" s="59">
        <f>Pricing!D12</f>
        <v>0</v>
      </c>
      <c r="D12" s="30">
        <f>Pricing!E12</f>
        <v>0</v>
      </c>
      <c r="E12" s="6">
        <f>B2*D12</f>
        <v>0</v>
      </c>
      <c r="F12" s="134">
        <f t="shared" si="0"/>
        <v>0</v>
      </c>
      <c r="G12" s="134"/>
      <c r="H12" s="3"/>
      <c r="I12" s="3"/>
    </row>
    <row r="13" spans="1:9" x14ac:dyDescent="0.25">
      <c r="A13" s="61">
        <f>Pricing!B13</f>
        <v>0</v>
      </c>
      <c r="B13" s="5">
        <f>Pricing!C13</f>
        <v>1</v>
      </c>
      <c r="C13" s="59">
        <f>Pricing!D13</f>
        <v>0</v>
      </c>
      <c r="D13" s="30">
        <f>Pricing!E13</f>
        <v>0</v>
      </c>
      <c r="E13" s="6">
        <f>B2*D13</f>
        <v>0</v>
      </c>
      <c r="F13" s="134">
        <f t="shared" si="0"/>
        <v>0</v>
      </c>
      <c r="G13" s="134"/>
      <c r="H13" s="3"/>
      <c r="I13" s="3"/>
    </row>
    <row r="14" spans="1:9" x14ac:dyDescent="0.25">
      <c r="A14" s="61">
        <f>Pricing!B14</f>
        <v>0</v>
      </c>
      <c r="B14" s="5">
        <f>Pricing!C14</f>
        <v>1</v>
      </c>
      <c r="C14" s="59">
        <f>Pricing!D14</f>
        <v>0</v>
      </c>
      <c r="D14" s="30">
        <f>Pricing!E14</f>
        <v>0</v>
      </c>
      <c r="E14" s="6">
        <f>B2*D14</f>
        <v>0</v>
      </c>
      <c r="F14" s="134">
        <f t="shared" si="0"/>
        <v>0</v>
      </c>
      <c r="G14" s="134"/>
      <c r="H14" s="3"/>
      <c r="I14" s="3"/>
    </row>
    <row r="15" spans="1:9" ht="21" x14ac:dyDescent="0.35">
      <c r="A15" s="58"/>
      <c r="B15" s="58"/>
      <c r="C15" s="57"/>
      <c r="D15" s="33" t="s">
        <v>13</v>
      </c>
      <c r="E15" s="9"/>
      <c r="F15" s="132">
        <f>SUM(F6:F14)</f>
        <v>156</v>
      </c>
      <c r="G15" s="132"/>
      <c r="H15" s="3"/>
      <c r="I15" s="3"/>
    </row>
    <row r="16" spans="1:9" x14ac:dyDescent="0.25">
      <c r="A16" s="61" t="s">
        <v>14</v>
      </c>
      <c r="B16" s="21"/>
      <c r="C16" s="61" t="s">
        <v>20</v>
      </c>
      <c r="D16" s="10">
        <v>0.8</v>
      </c>
      <c r="E16" s="61"/>
      <c r="F16" s="61"/>
      <c r="G16" s="167" t="s">
        <v>21</v>
      </c>
      <c r="H16" s="167"/>
      <c r="I16" s="10">
        <f>Pricing!R1</f>
        <v>0.9</v>
      </c>
    </row>
    <row r="17" spans="1:9" x14ac:dyDescent="0.25">
      <c r="A17" s="21"/>
      <c r="B17" s="61" t="s">
        <v>18</v>
      </c>
      <c r="C17" s="61" t="s">
        <v>19</v>
      </c>
      <c r="D17" s="21"/>
      <c r="E17" s="21"/>
      <c r="F17" s="21"/>
      <c r="G17" s="61" t="s">
        <v>18</v>
      </c>
      <c r="H17" s="61" t="s">
        <v>19</v>
      </c>
      <c r="I17" s="21"/>
    </row>
    <row r="18" spans="1:9" x14ac:dyDescent="0.25">
      <c r="A18" s="21" t="s">
        <v>5</v>
      </c>
      <c r="B18" s="21"/>
      <c r="C18" s="21"/>
      <c r="D18" s="59">
        <f>F15</f>
        <v>156</v>
      </c>
      <c r="E18" s="21"/>
      <c r="F18" s="21" t="s">
        <v>5</v>
      </c>
      <c r="G18" s="21"/>
      <c r="H18" s="21"/>
      <c r="I18" s="59">
        <f>F15</f>
        <v>156</v>
      </c>
    </row>
    <row r="19" spans="1:9" x14ac:dyDescent="0.25">
      <c r="A19" s="21" t="s">
        <v>17</v>
      </c>
      <c r="B19" s="21"/>
      <c r="C19" s="21"/>
      <c r="D19" s="59">
        <f>D18*0.8</f>
        <v>124.80000000000001</v>
      </c>
      <c r="E19" s="21"/>
      <c r="F19" s="21" t="s">
        <v>17</v>
      </c>
      <c r="G19" s="21"/>
      <c r="H19" s="21"/>
      <c r="I19" s="59">
        <f>I16*F15</f>
        <v>140.4</v>
      </c>
    </row>
    <row r="20" spans="1:9" x14ac:dyDescent="0.25">
      <c r="A20" s="61" t="s">
        <v>16</v>
      </c>
      <c r="B20" s="5">
        <f>'450'!B20</f>
        <v>5</v>
      </c>
      <c r="C20" s="11">
        <f>Pricing!L5</f>
        <v>25</v>
      </c>
      <c r="D20" s="59">
        <f>B20*C20</f>
        <v>125</v>
      </c>
      <c r="E20" s="21"/>
      <c r="F20" s="61" t="s">
        <v>16</v>
      </c>
      <c r="G20" s="5">
        <f>B20</f>
        <v>5</v>
      </c>
      <c r="H20" s="11">
        <f>C20</f>
        <v>25</v>
      </c>
      <c r="I20" s="59">
        <f>G20*H20</f>
        <v>125</v>
      </c>
    </row>
    <row r="21" spans="1:9" x14ac:dyDescent="0.25">
      <c r="A21" s="21" t="s">
        <v>8</v>
      </c>
      <c r="B21" s="21"/>
      <c r="C21" s="21"/>
      <c r="D21" s="59">
        <f>Pricing!M6</f>
        <v>1</v>
      </c>
      <c r="E21" s="21"/>
      <c r="F21" s="21" t="s">
        <v>8</v>
      </c>
      <c r="G21" s="21"/>
      <c r="H21" s="21"/>
      <c r="I21" s="59">
        <f>D21</f>
        <v>1</v>
      </c>
    </row>
    <row r="22" spans="1:9" x14ac:dyDescent="0.25">
      <c r="A22" s="21" t="s">
        <v>9</v>
      </c>
      <c r="B22" s="21"/>
      <c r="C22" s="21"/>
      <c r="D22" s="59">
        <f>Pricing!M7</f>
        <v>25</v>
      </c>
      <c r="E22" s="21"/>
      <c r="F22" s="21" t="s">
        <v>9</v>
      </c>
      <c r="G22" s="21"/>
      <c r="H22" s="21"/>
      <c r="I22" s="59">
        <f>D22</f>
        <v>25</v>
      </c>
    </row>
    <row r="23" spans="1:9" x14ac:dyDescent="0.25">
      <c r="A23" s="14" t="s">
        <v>28</v>
      </c>
      <c r="B23" s="3"/>
      <c r="C23" s="57"/>
      <c r="D23" s="57">
        <f>SUM(D18:D22)</f>
        <v>431.8</v>
      </c>
      <c r="E23" s="3"/>
      <c r="F23" s="14" t="s">
        <v>28</v>
      </c>
      <c r="G23" s="3"/>
      <c r="H23" s="57"/>
      <c r="I23" s="57">
        <f>SUM(I18:I22)</f>
        <v>447.4</v>
      </c>
    </row>
    <row r="24" spans="1:9" x14ac:dyDescent="0.25">
      <c r="A24" s="3" t="s">
        <v>6</v>
      </c>
      <c r="B24" s="3"/>
      <c r="C24" s="57"/>
      <c r="D24" s="57">
        <f>D23*0.075268</f>
        <v>32.500722400000001</v>
      </c>
      <c r="E24" s="3"/>
      <c r="F24" s="3" t="s">
        <v>6</v>
      </c>
      <c r="G24" s="3"/>
      <c r="H24" s="57"/>
      <c r="I24" s="57">
        <f>I23*0.075268</f>
        <v>33.674903199999996</v>
      </c>
    </row>
    <row r="25" spans="1:9" x14ac:dyDescent="0.25">
      <c r="A25" s="3" t="s">
        <v>29</v>
      </c>
      <c r="B25" s="3"/>
      <c r="C25" s="57"/>
      <c r="D25" s="57">
        <f>D23+D24</f>
        <v>464.30072240000004</v>
      </c>
      <c r="E25" s="3"/>
      <c r="F25" s="3" t="s">
        <v>29</v>
      </c>
      <c r="G25" s="3"/>
      <c r="H25" s="57"/>
      <c r="I25" s="57">
        <f>I23+I24</f>
        <v>481.07490319999999</v>
      </c>
    </row>
    <row r="26" spans="1:9" x14ac:dyDescent="0.25">
      <c r="A26" s="3" t="s">
        <v>7</v>
      </c>
      <c r="B26" s="3"/>
      <c r="C26" s="57"/>
      <c r="D26" s="57">
        <f>(D25*B3)/(1+(-1*B3))</f>
        <v>116.07518060000001</v>
      </c>
      <c r="E26" s="3"/>
      <c r="F26" s="3" t="s">
        <v>7</v>
      </c>
      <c r="G26" s="3"/>
      <c r="H26" s="57"/>
      <c r="I26" s="57">
        <f>(I25*B3)/(1+(-1*B3))</f>
        <v>120.2687258</v>
      </c>
    </row>
    <row r="27" spans="1:9" x14ac:dyDescent="0.25">
      <c r="A27" s="3"/>
      <c r="B27" s="3"/>
      <c r="C27" s="57"/>
      <c r="D27" s="57"/>
      <c r="E27" s="3"/>
      <c r="F27" s="3"/>
      <c r="G27" s="3"/>
      <c r="H27" s="57"/>
      <c r="I27" s="57"/>
    </row>
    <row r="28" spans="1:9" ht="18.75" x14ac:dyDescent="0.25">
      <c r="A28" s="15" t="s">
        <v>10</v>
      </c>
      <c r="B28" s="15"/>
      <c r="C28" s="16"/>
      <c r="D28" s="35">
        <f>D25+D26</f>
        <v>580.37590300000011</v>
      </c>
      <c r="E28" s="15"/>
      <c r="F28" s="15" t="s">
        <v>10</v>
      </c>
      <c r="G28" s="15"/>
      <c r="H28" s="16"/>
      <c r="I28" s="16">
        <f>I25+I26</f>
        <v>601.34362899999996</v>
      </c>
    </row>
    <row r="29" spans="1:9" ht="18.75" x14ac:dyDescent="0.3">
      <c r="A29" s="33" t="s">
        <v>29</v>
      </c>
      <c r="B29" s="33"/>
      <c r="C29" s="8"/>
      <c r="D29" s="36">
        <f>D25</f>
        <v>464.30072240000004</v>
      </c>
      <c r="E29" s="33"/>
      <c r="F29" s="33" t="s">
        <v>29</v>
      </c>
      <c r="G29" s="33"/>
      <c r="H29" s="8"/>
      <c r="I29" s="8">
        <f>I25</f>
        <v>481.07490319999999</v>
      </c>
    </row>
    <row r="30" spans="1:9" x14ac:dyDescent="0.25">
      <c r="A30" s="3"/>
      <c r="B30" s="3"/>
      <c r="C30" s="57"/>
      <c r="D30" s="57"/>
      <c r="E30" s="3"/>
      <c r="F30" s="3"/>
      <c r="G30" s="3"/>
      <c r="H30" s="57"/>
      <c r="I30" s="57"/>
    </row>
    <row r="31" spans="1:9" x14ac:dyDescent="0.25">
      <c r="A31" s="58" t="s">
        <v>11</v>
      </c>
      <c r="B31" s="58"/>
      <c r="C31" s="4"/>
      <c r="D31" s="4">
        <f>SUM(-1*D18+-1*D21+-1*D22+D23+-1*D20)</f>
        <v>124.80000000000001</v>
      </c>
      <c r="E31" s="58"/>
      <c r="F31" s="58" t="s">
        <v>11</v>
      </c>
      <c r="G31" s="58"/>
      <c r="H31" s="4"/>
      <c r="I31" s="4">
        <f>SUM(-1*I18+-1*I21+-1*I22+I23+-1*I20)</f>
        <v>140.39999999999998</v>
      </c>
    </row>
    <row r="32" spans="1:9" x14ac:dyDescent="0.25">
      <c r="A32" s="58" t="s">
        <v>33</v>
      </c>
      <c r="B32" s="3"/>
      <c r="C32" s="3"/>
      <c r="D32" s="57">
        <f>D29+(-1*F15)</f>
        <v>308.30072240000004</v>
      </c>
      <c r="E32" s="3"/>
      <c r="F32" s="58" t="s">
        <v>33</v>
      </c>
      <c r="G32" s="3"/>
      <c r="H32" s="3"/>
      <c r="I32" s="57">
        <f>I29+(-1*F15)</f>
        <v>325.07490319999999</v>
      </c>
    </row>
    <row r="33" spans="1:9" x14ac:dyDescent="0.25">
      <c r="A33" s="58" t="s">
        <v>12</v>
      </c>
      <c r="B33" s="58"/>
      <c r="C33" s="17"/>
      <c r="D33" s="17">
        <f>(D31/D18)*1</f>
        <v>0.8</v>
      </c>
      <c r="E33" s="58"/>
      <c r="F33" s="58" t="s">
        <v>12</v>
      </c>
      <c r="G33" s="58"/>
      <c r="H33" s="17"/>
      <c r="I33" s="17">
        <f>(I31/I18)*1</f>
        <v>0.8999999999999998</v>
      </c>
    </row>
    <row r="34" spans="1:9" x14ac:dyDescent="0.25">
      <c r="A34" s="40"/>
      <c r="B34" s="40"/>
      <c r="C34" s="39"/>
      <c r="D34" s="40"/>
      <c r="E34" s="40"/>
      <c r="F34" s="40"/>
      <c r="G34" s="40"/>
      <c r="H34" s="40"/>
      <c r="I34" s="40"/>
    </row>
  </sheetData>
  <sheetProtection algorithmName="SHA-512" hashValue="HZAI4sZl11rbUkzqjzXTgQV0g1g2zf1quKEv1F8z9TNcqdkJ3WSxRNaYawNeLwTZrlO4kusSu7PKWdkItJAm3A==" saltValue="+1+9CSBXQ0OeG6szOuGrCg==" spinCount="100000" sheet="1" objects="1" scenarios="1"/>
  <mergeCells count="13">
    <mergeCell ref="G16:H16"/>
    <mergeCell ref="F10:G10"/>
    <mergeCell ref="F11:G11"/>
    <mergeCell ref="F12:G12"/>
    <mergeCell ref="F13:G13"/>
    <mergeCell ref="F14:G14"/>
    <mergeCell ref="F15:G15"/>
    <mergeCell ref="F9:G9"/>
    <mergeCell ref="B1:I1"/>
    <mergeCell ref="F5:G5"/>
    <mergeCell ref="F6:G6"/>
    <mergeCell ref="F7:G7"/>
    <mergeCell ref="F8:G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A78C5-49E2-EB4A-8E85-CE2DF19B65F4}">
  <sheetPr>
    <pageSetUpPr fitToPage="1"/>
  </sheetPr>
  <dimension ref="A1:S39"/>
  <sheetViews>
    <sheetView tabSelected="1" workbookViewId="0">
      <selection activeCell="B15" sqref="B15"/>
    </sheetView>
  </sheetViews>
  <sheetFormatPr defaultColWidth="8.875" defaultRowHeight="15.75" x14ac:dyDescent="0.25"/>
  <cols>
    <col min="1" max="1" width="18.125" customWidth="1"/>
    <col min="2" max="2" width="23" customWidth="1"/>
    <col min="3" max="3" width="11" customWidth="1"/>
    <col min="4" max="4" width="10.625" customWidth="1"/>
    <col min="5" max="5" width="12.125" customWidth="1"/>
    <col min="6" max="6" width="12.5" customWidth="1"/>
    <col min="7" max="7" width="14.125" customWidth="1"/>
    <col min="8" max="8" width="12.5" customWidth="1"/>
    <col min="9" max="9" width="12.625" customWidth="1"/>
    <col min="10" max="10" width="10.375" customWidth="1"/>
    <col min="11" max="11" width="10" customWidth="1"/>
    <col min="12" max="12" width="8" customWidth="1"/>
    <col min="15" max="15" width="11.625" bestFit="1" customWidth="1"/>
    <col min="16" max="16" width="18.875" customWidth="1"/>
  </cols>
  <sheetData>
    <row r="1" spans="1:19" x14ac:dyDescent="0.25">
      <c r="A1" s="82" t="s">
        <v>111</v>
      </c>
      <c r="B1" s="159" t="str">
        <f>Pricing!B6</f>
        <v>Tramadol</v>
      </c>
      <c r="C1" s="159"/>
      <c r="D1" s="159"/>
      <c r="E1" s="159"/>
      <c r="F1" s="83" t="s">
        <v>112</v>
      </c>
      <c r="G1" s="84">
        <f>Pricing!G1</f>
        <v>60</v>
      </c>
      <c r="H1" s="83" t="s">
        <v>36</v>
      </c>
      <c r="I1" s="160"/>
      <c r="J1" s="160"/>
      <c r="K1" s="85">
        <f>Pricing!B8</f>
        <v>0</v>
      </c>
      <c r="L1" s="83"/>
      <c r="M1" s="83"/>
      <c r="N1" s="83"/>
    </row>
    <row r="2" spans="1:19" ht="17.100000000000001" customHeight="1" x14ac:dyDescent="0.25">
      <c r="A2" s="152" t="s">
        <v>164</v>
      </c>
      <c r="B2" s="159" t="str">
        <f>B11</f>
        <v xml:space="preserve"> </v>
      </c>
      <c r="C2" s="159"/>
      <c r="D2" s="159"/>
      <c r="E2" s="159"/>
      <c r="F2" s="83"/>
      <c r="G2" s="115"/>
      <c r="H2" s="83" t="s">
        <v>36</v>
      </c>
      <c r="I2" s="108"/>
      <c r="J2" s="108"/>
      <c r="K2" s="85"/>
      <c r="L2" s="83"/>
      <c r="M2" s="83"/>
      <c r="N2" s="83"/>
    </row>
    <row r="3" spans="1:19" x14ac:dyDescent="0.25">
      <c r="A3" s="152"/>
      <c r="B3" s="159" t="str">
        <f>B12</f>
        <v xml:space="preserve"> </v>
      </c>
      <c r="C3" s="159"/>
      <c r="D3" s="159"/>
      <c r="E3" s="159"/>
      <c r="F3" s="83"/>
      <c r="G3" s="115">
        <v>0</v>
      </c>
      <c r="H3" s="83" t="s">
        <v>36</v>
      </c>
      <c r="I3" s="108"/>
      <c r="J3" s="108"/>
      <c r="K3" s="85"/>
      <c r="L3" s="83"/>
      <c r="M3" s="83"/>
      <c r="N3" s="83"/>
    </row>
    <row r="4" spans="1:19" x14ac:dyDescent="0.25">
      <c r="A4" s="82" t="s">
        <v>113</v>
      </c>
      <c r="B4" s="161" t="s">
        <v>114</v>
      </c>
      <c r="C4" s="161"/>
      <c r="D4" s="161"/>
      <c r="E4" s="161"/>
      <c r="F4" s="83" t="s">
        <v>115</v>
      </c>
      <c r="G4" s="156">
        <f ca="1">TODAY()</f>
        <v>44270</v>
      </c>
      <c r="H4" s="156"/>
      <c r="I4" s="156"/>
      <c r="J4" s="156"/>
      <c r="K4" s="83"/>
      <c r="L4" s="83"/>
      <c r="M4" s="83"/>
      <c r="N4" s="83"/>
    </row>
    <row r="5" spans="1:19" x14ac:dyDescent="0.25">
      <c r="A5" s="83"/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</row>
    <row r="6" spans="1:19" x14ac:dyDescent="0.25">
      <c r="A6" s="86" t="s">
        <v>116</v>
      </c>
      <c r="B6" s="87">
        <f>Pricing!C2</f>
        <v>200</v>
      </c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</row>
    <row r="7" spans="1:19" ht="16.5" thickBot="1" x14ac:dyDescent="0.3">
      <c r="A7" s="86"/>
      <c r="B7" s="87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</row>
    <row r="8" spans="1:19" ht="17.100000000000001" customHeight="1" thickBot="1" x14ac:dyDescent="0.3">
      <c r="A8" s="153" t="s">
        <v>158</v>
      </c>
      <c r="B8" s="154" t="s">
        <v>137</v>
      </c>
      <c r="C8" s="153" t="s">
        <v>138</v>
      </c>
      <c r="D8" s="153"/>
      <c r="E8" s="153"/>
      <c r="F8" s="153"/>
      <c r="G8" s="153"/>
      <c r="H8" s="153"/>
      <c r="I8" s="155" t="s">
        <v>163</v>
      </c>
      <c r="J8" s="155"/>
      <c r="K8" s="151" t="s">
        <v>139</v>
      </c>
      <c r="L8" s="151"/>
      <c r="M8" s="151" t="s">
        <v>185</v>
      </c>
      <c r="N8" s="151"/>
      <c r="O8" s="139" t="s">
        <v>165</v>
      </c>
      <c r="P8" s="139" t="s">
        <v>192</v>
      </c>
    </row>
    <row r="9" spans="1:19" ht="53.1" customHeight="1" thickBot="1" x14ac:dyDescent="0.3">
      <c r="A9" s="153"/>
      <c r="B9" s="154"/>
      <c r="C9" s="96" t="s">
        <v>186</v>
      </c>
      <c r="D9" s="97" t="s">
        <v>187</v>
      </c>
      <c r="E9" s="96" t="s">
        <v>188</v>
      </c>
      <c r="F9" s="96" t="s">
        <v>189</v>
      </c>
      <c r="G9" s="98" t="s">
        <v>190</v>
      </c>
      <c r="H9" s="98" t="s">
        <v>191</v>
      </c>
      <c r="I9" s="163" t="s">
        <v>140</v>
      </c>
      <c r="J9" s="163"/>
      <c r="K9" s="151"/>
      <c r="L9" s="151"/>
      <c r="M9" s="151"/>
      <c r="N9" s="151"/>
      <c r="O9" s="140"/>
      <c r="P9" s="140"/>
      <c r="Q9" s="110">
        <v>2.5000000000000001E-2</v>
      </c>
    </row>
    <row r="10" spans="1:19" ht="16.5" thickBot="1" x14ac:dyDescent="0.3">
      <c r="A10" s="107" t="s">
        <v>159</v>
      </c>
      <c r="B10" s="116" t="s">
        <v>154</v>
      </c>
      <c r="C10" s="101">
        <f>IFERROR(VLOOKUP(B10,'Ingredients 2'!A3:F34,2,0),0)</f>
        <v>229</v>
      </c>
      <c r="D10" s="101">
        <f>IFERROR(VLOOKUP(B10,'Ingredients 2'!A3:F34,3,0),0)</f>
        <v>216</v>
      </c>
      <c r="E10" s="101">
        <f>IFERROR(VLOOKUP(B10,'Ingredients 2'!A3:D34,4,0),0)</f>
        <v>224</v>
      </c>
      <c r="F10" s="102">
        <f>IFERROR(VLOOKUP(B10,'Ingredients 2'!A3:F34,5,0),0)</f>
        <v>223</v>
      </c>
      <c r="G10" s="102">
        <f>IFERROR(VLOOKUP(B10,'Ingredients 2'!A3:F34,6,0),0)</f>
        <v>221</v>
      </c>
      <c r="H10" s="101">
        <f>AVERAGE(C10:G10)</f>
        <v>222.6</v>
      </c>
      <c r="I10" s="146">
        <f>H10+(-1*H14)</f>
        <v>176</v>
      </c>
      <c r="J10" s="147"/>
      <c r="K10" s="148">
        <f>((G1*100)/I10)</f>
        <v>34.090909090909093</v>
      </c>
      <c r="L10" s="148"/>
      <c r="M10" s="149">
        <f>G1</f>
        <v>60</v>
      </c>
      <c r="N10" s="150"/>
      <c r="O10" s="109">
        <f>(B6*M10)/1000</f>
        <v>12</v>
      </c>
      <c r="P10" s="119">
        <f>O10*(1+Q9)</f>
        <v>12.299999999999999</v>
      </c>
      <c r="Q10" s="78"/>
      <c r="R10" s="77"/>
      <c r="S10" s="78"/>
    </row>
    <row r="11" spans="1:19" ht="16.5" thickBot="1" x14ac:dyDescent="0.3">
      <c r="A11" s="107" t="s">
        <v>159</v>
      </c>
      <c r="B11" s="116" t="s">
        <v>157</v>
      </c>
      <c r="C11" s="101">
        <f>IFERROR(VLOOKUP(B11,'Ingredients 2'!A3:F34,2,0),0)</f>
        <v>0</v>
      </c>
      <c r="D11" s="101">
        <f>IFERROR(VLOOKUP(B11,'Ingredients 2'!A3:F34,3,0),0)</f>
        <v>0</v>
      </c>
      <c r="E11" s="101">
        <f>IFERROR(VLOOKUP(B11,'Ingredients 2'!A3:D34,4,0),0)</f>
        <v>0</v>
      </c>
      <c r="F11" s="102">
        <f>IFERROR(VLOOKUP(B11,'Ingredients 2'!A3:F34,5,0),0)</f>
        <v>0</v>
      </c>
      <c r="G11" s="102">
        <f>IFERROR(VLOOKUP(B11,'Ingredients 2'!A3:F34,6,0),0)</f>
        <v>0</v>
      </c>
      <c r="H11" s="101">
        <f>AVERAGE(C11:G11)</f>
        <v>0</v>
      </c>
      <c r="I11" s="146">
        <f>(H11+(-1*H14))</f>
        <v>-46.6</v>
      </c>
      <c r="J11" s="147"/>
      <c r="K11" s="148">
        <f>IFERROR(((G2*100)/H11),0)</f>
        <v>0</v>
      </c>
      <c r="L11" s="148"/>
      <c r="M11" s="149">
        <f>G2</f>
        <v>0</v>
      </c>
      <c r="N11" s="150"/>
      <c r="O11" s="109">
        <f>(B6*M11)/1000</f>
        <v>0</v>
      </c>
      <c r="P11" s="119">
        <f>O11*(1+Q9)</f>
        <v>0</v>
      </c>
      <c r="Q11" s="78"/>
      <c r="R11" s="77"/>
      <c r="S11" s="78"/>
    </row>
    <row r="12" spans="1:19" ht="16.5" thickBot="1" x14ac:dyDescent="0.3">
      <c r="A12" s="107" t="s">
        <v>159</v>
      </c>
      <c r="B12" s="116" t="s">
        <v>157</v>
      </c>
      <c r="C12" s="101">
        <f>IFERROR(VLOOKUP(B12,'Ingredients 2'!A3:F34,2,0),0)</f>
        <v>0</v>
      </c>
      <c r="D12" s="101">
        <f>IFERROR(VLOOKUP(B12,'Ingredients 2'!A3:F34,3,0),0)</f>
        <v>0</v>
      </c>
      <c r="E12" s="101">
        <f>IFERROR(VLOOKUP(B12,'Ingredients 2'!A3:D34,4,0),0)</f>
        <v>0</v>
      </c>
      <c r="F12" s="102">
        <f>IFERROR(VLOOKUP(B12,'Ingredients 2'!A3:F34,5,0),0)</f>
        <v>0</v>
      </c>
      <c r="G12" s="102">
        <f>IFERROR(VLOOKUP(B12,'Ingredients 2'!A3:F34,6,0),0)</f>
        <v>0</v>
      </c>
      <c r="H12" s="101">
        <f>AVERAGE(C12:G12)</f>
        <v>0</v>
      </c>
      <c r="I12" s="146">
        <f>(H12+(-1*H14))</f>
        <v>-46.6</v>
      </c>
      <c r="J12" s="147"/>
      <c r="K12" s="148">
        <f>IFERROR(((G3*100)/H12),0)</f>
        <v>0</v>
      </c>
      <c r="L12" s="148"/>
      <c r="M12" s="149">
        <f>G3</f>
        <v>0</v>
      </c>
      <c r="N12" s="150"/>
      <c r="O12" s="109">
        <f>(B6*M12)/1000</f>
        <v>0</v>
      </c>
      <c r="P12" s="119">
        <f>O12*(1+Q9)</f>
        <v>0</v>
      </c>
      <c r="Q12" s="78"/>
      <c r="R12" s="77"/>
      <c r="S12" s="78"/>
    </row>
    <row r="13" spans="1:19" ht="16.5" thickBot="1" x14ac:dyDescent="0.3">
      <c r="A13" s="107" t="s">
        <v>160</v>
      </c>
      <c r="B13" s="117" t="s">
        <v>146</v>
      </c>
      <c r="C13" s="101">
        <f>IFERROR(VLOOKUP(B13,'Ingredients 2'!A3:F34,2,0),0)</f>
        <v>171</v>
      </c>
      <c r="D13" s="101">
        <f>IFERROR(VLOOKUP(B13,'Ingredients 2'!A3:F34,3,0),0)</f>
        <v>177</v>
      </c>
      <c r="E13" s="101">
        <f>IFERROR(VLOOKUP(B13,'Ingredients 2'!A4:D34,4,0),0)</f>
        <v>178</v>
      </c>
      <c r="F13" s="101">
        <f>IFERROR(VLOOKUP(B13,'Ingredients 2'!A3:F34,5,0),0)</f>
        <v>173</v>
      </c>
      <c r="G13" s="105">
        <f>IFERROR(VLOOKUP(B13,'Ingredients 2'!A3:F34,6,0),0)</f>
        <v>177</v>
      </c>
      <c r="H13" s="123">
        <f>AVERAGE(C13:G13)</f>
        <v>175.2</v>
      </c>
      <c r="I13" s="146">
        <f>(H13+(-1*H14))</f>
        <v>128.6</v>
      </c>
      <c r="J13" s="147"/>
      <c r="K13" s="149">
        <f>SUM(100+(-1*(K10+K11+K12)))</f>
        <v>65.909090909090907</v>
      </c>
      <c r="L13" s="149"/>
      <c r="M13" s="149">
        <f>(K13*I13)/100</f>
        <v>84.759090909090901</v>
      </c>
      <c r="N13" s="149"/>
      <c r="O13" s="109">
        <f>(B6*M13)/1000</f>
        <v>16.951818181818179</v>
      </c>
      <c r="P13" s="119">
        <f>O13*(1+Q9)</f>
        <v>17.375613636363632</v>
      </c>
      <c r="Q13" s="78"/>
      <c r="R13" s="77"/>
      <c r="S13" s="78"/>
    </row>
    <row r="14" spans="1:19" s="79" customFormat="1" ht="16.5" thickBot="1" x14ac:dyDescent="0.3">
      <c r="A14" s="106" t="s">
        <v>162</v>
      </c>
      <c r="B14" s="118" t="s">
        <v>124</v>
      </c>
      <c r="C14" s="106">
        <f>IFERROR(VLOOKUP(B14,'Ingredients 2'!A3:F34,2,0),0)</f>
        <v>46</v>
      </c>
      <c r="D14" s="106">
        <f>IFERROR(VLOOKUP(B14,'Ingredients 2'!A3:F34,3,0),0)</f>
        <v>46</v>
      </c>
      <c r="E14" s="106">
        <f>IFERROR(VLOOKUP(B14,'Ingredients 2'!A3:D34,4,0),0)</f>
        <v>47</v>
      </c>
      <c r="F14" s="106">
        <f>IFERROR(VLOOKUP(B14,'Ingredients 2'!A3:F34,5,0),0)</f>
        <v>47</v>
      </c>
      <c r="G14" s="106">
        <f>IFERROR(VLOOKUP(B14,'Ingredients 2'!A3:F34,6,0),0)</f>
        <v>47</v>
      </c>
      <c r="H14" s="106">
        <f>AVERAGE(C14:G14)</f>
        <v>46.6</v>
      </c>
      <c r="I14" s="144" t="s">
        <v>118</v>
      </c>
      <c r="J14" s="145"/>
      <c r="K14" s="144"/>
      <c r="L14" s="145"/>
      <c r="M14" s="144">
        <v>1</v>
      </c>
      <c r="N14" s="145"/>
      <c r="O14" s="109">
        <f>B6</f>
        <v>200</v>
      </c>
      <c r="P14" s="120">
        <f>B6</f>
        <v>200</v>
      </c>
      <c r="Q14" s="78"/>
      <c r="R14" s="77"/>
      <c r="S14" s="78"/>
    </row>
    <row r="15" spans="1:19" x14ac:dyDescent="0.25">
      <c r="A15" s="86"/>
      <c r="K15" s="142" t="s">
        <v>167</v>
      </c>
      <c r="L15" s="142"/>
      <c r="M15" s="142"/>
      <c r="N15" s="142"/>
      <c r="O15" s="111">
        <f>(O10+O11+O12+O13)</f>
        <v>28.951818181818179</v>
      </c>
      <c r="P15" s="86"/>
      <c r="Q15" s="78"/>
      <c r="R15" s="78"/>
      <c r="S15" s="78"/>
    </row>
    <row r="16" spans="1:19" x14ac:dyDescent="0.25">
      <c r="A16" s="160" t="s">
        <v>119</v>
      </c>
      <c r="B16" s="160"/>
      <c r="C16" s="80">
        <f>(G1+G2+G3+M13+H14)</f>
        <v>191.3590909090909</v>
      </c>
      <c r="D16" s="76" t="s">
        <v>36</v>
      </c>
      <c r="R16" s="78"/>
      <c r="S16" s="78"/>
    </row>
    <row r="17" spans="1:19" x14ac:dyDescent="0.25">
      <c r="A17" s="143" t="s">
        <v>120</v>
      </c>
      <c r="B17" s="143"/>
      <c r="C17" s="112" t="s">
        <v>121</v>
      </c>
      <c r="D17" s="87">
        <f>C16*0.95</f>
        <v>181.79113636363635</v>
      </c>
      <c r="E17" s="89" t="s">
        <v>122</v>
      </c>
      <c r="F17" s="87">
        <f>C16*1.05</f>
        <v>200.92704545454544</v>
      </c>
      <c r="G17" t="s">
        <v>36</v>
      </c>
      <c r="O17" s="86"/>
      <c r="P17" s="86"/>
      <c r="Q17" s="78"/>
      <c r="R17" s="77"/>
      <c r="S17" s="78"/>
    </row>
    <row r="18" spans="1:19" ht="18" x14ac:dyDescent="0.25">
      <c r="A18" s="83"/>
      <c r="B18" s="83"/>
      <c r="C18" s="113" t="s">
        <v>123</v>
      </c>
      <c r="D18" s="87">
        <f>C16*0.9</f>
        <v>172.22318181818181</v>
      </c>
      <c r="E18" s="89" t="s">
        <v>122</v>
      </c>
      <c r="F18" s="87">
        <f>C16*1.1</f>
        <v>210.495</v>
      </c>
      <c r="G18" t="s">
        <v>36</v>
      </c>
      <c r="L18" s="141" t="s">
        <v>117</v>
      </c>
      <c r="M18" s="141"/>
      <c r="N18" s="141"/>
      <c r="O18" s="141"/>
      <c r="P18" s="111">
        <f>(M10+M11+M12+M13)/10</f>
        <v>14.47590909090909</v>
      </c>
      <c r="Q18" s="81" t="s">
        <v>166</v>
      </c>
    </row>
    <row r="19" spans="1:19" ht="18" x14ac:dyDescent="0.25">
      <c r="A19" s="86"/>
      <c r="L19" s="141" t="s">
        <v>196</v>
      </c>
      <c r="M19" s="141"/>
      <c r="N19" s="141"/>
      <c r="O19" s="141"/>
      <c r="P19" s="111">
        <f>(P18*3)</f>
        <v>43.427727272727267</v>
      </c>
      <c r="Q19" s="124" t="s">
        <v>166</v>
      </c>
    </row>
    <row r="20" spans="1:19" ht="31.5" x14ac:dyDescent="0.25">
      <c r="A20" s="95" t="s">
        <v>128</v>
      </c>
      <c r="B20" s="121" t="s">
        <v>126</v>
      </c>
      <c r="C20" s="159" t="s">
        <v>127</v>
      </c>
      <c r="D20" s="159"/>
      <c r="E20" s="91" t="s">
        <v>168</v>
      </c>
      <c r="F20" s="121" t="s">
        <v>130</v>
      </c>
      <c r="G20" s="114" t="s">
        <v>129</v>
      </c>
      <c r="H20" s="158" t="s">
        <v>169</v>
      </c>
      <c r="I20" s="158"/>
      <c r="J20" s="158"/>
      <c r="K20" s="158"/>
      <c r="L20" s="158"/>
      <c r="M20" s="158"/>
      <c r="O20" s="86"/>
      <c r="P20" s="86"/>
    </row>
    <row r="21" spans="1:19" ht="27.75" customHeight="1" x14ac:dyDescent="0.25">
      <c r="A21" s="83"/>
      <c r="B21" s="122">
        <v>1</v>
      </c>
      <c r="C21" s="161"/>
      <c r="D21" s="161"/>
      <c r="E21" s="83"/>
      <c r="F21" s="83"/>
      <c r="G21" s="83"/>
      <c r="H21" s="83"/>
      <c r="I21" s="83"/>
      <c r="J21" s="83"/>
      <c r="K21" s="83"/>
      <c r="L21" s="83"/>
      <c r="M21" s="83"/>
      <c r="O21" s="86"/>
      <c r="P21" s="86"/>
    </row>
    <row r="22" spans="1:19" ht="33" customHeight="1" x14ac:dyDescent="0.25">
      <c r="A22" s="83"/>
      <c r="B22" s="122">
        <v>2</v>
      </c>
      <c r="C22" s="161"/>
      <c r="D22" s="161"/>
      <c r="E22" s="83"/>
      <c r="F22" s="83"/>
      <c r="N22" s="86"/>
      <c r="O22" s="86"/>
      <c r="P22" s="86"/>
    </row>
    <row r="23" spans="1:19" ht="29.25" customHeight="1" x14ac:dyDescent="0.25">
      <c r="A23" s="83"/>
      <c r="B23" s="122">
        <v>3</v>
      </c>
      <c r="C23" s="161"/>
      <c r="D23" s="161"/>
      <c r="E23" s="83"/>
      <c r="F23" s="83"/>
      <c r="G23" s="83"/>
      <c r="H23" s="83"/>
      <c r="I23" s="83"/>
      <c r="J23" s="83"/>
      <c r="K23" s="83"/>
      <c r="L23" s="83"/>
      <c r="M23" s="83"/>
      <c r="N23" s="83"/>
    </row>
    <row r="24" spans="1:19" s="75" customFormat="1" ht="30.75" customHeight="1" x14ac:dyDescent="0.25">
      <c r="A24" s="83"/>
      <c r="B24" s="122">
        <v>4</v>
      </c>
      <c r="C24" s="161"/>
      <c r="D24" s="161"/>
      <c r="E24" s="83"/>
      <c r="F24" s="83"/>
      <c r="G24" s="157" t="s">
        <v>131</v>
      </c>
      <c r="H24" s="157"/>
      <c r="I24" s="156">
        <f ca="1">EDATE(G4,6)</f>
        <v>44454</v>
      </c>
      <c r="J24" s="156"/>
      <c r="K24" s="156"/>
      <c r="L24" s="157" t="s">
        <v>132</v>
      </c>
      <c r="M24" s="157"/>
      <c r="N24" s="82"/>
    </row>
    <row r="25" spans="1:19" ht="35.25" customHeight="1" x14ac:dyDescent="0.25">
      <c r="A25" s="83"/>
      <c r="B25" s="122">
        <v>5</v>
      </c>
      <c r="C25" s="161"/>
      <c r="D25" s="161"/>
      <c r="E25" s="83"/>
      <c r="F25" s="83"/>
      <c r="G25" s="83"/>
      <c r="H25" s="83"/>
      <c r="I25" s="83"/>
      <c r="J25" s="83"/>
      <c r="K25" s="83"/>
      <c r="L25" s="83"/>
      <c r="M25" s="83"/>
      <c r="N25" s="83"/>
    </row>
    <row r="26" spans="1:19" ht="18" x14ac:dyDescent="0.25">
      <c r="A26" s="83"/>
      <c r="B26" s="83"/>
      <c r="C26" s="83"/>
      <c r="D26" s="83"/>
      <c r="E26" s="83"/>
      <c r="F26" s="83"/>
      <c r="N26" s="90"/>
    </row>
    <row r="27" spans="1:19" x14ac:dyDescent="0.25">
      <c r="A27" s="82" t="s">
        <v>134</v>
      </c>
      <c r="B27" s="161" t="s">
        <v>136</v>
      </c>
      <c r="C27" s="161"/>
      <c r="D27" s="161" t="s">
        <v>135</v>
      </c>
      <c r="E27" s="161"/>
      <c r="F27" s="122" t="s">
        <v>133</v>
      </c>
      <c r="G27" s="83"/>
      <c r="H27" s="83"/>
      <c r="I27" s="83"/>
      <c r="J27" s="83"/>
      <c r="K27" s="83"/>
      <c r="L27" s="83"/>
      <c r="M27" s="83"/>
      <c r="N27" s="83"/>
    </row>
    <row r="28" spans="1:19" x14ac:dyDescent="0.25">
      <c r="A28" s="162"/>
      <c r="B28" s="162"/>
      <c r="C28" s="88"/>
      <c r="D28" s="89"/>
      <c r="E28" s="83"/>
      <c r="F28" s="83"/>
      <c r="G28" s="92"/>
      <c r="H28" s="83"/>
      <c r="I28" s="83"/>
      <c r="J28" s="83"/>
      <c r="K28" s="83"/>
      <c r="L28" s="83"/>
      <c r="M28" s="83"/>
      <c r="N28" s="83"/>
    </row>
    <row r="29" spans="1:19" ht="15.75" customHeight="1" x14ac:dyDescent="0.25">
      <c r="A29" s="83"/>
      <c r="B29" s="83"/>
      <c r="C29" s="83"/>
      <c r="D29" s="83"/>
      <c r="E29" s="83"/>
    </row>
    <row r="30" spans="1:19" x14ac:dyDescent="0.25">
      <c r="C30" s="93"/>
      <c r="D30" s="94"/>
      <c r="E30" s="83"/>
    </row>
    <row r="31" spans="1:19" x14ac:dyDescent="0.25">
      <c r="A31" s="83"/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</row>
    <row r="32" spans="1:19" ht="15.95" customHeight="1" x14ac:dyDescent="0.25">
      <c r="N32" s="83"/>
    </row>
    <row r="33" spans="14:14" ht="21.75" customHeight="1" x14ac:dyDescent="0.25">
      <c r="N33" s="83"/>
    </row>
    <row r="34" spans="14:14" x14ac:dyDescent="0.25">
      <c r="N34" s="83"/>
    </row>
    <row r="35" spans="14:14" x14ac:dyDescent="0.25">
      <c r="N35" s="83"/>
    </row>
    <row r="36" spans="14:14" x14ac:dyDescent="0.25">
      <c r="N36" s="83"/>
    </row>
    <row r="37" spans="14:14" x14ac:dyDescent="0.25">
      <c r="N37" s="83"/>
    </row>
    <row r="38" spans="14:14" x14ac:dyDescent="0.25">
      <c r="N38" s="83"/>
    </row>
    <row r="39" spans="14:14" x14ac:dyDescent="0.25">
      <c r="N39" s="83"/>
    </row>
  </sheetData>
  <mergeCells count="49">
    <mergeCell ref="B1:E1"/>
    <mergeCell ref="I1:J1"/>
    <mergeCell ref="B4:E4"/>
    <mergeCell ref="A28:B28"/>
    <mergeCell ref="A16:B16"/>
    <mergeCell ref="I9:J9"/>
    <mergeCell ref="B27:C27"/>
    <mergeCell ref="D27:E27"/>
    <mergeCell ref="C20:D20"/>
    <mergeCell ref="C21:D21"/>
    <mergeCell ref="C22:D22"/>
    <mergeCell ref="C23:D23"/>
    <mergeCell ref="C24:D24"/>
    <mergeCell ref="C25:D25"/>
    <mergeCell ref="B2:E2"/>
    <mergeCell ref="B3:E3"/>
    <mergeCell ref="M8:N9"/>
    <mergeCell ref="G24:H24"/>
    <mergeCell ref="I24:K24"/>
    <mergeCell ref="H20:M20"/>
    <mergeCell ref="K10:L10"/>
    <mergeCell ref="M12:N12"/>
    <mergeCell ref="M13:N13"/>
    <mergeCell ref="L24:M24"/>
    <mergeCell ref="L19:O19"/>
    <mergeCell ref="O8:O9"/>
    <mergeCell ref="A2:A3"/>
    <mergeCell ref="A8:A9"/>
    <mergeCell ref="I10:J10"/>
    <mergeCell ref="B8:B9"/>
    <mergeCell ref="C8:H8"/>
    <mergeCell ref="I8:J8"/>
    <mergeCell ref="G4:J4"/>
    <mergeCell ref="P8:P9"/>
    <mergeCell ref="L18:O18"/>
    <mergeCell ref="K15:N15"/>
    <mergeCell ref="A17:B17"/>
    <mergeCell ref="I14:J14"/>
    <mergeCell ref="K14:L14"/>
    <mergeCell ref="M14:N14"/>
    <mergeCell ref="I11:J11"/>
    <mergeCell ref="I12:J12"/>
    <mergeCell ref="I13:J13"/>
    <mergeCell ref="K11:L11"/>
    <mergeCell ref="K12:L12"/>
    <mergeCell ref="K13:L13"/>
    <mergeCell ref="M10:N10"/>
    <mergeCell ref="M11:N11"/>
    <mergeCell ref="K8:L9"/>
  </mergeCells>
  <phoneticPr fontId="14" type="noConversion"/>
  <pageMargins left="0.70866141732283472" right="0.70866141732283472" top="0.74803149606299213" bottom="0.74803149606299213" header="0.31496062992125984" footer="0.31496062992125984"/>
  <pageSetup scale="53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A4324F9-D7D9-0E4C-BB28-8B8541AC0354}">
          <x14:formula1>
            <xm:f>'Ingredients 2'!$A$2:$A$305</xm:f>
          </x14:formula1>
          <xm:sqref>B10:B14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A64C9-37E0-0747-AD38-1BF4D5257CBB}">
  <dimension ref="A1:H82"/>
  <sheetViews>
    <sheetView topLeftCell="A10" workbookViewId="0">
      <selection activeCell="A25" sqref="A25"/>
    </sheetView>
  </sheetViews>
  <sheetFormatPr defaultColWidth="10.875" defaultRowHeight="15.75" x14ac:dyDescent="0.25"/>
  <cols>
    <col min="1" max="1" width="20.375" style="63" customWidth="1"/>
    <col min="2" max="3" width="10.875" style="63"/>
    <col min="4" max="8" width="10.875" style="103"/>
    <col min="9" max="16384" width="10.875" style="63"/>
  </cols>
  <sheetData>
    <row r="1" spans="1:8" x14ac:dyDescent="0.25">
      <c r="A1" s="63" t="s">
        <v>38</v>
      </c>
      <c r="B1" s="64" t="s">
        <v>39</v>
      </c>
      <c r="C1" s="65" t="s">
        <v>40</v>
      </c>
    </row>
    <row r="2" spans="1:8" x14ac:dyDescent="0.25">
      <c r="B2" s="64">
        <v>1</v>
      </c>
      <c r="C2" s="65">
        <v>0</v>
      </c>
    </row>
    <row r="3" spans="1:8" x14ac:dyDescent="0.25">
      <c r="A3" s="63" t="s">
        <v>41</v>
      </c>
      <c r="B3" s="64">
        <v>5</v>
      </c>
      <c r="C3" s="65">
        <v>22</v>
      </c>
    </row>
    <row r="4" spans="1:8" x14ac:dyDescent="0.25">
      <c r="A4" s="63" t="s">
        <v>180</v>
      </c>
      <c r="B4" s="64">
        <v>25</v>
      </c>
      <c r="C4" s="65">
        <v>25</v>
      </c>
    </row>
    <row r="5" spans="1:8" x14ac:dyDescent="0.25">
      <c r="A5" s="63" t="s">
        <v>42</v>
      </c>
      <c r="B5" s="64">
        <v>5</v>
      </c>
      <c r="C5" s="65">
        <v>42</v>
      </c>
    </row>
    <row r="6" spans="1:8" x14ac:dyDescent="0.25">
      <c r="A6" s="63" t="s">
        <v>43</v>
      </c>
      <c r="B6" s="64">
        <v>30</v>
      </c>
      <c r="C6" s="65">
        <v>30</v>
      </c>
    </row>
    <row r="7" spans="1:8" s="125" customFormat="1" x14ac:dyDescent="0.25">
      <c r="A7" s="125" t="s">
        <v>44</v>
      </c>
      <c r="B7" s="126">
        <v>100</v>
      </c>
      <c r="C7" s="127">
        <v>22</v>
      </c>
      <c r="D7" s="128"/>
      <c r="E7" s="128"/>
      <c r="F7" s="128"/>
      <c r="G7" s="128"/>
      <c r="H7" s="128"/>
    </row>
    <row r="8" spans="1:8" s="125" customFormat="1" x14ac:dyDescent="0.25">
      <c r="A8" s="125" t="s">
        <v>170</v>
      </c>
      <c r="B8" s="126">
        <v>100</v>
      </c>
      <c r="C8" s="127">
        <v>22</v>
      </c>
      <c r="D8" s="129"/>
      <c r="E8" s="129"/>
      <c r="F8" s="129"/>
      <c r="G8" s="129"/>
      <c r="H8" s="129"/>
    </row>
    <row r="9" spans="1:8" s="125" customFormat="1" x14ac:dyDescent="0.25">
      <c r="A9" s="125" t="s">
        <v>45</v>
      </c>
      <c r="B9" s="126">
        <v>100</v>
      </c>
      <c r="C9" s="127">
        <v>22</v>
      </c>
      <c r="D9" s="130"/>
      <c r="E9" s="130"/>
      <c r="F9" s="130"/>
      <c r="G9" s="130"/>
      <c r="H9" s="131"/>
    </row>
    <row r="10" spans="1:8" x14ac:dyDescent="0.25">
      <c r="A10" s="63" t="s">
        <v>171</v>
      </c>
      <c r="B10" s="64">
        <v>1000</v>
      </c>
      <c r="C10" s="65">
        <v>24</v>
      </c>
      <c r="D10" s="104"/>
      <c r="E10" s="104"/>
      <c r="F10" s="104"/>
      <c r="G10" s="104"/>
      <c r="H10" s="104"/>
    </row>
    <row r="11" spans="1:8" s="125" customFormat="1" x14ac:dyDescent="0.25">
      <c r="A11" s="125" t="s">
        <v>46</v>
      </c>
      <c r="B11" s="126">
        <v>100</v>
      </c>
      <c r="C11" s="127">
        <v>8.5500000000000007</v>
      </c>
      <c r="D11" s="129"/>
      <c r="E11" s="129"/>
      <c r="F11" s="129"/>
      <c r="G11" s="129"/>
      <c r="H11" s="129"/>
    </row>
    <row r="12" spans="1:8" x14ac:dyDescent="0.25">
      <c r="A12" s="63" t="s">
        <v>47</v>
      </c>
      <c r="B12" s="64">
        <v>100</v>
      </c>
      <c r="C12" s="65">
        <v>5</v>
      </c>
    </row>
    <row r="13" spans="1:8" x14ac:dyDescent="0.25">
      <c r="A13" s="63" t="s">
        <v>48</v>
      </c>
      <c r="B13" s="64">
        <v>10</v>
      </c>
      <c r="C13" s="65">
        <v>26</v>
      </c>
    </row>
    <row r="14" spans="1:8" x14ac:dyDescent="0.25">
      <c r="A14" s="63" t="s">
        <v>155</v>
      </c>
      <c r="B14" s="64">
        <v>5</v>
      </c>
      <c r="C14" s="65">
        <v>97</v>
      </c>
      <c r="D14" s="104"/>
      <c r="E14" s="104"/>
      <c r="F14" s="104"/>
      <c r="G14" s="104"/>
      <c r="H14" s="104"/>
    </row>
    <row r="15" spans="1:8" x14ac:dyDescent="0.25">
      <c r="A15" s="63" t="s">
        <v>49</v>
      </c>
      <c r="B15" s="64">
        <v>5</v>
      </c>
      <c r="C15" s="65">
        <v>9</v>
      </c>
    </row>
    <row r="16" spans="1:8" x14ac:dyDescent="0.25">
      <c r="A16" s="63" t="s">
        <v>50</v>
      </c>
      <c r="B16" s="64">
        <v>1</v>
      </c>
      <c r="C16" s="65">
        <v>65</v>
      </c>
    </row>
    <row r="17" spans="1:3" x14ac:dyDescent="0.25">
      <c r="A17" s="63" t="s">
        <v>51</v>
      </c>
      <c r="B17" s="64">
        <v>100</v>
      </c>
      <c r="C17" s="65">
        <v>380</v>
      </c>
    </row>
    <row r="18" spans="1:3" x14ac:dyDescent="0.25">
      <c r="A18" s="63" t="s">
        <v>52</v>
      </c>
      <c r="B18" s="64">
        <v>10</v>
      </c>
      <c r="C18" s="65">
        <v>59</v>
      </c>
    </row>
    <row r="19" spans="1:3" x14ac:dyDescent="0.25">
      <c r="A19" s="63" t="s">
        <v>53</v>
      </c>
      <c r="B19" s="64">
        <v>250</v>
      </c>
      <c r="C19" s="65">
        <v>91.38</v>
      </c>
    </row>
    <row r="20" spans="1:3" x14ac:dyDescent="0.25">
      <c r="A20" s="63" t="s">
        <v>54</v>
      </c>
      <c r="B20" s="64">
        <v>500</v>
      </c>
      <c r="C20" s="65">
        <v>72.03</v>
      </c>
    </row>
    <row r="21" spans="1:3" x14ac:dyDescent="0.25">
      <c r="A21" s="63" t="s">
        <v>110</v>
      </c>
      <c r="B21" s="63">
        <v>50</v>
      </c>
      <c r="C21" s="65">
        <v>95</v>
      </c>
    </row>
    <row r="22" spans="1:3" x14ac:dyDescent="0.25">
      <c r="A22" s="63" t="s">
        <v>55</v>
      </c>
      <c r="B22" s="64">
        <v>25</v>
      </c>
      <c r="C22" s="65">
        <v>35</v>
      </c>
    </row>
    <row r="23" spans="1:3" x14ac:dyDescent="0.25">
      <c r="A23" s="63" t="s">
        <v>56</v>
      </c>
      <c r="B23" s="64">
        <v>1</v>
      </c>
      <c r="C23" s="65">
        <v>25</v>
      </c>
    </row>
    <row r="24" spans="1:3" x14ac:dyDescent="0.25">
      <c r="A24" s="63" t="s">
        <v>198</v>
      </c>
      <c r="B24" s="64">
        <v>1</v>
      </c>
      <c r="C24" s="65">
        <v>110</v>
      </c>
    </row>
    <row r="25" spans="1:3" x14ac:dyDescent="0.25">
      <c r="A25" s="63" t="s">
        <v>57</v>
      </c>
      <c r="B25" s="64">
        <v>1</v>
      </c>
      <c r="C25" s="65">
        <v>135</v>
      </c>
    </row>
    <row r="26" spans="1:3" x14ac:dyDescent="0.25">
      <c r="A26" s="63" t="s">
        <v>58</v>
      </c>
      <c r="B26" s="64">
        <v>250</v>
      </c>
      <c r="C26" s="65">
        <v>29.62</v>
      </c>
    </row>
    <row r="27" spans="1:3" x14ac:dyDescent="0.25">
      <c r="A27" s="63" t="s">
        <v>59</v>
      </c>
      <c r="B27" s="64">
        <v>30</v>
      </c>
      <c r="C27" s="65">
        <v>30</v>
      </c>
    </row>
    <row r="28" spans="1:3" x14ac:dyDescent="0.25">
      <c r="A28" s="63" t="s">
        <v>60</v>
      </c>
      <c r="B28" s="64">
        <v>100</v>
      </c>
      <c r="C28" s="65">
        <v>285</v>
      </c>
    </row>
    <row r="29" spans="1:3" x14ac:dyDescent="0.25">
      <c r="A29" s="63" t="s">
        <v>61</v>
      </c>
      <c r="B29" s="64">
        <v>500</v>
      </c>
      <c r="C29" s="65">
        <v>15</v>
      </c>
    </row>
    <row r="30" spans="1:3" x14ac:dyDescent="0.25">
      <c r="A30" s="63" t="s">
        <v>178</v>
      </c>
      <c r="B30" s="64">
        <v>1</v>
      </c>
      <c r="C30" s="65">
        <v>105</v>
      </c>
    </row>
    <row r="31" spans="1:3" x14ac:dyDescent="0.25">
      <c r="A31" s="63" t="s">
        <v>62</v>
      </c>
      <c r="B31" s="64">
        <v>100</v>
      </c>
      <c r="C31" s="65">
        <v>20</v>
      </c>
    </row>
    <row r="32" spans="1:3" x14ac:dyDescent="0.25">
      <c r="A32" s="63" t="s">
        <v>63</v>
      </c>
      <c r="B32" s="64">
        <v>500</v>
      </c>
      <c r="C32" s="65">
        <v>95</v>
      </c>
    </row>
    <row r="33" spans="1:8" x14ac:dyDescent="0.25">
      <c r="A33" s="63" t="s">
        <v>64</v>
      </c>
      <c r="B33" s="64">
        <v>5</v>
      </c>
      <c r="C33" s="65">
        <v>14</v>
      </c>
    </row>
    <row r="34" spans="1:8" x14ac:dyDescent="0.25">
      <c r="A34" s="63" t="s">
        <v>65</v>
      </c>
      <c r="B34" s="64">
        <v>100</v>
      </c>
      <c r="C34" s="65">
        <v>23</v>
      </c>
      <c r="D34" s="104"/>
      <c r="E34" s="104"/>
      <c r="F34" s="104"/>
      <c r="G34" s="104"/>
      <c r="H34" s="104"/>
    </row>
    <row r="35" spans="1:8" x14ac:dyDescent="0.25">
      <c r="A35" s="63" t="s">
        <v>66</v>
      </c>
      <c r="B35" s="64">
        <v>100</v>
      </c>
      <c r="C35" s="65">
        <v>16.399999999999999</v>
      </c>
    </row>
    <row r="36" spans="1:8" x14ac:dyDescent="0.25">
      <c r="A36" s="63" t="s">
        <v>67</v>
      </c>
      <c r="B36" s="64">
        <v>25</v>
      </c>
      <c r="C36" s="65">
        <v>21</v>
      </c>
    </row>
    <row r="37" spans="1:8" x14ac:dyDescent="0.25">
      <c r="A37" s="63" t="s">
        <v>68</v>
      </c>
      <c r="B37" s="64">
        <v>100</v>
      </c>
      <c r="C37" s="65">
        <v>68.37</v>
      </c>
    </row>
    <row r="38" spans="1:8" x14ac:dyDescent="0.25">
      <c r="A38" s="63" t="s">
        <v>193</v>
      </c>
      <c r="B38" s="64">
        <v>25</v>
      </c>
      <c r="C38" s="65">
        <v>118</v>
      </c>
    </row>
    <row r="39" spans="1:8" x14ac:dyDescent="0.25">
      <c r="A39" s="63" t="s">
        <v>99</v>
      </c>
      <c r="B39" s="64">
        <v>5</v>
      </c>
      <c r="C39" s="65">
        <v>56</v>
      </c>
    </row>
    <row r="40" spans="1:8" x14ac:dyDescent="0.25">
      <c r="A40" s="63" t="s">
        <v>102</v>
      </c>
      <c r="B40" s="64">
        <v>0.25</v>
      </c>
      <c r="C40" s="65">
        <v>129</v>
      </c>
    </row>
    <row r="41" spans="1:8" x14ac:dyDescent="0.25">
      <c r="A41" s="63" t="s">
        <v>69</v>
      </c>
      <c r="B41" s="64">
        <v>25</v>
      </c>
      <c r="C41" s="65">
        <v>10</v>
      </c>
    </row>
    <row r="42" spans="1:8" x14ac:dyDescent="0.25">
      <c r="A42" s="63" t="s">
        <v>106</v>
      </c>
      <c r="B42" s="63">
        <v>0.25</v>
      </c>
      <c r="C42" s="65">
        <v>185</v>
      </c>
    </row>
    <row r="43" spans="1:8" x14ac:dyDescent="0.25">
      <c r="A43" s="63" t="s">
        <v>70</v>
      </c>
      <c r="B43" s="64">
        <v>500</v>
      </c>
      <c r="C43" s="65">
        <v>96.67</v>
      </c>
    </row>
    <row r="44" spans="1:8" x14ac:dyDescent="0.25">
      <c r="A44" s="63" t="s">
        <v>194</v>
      </c>
      <c r="B44" s="64">
        <v>100</v>
      </c>
      <c r="C44" s="65">
        <v>159.27000000000001</v>
      </c>
    </row>
    <row r="45" spans="1:8" x14ac:dyDescent="0.25">
      <c r="A45" s="63" t="s">
        <v>71</v>
      </c>
      <c r="B45" s="64">
        <v>50</v>
      </c>
      <c r="C45" s="65">
        <v>35</v>
      </c>
    </row>
    <row r="46" spans="1:8" x14ac:dyDescent="0.25">
      <c r="A46" s="63" t="s">
        <v>72</v>
      </c>
      <c r="B46" s="64">
        <v>25</v>
      </c>
      <c r="C46" s="65">
        <v>175</v>
      </c>
    </row>
    <row r="47" spans="1:8" x14ac:dyDescent="0.25">
      <c r="A47" s="63" t="s">
        <v>73</v>
      </c>
      <c r="B47" s="64">
        <v>100</v>
      </c>
      <c r="C47" s="65">
        <v>27.94</v>
      </c>
    </row>
    <row r="48" spans="1:8" x14ac:dyDescent="0.25">
      <c r="A48" s="63" t="s">
        <v>74</v>
      </c>
      <c r="B48" s="64">
        <v>100</v>
      </c>
      <c r="C48" s="65">
        <v>25.12</v>
      </c>
    </row>
    <row r="49" spans="1:8" x14ac:dyDescent="0.25">
      <c r="A49" s="63" t="s">
        <v>109</v>
      </c>
      <c r="B49" s="63">
        <v>1</v>
      </c>
      <c r="C49" s="65">
        <v>272</v>
      </c>
    </row>
    <row r="50" spans="1:8" x14ac:dyDescent="0.25">
      <c r="A50" s="63" t="s">
        <v>107</v>
      </c>
      <c r="B50" s="73">
        <v>5</v>
      </c>
      <c r="C50" s="65">
        <v>329</v>
      </c>
    </row>
    <row r="51" spans="1:8" x14ac:dyDescent="0.25">
      <c r="A51" s="63" t="s">
        <v>75</v>
      </c>
      <c r="B51" s="64">
        <v>10</v>
      </c>
      <c r="C51" s="65">
        <v>15</v>
      </c>
    </row>
    <row r="52" spans="1:8" x14ac:dyDescent="0.25">
      <c r="A52" s="63" t="s">
        <v>101</v>
      </c>
      <c r="B52" s="64">
        <v>5</v>
      </c>
      <c r="C52" s="65">
        <v>77</v>
      </c>
    </row>
    <row r="53" spans="1:8" x14ac:dyDescent="0.25">
      <c r="A53" s="63" t="s">
        <v>100</v>
      </c>
      <c r="B53" s="64">
        <v>5</v>
      </c>
      <c r="C53" s="65">
        <v>93</v>
      </c>
    </row>
    <row r="54" spans="1:8" x14ac:dyDescent="0.25">
      <c r="A54" s="63" t="s">
        <v>176</v>
      </c>
      <c r="B54" s="64">
        <v>100000000</v>
      </c>
      <c r="C54" s="65">
        <v>25.47</v>
      </c>
    </row>
    <row r="55" spans="1:8" x14ac:dyDescent="0.25">
      <c r="A55" s="63" t="s">
        <v>76</v>
      </c>
      <c r="B55" s="64">
        <v>473</v>
      </c>
      <c r="C55" s="65">
        <v>25.83</v>
      </c>
    </row>
    <row r="56" spans="1:8" x14ac:dyDescent="0.25">
      <c r="A56" s="63" t="s">
        <v>77</v>
      </c>
      <c r="B56" s="64">
        <v>473</v>
      </c>
      <c r="C56" s="65">
        <v>25.83</v>
      </c>
    </row>
    <row r="57" spans="1:8" x14ac:dyDescent="0.25">
      <c r="A57" s="63" t="s">
        <v>105</v>
      </c>
      <c r="B57" s="64">
        <v>50</v>
      </c>
      <c r="C57" s="65">
        <v>48.86</v>
      </c>
      <c r="D57" s="104"/>
      <c r="E57" s="104"/>
      <c r="F57" s="104"/>
      <c r="G57" s="104"/>
      <c r="H57" s="104"/>
    </row>
    <row r="58" spans="1:8" x14ac:dyDescent="0.25">
      <c r="A58" s="63" t="s">
        <v>78</v>
      </c>
      <c r="B58" s="64">
        <v>25</v>
      </c>
      <c r="C58" s="65">
        <v>29</v>
      </c>
    </row>
    <row r="59" spans="1:8" x14ac:dyDescent="0.25">
      <c r="A59" s="63" t="s">
        <v>79</v>
      </c>
      <c r="B59" s="64">
        <v>500</v>
      </c>
      <c r="C59" s="65">
        <v>43</v>
      </c>
    </row>
    <row r="60" spans="1:8" x14ac:dyDescent="0.25">
      <c r="A60" s="63" t="s">
        <v>183</v>
      </c>
      <c r="B60" s="64">
        <v>5</v>
      </c>
      <c r="C60" s="65">
        <v>29</v>
      </c>
    </row>
    <row r="61" spans="1:8" x14ac:dyDescent="0.25">
      <c r="A61" s="63" t="s">
        <v>108</v>
      </c>
      <c r="B61" s="64">
        <v>25</v>
      </c>
      <c r="C61" s="65">
        <v>30</v>
      </c>
      <c r="D61" s="104"/>
      <c r="E61" s="104"/>
      <c r="F61" s="104"/>
      <c r="G61" s="104"/>
      <c r="H61" s="104"/>
    </row>
    <row r="62" spans="1:8" x14ac:dyDescent="0.25">
      <c r="A62" s="63" t="s">
        <v>80</v>
      </c>
      <c r="B62" s="64">
        <v>500</v>
      </c>
      <c r="C62" s="65">
        <v>8.0500000000000007</v>
      </c>
    </row>
    <row r="63" spans="1:8" x14ac:dyDescent="0.25">
      <c r="A63" s="63" t="s">
        <v>81</v>
      </c>
      <c r="B63" s="64">
        <v>100</v>
      </c>
      <c r="C63" s="65">
        <v>7</v>
      </c>
    </row>
    <row r="64" spans="1:8" x14ac:dyDescent="0.25">
      <c r="A64" s="63" t="s">
        <v>82</v>
      </c>
      <c r="B64" s="64">
        <v>25</v>
      </c>
      <c r="C64" s="65">
        <v>95</v>
      </c>
      <c r="D64" s="104"/>
      <c r="E64" s="104"/>
      <c r="F64" s="104"/>
      <c r="G64" s="104"/>
      <c r="H64" s="104"/>
    </row>
    <row r="65" spans="1:8" x14ac:dyDescent="0.25">
      <c r="A65" s="63" t="s">
        <v>83</v>
      </c>
      <c r="B65" s="64">
        <v>100</v>
      </c>
      <c r="C65" s="65">
        <v>24</v>
      </c>
    </row>
    <row r="66" spans="1:8" x14ac:dyDescent="0.25">
      <c r="A66" s="63" t="s">
        <v>84</v>
      </c>
      <c r="B66" s="64">
        <v>100</v>
      </c>
      <c r="C66" s="65">
        <v>6</v>
      </c>
    </row>
    <row r="67" spans="1:8" x14ac:dyDescent="0.25">
      <c r="A67" s="63" t="s">
        <v>85</v>
      </c>
      <c r="B67" s="64">
        <v>1000</v>
      </c>
      <c r="C67" s="65">
        <v>5</v>
      </c>
    </row>
    <row r="68" spans="1:8" x14ac:dyDescent="0.25">
      <c r="A68" s="63" t="s">
        <v>86</v>
      </c>
      <c r="B68" s="64">
        <v>100</v>
      </c>
      <c r="C68" s="65">
        <v>12</v>
      </c>
    </row>
    <row r="69" spans="1:8" x14ac:dyDescent="0.25">
      <c r="A69" s="63" t="s">
        <v>87</v>
      </c>
      <c r="B69" s="64">
        <v>25</v>
      </c>
      <c r="C69" s="65">
        <v>12</v>
      </c>
    </row>
    <row r="70" spans="1:8" x14ac:dyDescent="0.25">
      <c r="A70" s="63" t="s">
        <v>88</v>
      </c>
      <c r="B70" s="64">
        <v>0.5</v>
      </c>
      <c r="C70" s="65">
        <v>495</v>
      </c>
    </row>
    <row r="71" spans="1:8" x14ac:dyDescent="0.25">
      <c r="A71" s="63" t="s">
        <v>89</v>
      </c>
      <c r="B71" s="64">
        <v>5</v>
      </c>
      <c r="C71" s="65">
        <v>160</v>
      </c>
    </row>
    <row r="72" spans="1:8" x14ac:dyDescent="0.25">
      <c r="A72" s="63" t="s">
        <v>90</v>
      </c>
      <c r="B72" s="64">
        <v>5</v>
      </c>
      <c r="C72" s="65">
        <v>38</v>
      </c>
    </row>
    <row r="73" spans="1:8" x14ac:dyDescent="0.25">
      <c r="A73" s="63" t="s">
        <v>91</v>
      </c>
      <c r="B73" s="64">
        <v>25</v>
      </c>
      <c r="C73" s="65">
        <v>165</v>
      </c>
      <c r="D73" s="104"/>
      <c r="E73" s="104"/>
      <c r="F73" s="104"/>
      <c r="G73" s="104"/>
      <c r="H73" s="104"/>
    </row>
    <row r="74" spans="1:8" x14ac:dyDescent="0.25">
      <c r="A74" s="63" t="s">
        <v>92</v>
      </c>
      <c r="B74" s="64">
        <v>1</v>
      </c>
      <c r="C74" s="65">
        <v>7</v>
      </c>
    </row>
    <row r="75" spans="1:8" x14ac:dyDescent="0.25">
      <c r="A75" s="63" t="s">
        <v>26</v>
      </c>
      <c r="B75" s="64">
        <v>100</v>
      </c>
      <c r="C75" s="65">
        <v>480</v>
      </c>
      <c r="D75" s="104"/>
      <c r="E75" s="104"/>
      <c r="F75" s="104"/>
      <c r="G75" s="104"/>
      <c r="H75" s="104"/>
    </row>
    <row r="76" spans="1:8" x14ac:dyDescent="0.25">
      <c r="A76" s="63" t="s">
        <v>93</v>
      </c>
      <c r="B76" s="64">
        <v>100</v>
      </c>
      <c r="C76" s="65">
        <v>29</v>
      </c>
    </row>
    <row r="77" spans="1:8" x14ac:dyDescent="0.25">
      <c r="A77" s="63" t="s">
        <v>94</v>
      </c>
      <c r="B77" s="64">
        <v>1</v>
      </c>
      <c r="C77" s="65">
        <v>31.15</v>
      </c>
    </row>
    <row r="78" spans="1:8" x14ac:dyDescent="0.25">
      <c r="A78" s="63" t="s">
        <v>95</v>
      </c>
      <c r="B78" s="64">
        <v>100</v>
      </c>
      <c r="C78" s="65">
        <v>16</v>
      </c>
    </row>
    <row r="79" spans="1:8" x14ac:dyDescent="0.25">
      <c r="A79" s="63" t="s">
        <v>103</v>
      </c>
      <c r="B79" s="64">
        <v>30</v>
      </c>
      <c r="C79" s="65">
        <v>90</v>
      </c>
    </row>
    <row r="80" spans="1:8" x14ac:dyDescent="0.25">
      <c r="A80" s="63" t="s">
        <v>96</v>
      </c>
      <c r="B80" s="64">
        <v>500</v>
      </c>
      <c r="C80" s="65">
        <v>72.569999999999993</v>
      </c>
    </row>
    <row r="81" spans="1:3" x14ac:dyDescent="0.25">
      <c r="A81" s="63" t="s">
        <v>97</v>
      </c>
      <c r="B81" s="64">
        <v>100</v>
      </c>
      <c r="C81" s="65">
        <v>25</v>
      </c>
    </row>
    <row r="82" spans="1:3" x14ac:dyDescent="0.25">
      <c r="A82" s="63" t="s">
        <v>98</v>
      </c>
      <c r="B82" s="64">
        <v>100</v>
      </c>
      <c r="C82" s="65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A1197-DEA5-424D-9121-BD22A57AF36F}">
  <dimension ref="A1:F26"/>
  <sheetViews>
    <sheetView workbookViewId="0">
      <selection activeCell="F17" sqref="F17"/>
    </sheetView>
  </sheetViews>
  <sheetFormatPr defaultColWidth="10.875" defaultRowHeight="15.75" x14ac:dyDescent="0.25"/>
  <cols>
    <col min="1" max="1" width="21.5" customWidth="1"/>
    <col min="2" max="6" width="10.875" style="99"/>
  </cols>
  <sheetData>
    <row r="1" spans="1:6" x14ac:dyDescent="0.25">
      <c r="A1" t="s">
        <v>137</v>
      </c>
      <c r="B1" s="99">
        <v>1</v>
      </c>
      <c r="C1" s="99">
        <v>2</v>
      </c>
      <c r="D1" s="99">
        <v>3</v>
      </c>
      <c r="E1" s="99">
        <v>4</v>
      </c>
      <c r="F1" s="99">
        <v>5</v>
      </c>
    </row>
    <row r="2" spans="1:6" x14ac:dyDescent="0.25">
      <c r="A2" t="s">
        <v>157</v>
      </c>
      <c r="B2" s="99">
        <v>0</v>
      </c>
      <c r="C2" s="99">
        <v>0</v>
      </c>
      <c r="D2" s="99">
        <v>0</v>
      </c>
      <c r="E2" s="99">
        <v>0</v>
      </c>
      <c r="F2" s="99">
        <v>0</v>
      </c>
    </row>
    <row r="3" spans="1:6" x14ac:dyDescent="0.25">
      <c r="A3" t="s">
        <v>181</v>
      </c>
      <c r="B3" s="99">
        <v>505</v>
      </c>
      <c r="C3" s="99">
        <v>504</v>
      </c>
      <c r="D3" s="99">
        <v>503</v>
      </c>
      <c r="E3" s="99">
        <v>505</v>
      </c>
      <c r="F3" s="99">
        <v>507</v>
      </c>
    </row>
    <row r="4" spans="1:6" x14ac:dyDescent="0.25">
      <c r="A4" t="s">
        <v>141</v>
      </c>
      <c r="B4" s="99">
        <v>92</v>
      </c>
      <c r="C4" s="99">
        <v>92</v>
      </c>
      <c r="D4" s="99">
        <v>92</v>
      </c>
      <c r="E4" s="99">
        <v>92</v>
      </c>
      <c r="F4" s="99">
        <v>92</v>
      </c>
    </row>
    <row r="5" spans="1:6" x14ac:dyDescent="0.25">
      <c r="A5" t="s">
        <v>125</v>
      </c>
      <c r="B5" s="99">
        <v>75</v>
      </c>
      <c r="C5" s="99">
        <v>75</v>
      </c>
      <c r="D5" s="99">
        <v>75</v>
      </c>
      <c r="E5" s="99">
        <v>75</v>
      </c>
      <c r="F5" s="99">
        <v>75</v>
      </c>
    </row>
    <row r="6" spans="1:6" x14ac:dyDescent="0.25">
      <c r="A6" t="s">
        <v>124</v>
      </c>
      <c r="B6" s="99">
        <v>46</v>
      </c>
      <c r="C6" s="99">
        <v>46</v>
      </c>
      <c r="D6" s="99">
        <v>47</v>
      </c>
      <c r="E6" s="99">
        <v>47</v>
      </c>
      <c r="F6" s="99">
        <v>47</v>
      </c>
    </row>
    <row r="7" spans="1:6" x14ac:dyDescent="0.25">
      <c r="A7" t="s">
        <v>142</v>
      </c>
      <c r="B7" s="99">
        <v>233</v>
      </c>
      <c r="C7" s="99">
        <v>231</v>
      </c>
      <c r="D7" s="99">
        <v>234</v>
      </c>
      <c r="E7" s="99">
        <v>233</v>
      </c>
      <c r="F7" s="99">
        <v>233</v>
      </c>
    </row>
    <row r="8" spans="1:6" x14ac:dyDescent="0.25">
      <c r="A8" t="s">
        <v>143</v>
      </c>
      <c r="B8" s="99">
        <v>558</v>
      </c>
      <c r="C8" s="99">
        <v>545</v>
      </c>
      <c r="D8" s="99">
        <v>560</v>
      </c>
      <c r="E8" s="99">
        <v>555</v>
      </c>
      <c r="F8" s="99">
        <v>550</v>
      </c>
    </row>
    <row r="9" spans="1:6" x14ac:dyDescent="0.25">
      <c r="A9" t="s">
        <v>179</v>
      </c>
      <c r="B9" s="99">
        <v>179</v>
      </c>
      <c r="C9" s="99">
        <v>179</v>
      </c>
      <c r="D9" s="99">
        <v>176</v>
      </c>
      <c r="E9" s="99">
        <v>175</v>
      </c>
      <c r="F9" s="99">
        <v>180</v>
      </c>
    </row>
    <row r="10" spans="1:6" x14ac:dyDescent="0.25">
      <c r="A10" t="s">
        <v>144</v>
      </c>
      <c r="B10" s="99">
        <v>558</v>
      </c>
      <c r="C10" s="99">
        <v>544</v>
      </c>
      <c r="D10" s="99">
        <v>557</v>
      </c>
      <c r="E10" s="99">
        <v>549</v>
      </c>
      <c r="F10" s="99">
        <v>559</v>
      </c>
    </row>
    <row r="11" spans="1:6" x14ac:dyDescent="0.25">
      <c r="A11" t="s">
        <v>145</v>
      </c>
      <c r="B11" s="99">
        <v>295</v>
      </c>
      <c r="C11" s="99">
        <v>295</v>
      </c>
      <c r="D11" s="99">
        <v>295</v>
      </c>
      <c r="E11" s="99">
        <v>295</v>
      </c>
      <c r="F11" s="99">
        <v>295</v>
      </c>
    </row>
    <row r="12" spans="1:6" x14ac:dyDescent="0.25">
      <c r="A12" t="s">
        <v>146</v>
      </c>
      <c r="B12" s="99">
        <v>171</v>
      </c>
      <c r="C12" s="99">
        <v>177</v>
      </c>
      <c r="D12" s="99">
        <v>178</v>
      </c>
      <c r="E12" s="99">
        <v>173</v>
      </c>
      <c r="F12" s="99">
        <v>177</v>
      </c>
    </row>
    <row r="13" spans="1:6" x14ac:dyDescent="0.25">
      <c r="A13" t="s">
        <v>147</v>
      </c>
      <c r="B13" s="99">
        <v>240</v>
      </c>
      <c r="C13" s="99">
        <v>235</v>
      </c>
      <c r="D13" s="99">
        <v>241</v>
      </c>
      <c r="E13" s="99">
        <v>236</v>
      </c>
      <c r="F13" s="99">
        <v>240</v>
      </c>
    </row>
    <row r="14" spans="1:6" x14ac:dyDescent="0.25">
      <c r="A14" t="s">
        <v>177</v>
      </c>
      <c r="B14" s="99">
        <v>472</v>
      </c>
      <c r="C14" s="99">
        <v>473</v>
      </c>
      <c r="D14" s="99">
        <v>474</v>
      </c>
      <c r="E14" s="99">
        <v>470</v>
      </c>
      <c r="F14" s="99">
        <v>469</v>
      </c>
    </row>
    <row r="15" spans="1:6" x14ac:dyDescent="0.25">
      <c r="A15" t="s">
        <v>195</v>
      </c>
      <c r="B15" s="99">
        <v>210</v>
      </c>
      <c r="C15" s="99">
        <v>205</v>
      </c>
      <c r="D15" s="99">
        <v>204</v>
      </c>
      <c r="E15" s="99">
        <v>206</v>
      </c>
      <c r="F15" s="99">
        <v>205</v>
      </c>
    </row>
    <row r="16" spans="1:6" x14ac:dyDescent="0.25">
      <c r="A16" t="s">
        <v>197</v>
      </c>
      <c r="B16" s="99">
        <v>224</v>
      </c>
      <c r="C16" s="99">
        <v>218</v>
      </c>
      <c r="D16" s="99">
        <v>225</v>
      </c>
      <c r="E16" s="99">
        <v>215</v>
      </c>
      <c r="F16" s="99">
        <v>233</v>
      </c>
    </row>
    <row r="17" spans="1:6" x14ac:dyDescent="0.25">
      <c r="A17" t="s">
        <v>148</v>
      </c>
      <c r="B17" s="99">
        <v>364</v>
      </c>
      <c r="C17" s="99">
        <v>374</v>
      </c>
      <c r="D17" s="99">
        <v>365</v>
      </c>
      <c r="E17" s="99">
        <v>363</v>
      </c>
      <c r="F17" s="99">
        <v>373</v>
      </c>
    </row>
    <row r="18" spans="1:6" x14ac:dyDescent="0.25">
      <c r="A18" t="s">
        <v>182</v>
      </c>
      <c r="B18" s="99">
        <v>460</v>
      </c>
      <c r="C18" s="99">
        <v>460</v>
      </c>
      <c r="D18" s="99">
        <v>460</v>
      </c>
      <c r="E18" s="99">
        <v>460</v>
      </c>
      <c r="F18" s="99">
        <v>460</v>
      </c>
    </row>
    <row r="19" spans="1:6" x14ac:dyDescent="0.25">
      <c r="A19" t="s">
        <v>149</v>
      </c>
      <c r="B19" s="99">
        <v>368</v>
      </c>
      <c r="C19" s="99">
        <v>375</v>
      </c>
      <c r="D19" s="99">
        <v>361</v>
      </c>
      <c r="E19" s="99">
        <v>369</v>
      </c>
      <c r="F19" s="99">
        <v>370</v>
      </c>
    </row>
    <row r="20" spans="1:6" x14ac:dyDescent="0.25">
      <c r="A20" t="s">
        <v>184</v>
      </c>
      <c r="B20" s="99">
        <v>215</v>
      </c>
      <c r="C20" s="99">
        <v>215</v>
      </c>
      <c r="D20" s="99">
        <v>215</v>
      </c>
      <c r="E20" s="99">
        <v>215</v>
      </c>
      <c r="F20" s="99">
        <v>215</v>
      </c>
    </row>
    <row r="21" spans="1:6" x14ac:dyDescent="0.25">
      <c r="A21" t="s">
        <v>151</v>
      </c>
      <c r="B21" s="99">
        <v>433</v>
      </c>
      <c r="C21" s="99">
        <v>430</v>
      </c>
      <c r="D21" s="99">
        <v>430</v>
      </c>
      <c r="E21" s="99">
        <v>435</v>
      </c>
      <c r="F21" s="99">
        <v>437</v>
      </c>
    </row>
    <row r="22" spans="1:6" x14ac:dyDescent="0.25">
      <c r="A22" t="s">
        <v>150</v>
      </c>
      <c r="B22" s="99">
        <v>307</v>
      </c>
      <c r="C22" s="99">
        <v>305</v>
      </c>
      <c r="D22" s="99">
        <v>300</v>
      </c>
      <c r="E22" s="99">
        <v>303</v>
      </c>
      <c r="F22" s="99">
        <v>305</v>
      </c>
    </row>
    <row r="23" spans="1:6" x14ac:dyDescent="0.25">
      <c r="A23" t="s">
        <v>152</v>
      </c>
      <c r="B23" s="99">
        <v>224</v>
      </c>
      <c r="C23" s="99">
        <v>223</v>
      </c>
      <c r="D23" s="99">
        <v>220</v>
      </c>
      <c r="E23" s="99">
        <v>225</v>
      </c>
      <c r="F23" s="99">
        <v>224</v>
      </c>
    </row>
    <row r="24" spans="1:6" x14ac:dyDescent="0.25">
      <c r="A24" t="s">
        <v>153</v>
      </c>
      <c r="B24" s="99">
        <v>307</v>
      </c>
      <c r="C24" s="99">
        <v>305</v>
      </c>
      <c r="D24" s="99">
        <v>300</v>
      </c>
      <c r="E24" s="99">
        <v>303</v>
      </c>
      <c r="F24" s="99">
        <v>305</v>
      </c>
    </row>
    <row r="25" spans="1:6" x14ac:dyDescent="0.25">
      <c r="A25" t="s">
        <v>154</v>
      </c>
      <c r="B25" s="99">
        <v>229</v>
      </c>
      <c r="C25" s="99">
        <v>216</v>
      </c>
      <c r="D25" s="99">
        <v>224</v>
      </c>
      <c r="E25" s="99">
        <v>223</v>
      </c>
      <c r="F25" s="99">
        <v>221</v>
      </c>
    </row>
    <row r="26" spans="1:6" x14ac:dyDescent="0.25">
      <c r="A26" t="s">
        <v>156</v>
      </c>
      <c r="B26" s="99">
        <v>170</v>
      </c>
      <c r="C26" s="99">
        <v>210</v>
      </c>
      <c r="D26" s="99">
        <v>280</v>
      </c>
      <c r="E26" s="99">
        <v>172</v>
      </c>
      <c r="F26" s="99">
        <v>168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77095-9DA7-9D4F-84E4-DA64DEFC1CFA}">
  <dimension ref="A1:N39"/>
  <sheetViews>
    <sheetView workbookViewId="0">
      <selection activeCell="C23" sqref="C23"/>
    </sheetView>
  </sheetViews>
  <sheetFormatPr defaultColWidth="10.875" defaultRowHeight="15.75" x14ac:dyDescent="0.25"/>
  <cols>
    <col min="1" max="1" width="20" style="21" customWidth="1"/>
    <col min="2" max="2" width="10.875" style="21"/>
    <col min="3" max="3" width="10.875" style="59"/>
    <col min="4" max="16384" width="10.875" style="21"/>
  </cols>
  <sheetData>
    <row r="1" spans="1:14" s="61" customFormat="1" ht="30" customHeight="1" x14ac:dyDescent="0.35">
      <c r="A1" s="19" t="s">
        <v>22</v>
      </c>
      <c r="B1" s="165" t="str">
        <f>Pricing!C1</f>
        <v>Tramadol</v>
      </c>
      <c r="C1" s="165"/>
      <c r="D1" s="165"/>
      <c r="E1" s="165"/>
      <c r="F1" s="165"/>
      <c r="G1" s="165"/>
      <c r="H1" s="165"/>
      <c r="I1" s="165"/>
    </row>
    <row r="2" spans="1:14" ht="32.1" customHeight="1" x14ac:dyDescent="0.35">
      <c r="A2" s="19" t="s">
        <v>15</v>
      </c>
      <c r="B2" s="32">
        <v>50</v>
      </c>
      <c r="C2" s="62" t="str">
        <f>Pricing!D2</f>
        <v>Capsules</v>
      </c>
      <c r="D2" s="20"/>
      <c r="E2" s="20"/>
      <c r="F2" s="20"/>
      <c r="G2" s="20"/>
      <c r="H2" s="20"/>
      <c r="I2" s="20"/>
    </row>
    <row r="3" spans="1:14" ht="21" x14ac:dyDescent="0.35">
      <c r="A3" s="19" t="str">
        <f>Pricing!B3</f>
        <v>Rebate</v>
      </c>
      <c r="B3" s="38">
        <f>Pricing!C3</f>
        <v>0.2</v>
      </c>
    </row>
    <row r="5" spans="1:14" s="61" customFormat="1" ht="48" x14ac:dyDescent="0.3">
      <c r="B5" s="61" t="s">
        <v>0</v>
      </c>
      <c r="C5" s="22" t="s">
        <v>1</v>
      </c>
      <c r="D5" s="29" t="str">
        <f>Pricing!E2</f>
        <v>Amount (gm) per Capsule</v>
      </c>
      <c r="E5" s="61" t="s">
        <v>3</v>
      </c>
      <c r="F5" s="166" t="s">
        <v>4</v>
      </c>
      <c r="G5" s="166"/>
      <c r="I5" s="34"/>
      <c r="J5" s="34"/>
      <c r="K5" s="34"/>
      <c r="L5" s="34"/>
      <c r="M5" s="34"/>
      <c r="N5" s="34"/>
    </row>
    <row r="6" spans="1:14" ht="18.75" x14ac:dyDescent="0.3">
      <c r="A6" s="61" t="str">
        <f>Pricing!B6</f>
        <v>Tramadol</v>
      </c>
      <c r="B6" s="5">
        <f>Pricing!C6</f>
        <v>100</v>
      </c>
      <c r="C6" s="59">
        <f>Pricing!D6</f>
        <v>480</v>
      </c>
      <c r="D6" s="31">
        <f>Pricing!E6</f>
        <v>0.06</v>
      </c>
      <c r="E6" s="23">
        <f>B2*D6</f>
        <v>3</v>
      </c>
      <c r="F6" s="164">
        <f>(C6/B6)*E6</f>
        <v>14.399999999999999</v>
      </c>
      <c r="G6" s="164"/>
      <c r="I6" s="34"/>
      <c r="J6" s="34"/>
      <c r="K6" s="34"/>
      <c r="L6" s="34"/>
      <c r="M6" s="34"/>
      <c r="N6" s="34"/>
    </row>
    <row r="7" spans="1:14" ht="18.75" x14ac:dyDescent="0.3">
      <c r="A7" s="61">
        <f>Pricing!B7</f>
        <v>0</v>
      </c>
      <c r="B7" s="5">
        <f>Pricing!C7</f>
        <v>1</v>
      </c>
      <c r="C7" s="59">
        <f>Pricing!D7</f>
        <v>0</v>
      </c>
      <c r="D7" s="31">
        <f>Pricing!E7</f>
        <v>1.4999999999999999E-4</v>
      </c>
      <c r="E7" s="23">
        <f>B2*D7</f>
        <v>7.4999999999999997E-3</v>
      </c>
      <c r="F7" s="164">
        <f t="shared" ref="F7:F14" si="0">(C7/B7)*E7</f>
        <v>0</v>
      </c>
      <c r="G7" s="164"/>
      <c r="I7" s="34"/>
      <c r="J7" s="34"/>
      <c r="K7" s="34"/>
      <c r="L7" s="34"/>
      <c r="M7" s="34"/>
      <c r="N7" s="24"/>
    </row>
    <row r="8" spans="1:14" ht="18.75" x14ac:dyDescent="0.3">
      <c r="A8" s="61">
        <f>Pricing!B8</f>
        <v>0</v>
      </c>
      <c r="B8" s="5">
        <f>Pricing!C8</f>
        <v>1</v>
      </c>
      <c r="C8" s="59">
        <f>Pricing!D8</f>
        <v>0</v>
      </c>
      <c r="D8" s="31">
        <f>Pricing!E8</f>
        <v>1.4999999999999999E-4</v>
      </c>
      <c r="E8" s="23">
        <f>B2*D8</f>
        <v>7.4999999999999997E-3</v>
      </c>
      <c r="F8" s="164">
        <f t="shared" si="0"/>
        <v>0</v>
      </c>
      <c r="G8" s="164"/>
      <c r="I8" s="34"/>
      <c r="J8" s="25"/>
      <c r="K8" s="25"/>
      <c r="L8" s="25"/>
      <c r="M8" s="25"/>
      <c r="N8" s="25"/>
    </row>
    <row r="9" spans="1:14" x14ac:dyDescent="0.25">
      <c r="A9" s="61">
        <f>Pricing!B9</f>
        <v>0</v>
      </c>
      <c r="B9" s="5">
        <f>Pricing!C9</f>
        <v>1</v>
      </c>
      <c r="C9" s="59">
        <f>Pricing!D9</f>
        <v>0</v>
      </c>
      <c r="D9" s="31">
        <f>Pricing!E9</f>
        <v>0.22500000000000001</v>
      </c>
      <c r="E9" s="23"/>
      <c r="F9" s="164">
        <f t="shared" si="0"/>
        <v>0</v>
      </c>
      <c r="G9" s="164"/>
    </row>
    <row r="10" spans="1:14" x14ac:dyDescent="0.25">
      <c r="A10" s="61">
        <f>Pricing!B10</f>
        <v>0</v>
      </c>
      <c r="B10" s="5">
        <f>Pricing!C10</f>
        <v>1</v>
      </c>
      <c r="C10" s="59">
        <f>Pricing!D10</f>
        <v>0</v>
      </c>
      <c r="D10" s="31">
        <f>Pricing!E10</f>
        <v>4.3999999999999997E-2</v>
      </c>
      <c r="E10" s="23"/>
      <c r="F10" s="164">
        <f t="shared" si="0"/>
        <v>0</v>
      </c>
      <c r="G10" s="164"/>
    </row>
    <row r="11" spans="1:14" x14ac:dyDescent="0.25">
      <c r="A11" s="61" t="str">
        <f>Pricing!B11</f>
        <v>Capsule</v>
      </c>
      <c r="B11" s="5">
        <f>Pricing!C11</f>
        <v>1000</v>
      </c>
      <c r="C11" s="59">
        <f>Pricing!D11</f>
        <v>24</v>
      </c>
      <c r="D11" s="31">
        <f>Pricing!E11</f>
        <v>1</v>
      </c>
      <c r="E11" s="23"/>
      <c r="F11" s="164">
        <f t="shared" si="0"/>
        <v>0</v>
      </c>
      <c r="G11" s="164"/>
    </row>
    <row r="12" spans="1:14" x14ac:dyDescent="0.25">
      <c r="A12" s="61">
        <f>Pricing!B12</f>
        <v>0</v>
      </c>
      <c r="B12" s="5">
        <f>Pricing!C12</f>
        <v>1</v>
      </c>
      <c r="C12" s="59">
        <f>Pricing!D12</f>
        <v>0</v>
      </c>
      <c r="D12" s="31">
        <f>Pricing!E12</f>
        <v>0</v>
      </c>
      <c r="E12" s="23"/>
      <c r="F12" s="164">
        <f t="shared" si="0"/>
        <v>0</v>
      </c>
      <c r="G12" s="164"/>
    </row>
    <row r="13" spans="1:14" s="61" customFormat="1" x14ac:dyDescent="0.25">
      <c r="A13" s="61">
        <f>Pricing!B13</f>
        <v>0</v>
      </c>
      <c r="B13" s="5">
        <f>Pricing!C13</f>
        <v>1</v>
      </c>
      <c r="C13" s="59">
        <f>Pricing!D13</f>
        <v>0</v>
      </c>
      <c r="D13" s="31">
        <f>Pricing!E13</f>
        <v>0</v>
      </c>
      <c r="E13" s="23"/>
      <c r="F13" s="164">
        <f t="shared" si="0"/>
        <v>0</v>
      </c>
      <c r="G13" s="164"/>
      <c r="H13" s="21"/>
      <c r="I13" s="21"/>
    </row>
    <row r="14" spans="1:14" x14ac:dyDescent="0.25">
      <c r="A14" s="61">
        <f>Pricing!B14</f>
        <v>0</v>
      </c>
      <c r="B14" s="5">
        <f>Pricing!C14</f>
        <v>1</v>
      </c>
      <c r="C14" s="59">
        <f>Pricing!D14</f>
        <v>0</v>
      </c>
      <c r="D14" s="31">
        <f>Pricing!E14</f>
        <v>0</v>
      </c>
      <c r="E14" s="23"/>
      <c r="F14" s="164">
        <f t="shared" si="0"/>
        <v>0</v>
      </c>
      <c r="G14" s="164"/>
    </row>
    <row r="15" spans="1:14" ht="21" x14ac:dyDescent="0.35">
      <c r="A15" s="61"/>
      <c r="B15" s="61"/>
      <c r="D15" s="34" t="s">
        <v>13</v>
      </c>
      <c r="E15" s="26"/>
      <c r="F15" s="168">
        <f>SUM(F6:F14)</f>
        <v>14.399999999999999</v>
      </c>
      <c r="G15" s="168"/>
    </row>
    <row r="16" spans="1:14" x14ac:dyDescent="0.25">
      <c r="A16" s="61" t="s">
        <v>14</v>
      </c>
      <c r="C16" s="61" t="s">
        <v>20</v>
      </c>
      <c r="D16" s="10">
        <v>0.8</v>
      </c>
      <c r="E16" s="61"/>
      <c r="F16" s="61"/>
      <c r="G16" s="167" t="s">
        <v>21</v>
      </c>
      <c r="H16" s="167"/>
      <c r="I16" s="10">
        <f>Pricing!R1</f>
        <v>0.9</v>
      </c>
    </row>
    <row r="17" spans="1:9" x14ac:dyDescent="0.25">
      <c r="B17" s="61" t="s">
        <v>18</v>
      </c>
      <c r="C17" s="61" t="s">
        <v>19</v>
      </c>
      <c r="G17" s="61" t="s">
        <v>18</v>
      </c>
      <c r="H17" s="61" t="s">
        <v>19</v>
      </c>
    </row>
    <row r="18" spans="1:9" x14ac:dyDescent="0.25">
      <c r="A18" s="21" t="s">
        <v>5</v>
      </c>
      <c r="C18" s="21"/>
      <c r="D18" s="59">
        <f>F15</f>
        <v>14.399999999999999</v>
      </c>
      <c r="F18" s="21" t="s">
        <v>5</v>
      </c>
      <c r="I18" s="59">
        <f>F15</f>
        <v>14.399999999999999</v>
      </c>
    </row>
    <row r="19" spans="1:9" x14ac:dyDescent="0.25">
      <c r="A19" s="21" t="s">
        <v>17</v>
      </c>
      <c r="C19" s="21"/>
      <c r="D19" s="59">
        <f>D18*0.8</f>
        <v>11.52</v>
      </c>
      <c r="F19" s="21" t="s">
        <v>17</v>
      </c>
      <c r="I19" s="59">
        <f>I16*F15</f>
        <v>12.959999999999999</v>
      </c>
    </row>
    <row r="20" spans="1:9" ht="18" customHeight="1" x14ac:dyDescent="0.25">
      <c r="A20" s="61" t="s">
        <v>16</v>
      </c>
      <c r="B20" s="11">
        <v>1</v>
      </c>
      <c r="C20" s="11">
        <f>Pricing!L5</f>
        <v>25</v>
      </c>
      <c r="D20" s="59">
        <f>B20*C20</f>
        <v>25</v>
      </c>
      <c r="F20" s="61" t="s">
        <v>16</v>
      </c>
      <c r="G20" s="5">
        <f>B20</f>
        <v>1</v>
      </c>
      <c r="H20" s="11">
        <f>C20</f>
        <v>25</v>
      </c>
      <c r="I20" s="59">
        <f>G20*H20</f>
        <v>25</v>
      </c>
    </row>
    <row r="21" spans="1:9" x14ac:dyDescent="0.25">
      <c r="A21" s="21" t="s">
        <v>8</v>
      </c>
      <c r="C21" s="21"/>
      <c r="D21" s="59">
        <f>Pricing!M6</f>
        <v>1</v>
      </c>
      <c r="F21" s="21" t="s">
        <v>8</v>
      </c>
      <c r="I21" s="59">
        <f>D21</f>
        <v>1</v>
      </c>
    </row>
    <row r="22" spans="1:9" x14ac:dyDescent="0.25">
      <c r="A22" s="21" t="s">
        <v>9</v>
      </c>
      <c r="C22" s="21"/>
      <c r="D22" s="59">
        <f>Pricing!M7</f>
        <v>25</v>
      </c>
      <c r="F22" s="21" t="s">
        <v>9</v>
      </c>
      <c r="I22" s="59">
        <f>D22</f>
        <v>25</v>
      </c>
    </row>
    <row r="23" spans="1:9" x14ac:dyDescent="0.25">
      <c r="A23" s="14" t="s">
        <v>28</v>
      </c>
      <c r="B23" s="3"/>
      <c r="C23" s="57"/>
      <c r="D23" s="57">
        <f>SUM(D18:D22)</f>
        <v>76.92</v>
      </c>
      <c r="E23" s="3"/>
      <c r="F23" s="14" t="s">
        <v>28</v>
      </c>
      <c r="G23" s="3"/>
      <c r="H23" s="57"/>
      <c r="I23" s="57">
        <f>SUM(I18:I22)</f>
        <v>78.36</v>
      </c>
    </row>
    <row r="24" spans="1:9" x14ac:dyDescent="0.25">
      <c r="A24" s="3" t="s">
        <v>6</v>
      </c>
      <c r="B24" s="3"/>
      <c r="C24" s="57"/>
      <c r="D24" s="57">
        <f>D23*0.075268</f>
        <v>5.7896145600000004</v>
      </c>
      <c r="E24" s="3"/>
      <c r="F24" s="3" t="s">
        <v>6</v>
      </c>
      <c r="G24" s="3"/>
      <c r="H24" s="57"/>
      <c r="I24" s="57">
        <f>I23*0.075268</f>
        <v>5.8980004800000003</v>
      </c>
    </row>
    <row r="25" spans="1:9" s="61" customFormat="1" x14ac:dyDescent="0.25">
      <c r="A25" s="3" t="s">
        <v>29</v>
      </c>
      <c r="B25" s="3"/>
      <c r="C25" s="57"/>
      <c r="D25" s="57">
        <f>D23+D24</f>
        <v>82.709614560000006</v>
      </c>
      <c r="E25" s="3"/>
      <c r="F25" s="3" t="s">
        <v>29</v>
      </c>
      <c r="G25" s="3"/>
      <c r="H25" s="57"/>
      <c r="I25" s="57">
        <f>I23+I24</f>
        <v>84.258000479999993</v>
      </c>
    </row>
    <row r="26" spans="1:9" x14ac:dyDescent="0.25">
      <c r="A26" s="3" t="s">
        <v>7</v>
      </c>
      <c r="B26" s="3"/>
      <c r="C26" s="57"/>
      <c r="D26" s="57">
        <f>(D25*B3)/(1+(-1*B3))</f>
        <v>20.677403639999998</v>
      </c>
      <c r="E26" s="3"/>
      <c r="F26" s="3" t="s">
        <v>7</v>
      </c>
      <c r="G26" s="3"/>
      <c r="H26" s="57"/>
      <c r="I26" s="57">
        <f>(I25*B3)/(1+(-1*B3))</f>
        <v>21.064500119999998</v>
      </c>
    </row>
    <row r="27" spans="1:9" x14ac:dyDescent="0.25">
      <c r="A27" s="3"/>
      <c r="B27" s="3"/>
      <c r="C27" s="57"/>
      <c r="D27" s="57"/>
      <c r="E27" s="3"/>
      <c r="F27" s="3"/>
      <c r="G27" s="3"/>
      <c r="H27" s="57"/>
      <c r="I27" s="57"/>
    </row>
    <row r="28" spans="1:9" s="27" customFormat="1" ht="32.1" customHeight="1" x14ac:dyDescent="0.25">
      <c r="A28" s="15" t="s">
        <v>10</v>
      </c>
      <c r="B28" s="15"/>
      <c r="C28" s="16"/>
      <c r="D28" s="35">
        <f>D25+D26</f>
        <v>103.3870182</v>
      </c>
      <c r="E28" s="15"/>
      <c r="F28" s="15" t="s">
        <v>10</v>
      </c>
      <c r="G28" s="15"/>
      <c r="H28" s="16"/>
      <c r="I28" s="16">
        <f>I25+I26</f>
        <v>105.32250059999998</v>
      </c>
    </row>
    <row r="29" spans="1:9" ht="18.75" x14ac:dyDescent="0.3">
      <c r="A29" s="33" t="s">
        <v>29</v>
      </c>
      <c r="B29" s="33"/>
      <c r="C29" s="8"/>
      <c r="D29" s="36">
        <f>D25</f>
        <v>82.709614560000006</v>
      </c>
      <c r="E29" s="33"/>
      <c r="F29" s="33" t="s">
        <v>29</v>
      </c>
      <c r="G29" s="33"/>
      <c r="H29" s="8"/>
      <c r="I29" s="8">
        <f>I25</f>
        <v>84.258000479999993</v>
      </c>
    </row>
    <row r="30" spans="1:9" s="61" customFormat="1" x14ac:dyDescent="0.25">
      <c r="A30" s="3"/>
      <c r="B30" s="3"/>
      <c r="C30" s="57"/>
      <c r="D30" s="57"/>
      <c r="E30" s="3"/>
      <c r="F30" s="3"/>
      <c r="G30" s="3"/>
      <c r="H30" s="57"/>
      <c r="I30" s="57"/>
    </row>
    <row r="31" spans="1:9" x14ac:dyDescent="0.25">
      <c r="A31" s="58" t="s">
        <v>11</v>
      </c>
      <c r="B31" s="58"/>
      <c r="C31" s="4"/>
      <c r="D31" s="4">
        <f>SUM(-1*D18+-1*D21+-1*D22+D23+-1*D20)</f>
        <v>11.520000000000003</v>
      </c>
      <c r="E31" s="58"/>
      <c r="F31" s="58" t="s">
        <v>11</v>
      </c>
      <c r="G31" s="58"/>
      <c r="H31" s="4"/>
      <c r="I31" s="4">
        <f>SUM(-1*I18+-1*I21+-1*I22+I23+-1*I20)</f>
        <v>12.96</v>
      </c>
    </row>
    <row r="32" spans="1:9" x14ac:dyDescent="0.25">
      <c r="A32" s="58" t="s">
        <v>33</v>
      </c>
      <c r="B32" s="3"/>
      <c r="C32" s="3"/>
      <c r="D32" s="57">
        <f>D29+(-1*F15)</f>
        <v>68.30961456</v>
      </c>
      <c r="E32" s="3"/>
      <c r="F32" s="58" t="s">
        <v>33</v>
      </c>
      <c r="G32" s="3"/>
      <c r="H32" s="3"/>
      <c r="I32" s="57">
        <f>I29+(-1*F15)</f>
        <v>69.858000479999987</v>
      </c>
    </row>
    <row r="33" spans="1:9" x14ac:dyDescent="0.25">
      <c r="A33" s="58" t="s">
        <v>12</v>
      </c>
      <c r="B33" s="58"/>
      <c r="C33" s="17"/>
      <c r="D33" s="17">
        <f>(D31/D18)*1</f>
        <v>0.80000000000000027</v>
      </c>
      <c r="E33" s="58"/>
      <c r="F33" s="58" t="s">
        <v>12</v>
      </c>
      <c r="G33" s="58"/>
      <c r="H33" s="17"/>
      <c r="I33" s="17">
        <f>(I31/I18)*1</f>
        <v>0.90000000000000013</v>
      </c>
    </row>
    <row r="39" spans="1:9" x14ac:dyDescent="0.25">
      <c r="A39" s="11"/>
      <c r="I39" s="28"/>
    </row>
  </sheetData>
  <sheetProtection algorithmName="SHA-512" hashValue="aqTP9yRd3HJu1h1S86NZVixiKoWXRomniJgnO036ZN8QI2UeqRSpNjgsxxlfgR6kBEYUSemMIJSumRUVptxQLw==" saltValue="srA7I3UKKuRQQpDWKPnQyQ==" spinCount="100000" sheet="1" objects="1" scenarios="1"/>
  <mergeCells count="13">
    <mergeCell ref="G16:H16"/>
    <mergeCell ref="F10:G10"/>
    <mergeCell ref="F11:G11"/>
    <mergeCell ref="F12:G12"/>
    <mergeCell ref="F13:G13"/>
    <mergeCell ref="F14:G14"/>
    <mergeCell ref="F15:G15"/>
    <mergeCell ref="F9:G9"/>
    <mergeCell ref="B1:I1"/>
    <mergeCell ref="F5:G5"/>
    <mergeCell ref="F6:G6"/>
    <mergeCell ref="F7:G7"/>
    <mergeCell ref="F8:G8"/>
  </mergeCells>
  <conditionalFormatting sqref="E9">
    <cfRule type="colorScale" priority="1">
      <colorScale>
        <cfvo type="num" val="1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80AA4-C15C-7E46-B31E-30F8CF5FE220}">
  <dimension ref="A1:I33"/>
  <sheetViews>
    <sheetView workbookViewId="0">
      <selection activeCell="C20" sqref="A1:XFD1048576"/>
    </sheetView>
  </sheetViews>
  <sheetFormatPr defaultColWidth="10.875" defaultRowHeight="15.75" x14ac:dyDescent="0.25"/>
  <cols>
    <col min="1" max="16384" width="10.875" style="63"/>
  </cols>
  <sheetData>
    <row r="1" spans="1:9" ht="21" x14ac:dyDescent="0.35">
      <c r="A1" s="19" t="s">
        <v>22</v>
      </c>
      <c r="B1" s="165" t="str">
        <f>Pricing!C1</f>
        <v>Tramadol</v>
      </c>
      <c r="C1" s="165"/>
      <c r="D1" s="165"/>
      <c r="E1" s="165"/>
      <c r="F1" s="165"/>
      <c r="G1" s="165"/>
      <c r="H1" s="165"/>
      <c r="I1" s="165"/>
    </row>
    <row r="2" spans="1:9" ht="21" x14ac:dyDescent="0.35">
      <c r="A2" s="19" t="s">
        <v>15</v>
      </c>
      <c r="B2" s="32">
        <v>100</v>
      </c>
      <c r="C2" s="62" t="str">
        <f>Pricing!D2</f>
        <v>Capsules</v>
      </c>
      <c r="D2" s="20"/>
      <c r="E2" s="20"/>
      <c r="F2" s="20"/>
      <c r="G2" s="20"/>
      <c r="H2" s="20"/>
      <c r="I2" s="20"/>
    </row>
    <row r="3" spans="1:9" ht="21" x14ac:dyDescent="0.35">
      <c r="A3" s="19" t="str">
        <f>Pricing!B3</f>
        <v>Rebate</v>
      </c>
      <c r="B3" s="38">
        <f>Pricing!C3</f>
        <v>0.2</v>
      </c>
      <c r="C3" s="59"/>
      <c r="D3" s="21"/>
      <c r="E3" s="21"/>
      <c r="F3" s="21"/>
      <c r="G3" s="21"/>
      <c r="H3" s="21"/>
      <c r="I3" s="21"/>
    </row>
    <row r="4" spans="1:9" x14ac:dyDescent="0.25">
      <c r="A4" s="21"/>
      <c r="B4" s="21"/>
      <c r="C4" s="59"/>
      <c r="D4" s="21"/>
      <c r="E4" s="21"/>
      <c r="F4" s="21"/>
      <c r="G4" s="21"/>
      <c r="H4" s="21"/>
      <c r="I4" s="21"/>
    </row>
    <row r="5" spans="1:9" ht="48" x14ac:dyDescent="0.3">
      <c r="A5" s="61"/>
      <c r="B5" s="61" t="s">
        <v>0</v>
      </c>
      <c r="C5" s="22" t="s">
        <v>1</v>
      </c>
      <c r="D5" s="29" t="str">
        <f>Pricing!E2</f>
        <v>Amount (gm) per Capsule</v>
      </c>
      <c r="E5" s="61" t="s">
        <v>3</v>
      </c>
      <c r="F5" s="166" t="s">
        <v>4</v>
      </c>
      <c r="G5" s="166"/>
      <c r="H5" s="61"/>
      <c r="I5" s="34"/>
    </row>
    <row r="6" spans="1:9" ht="18.75" x14ac:dyDescent="0.3">
      <c r="A6" s="61" t="str">
        <f>Pricing!B6</f>
        <v>Tramadol</v>
      </c>
      <c r="B6" s="5">
        <f>Pricing!C6</f>
        <v>100</v>
      </c>
      <c r="C6" s="59">
        <f>Pricing!D6</f>
        <v>480</v>
      </c>
      <c r="D6" s="31">
        <f>Pricing!E6</f>
        <v>0.06</v>
      </c>
      <c r="E6" s="23">
        <f>B2*D6</f>
        <v>6</v>
      </c>
      <c r="F6" s="164">
        <f>(C6/B6)*E6</f>
        <v>28.799999999999997</v>
      </c>
      <c r="G6" s="164"/>
      <c r="H6" s="21"/>
      <c r="I6" s="34"/>
    </row>
    <row r="7" spans="1:9" ht="18.75" x14ac:dyDescent="0.3">
      <c r="A7" s="61">
        <f>Pricing!B7</f>
        <v>0</v>
      </c>
      <c r="B7" s="5">
        <f>Pricing!C7</f>
        <v>1</v>
      </c>
      <c r="C7" s="59">
        <f>Pricing!D7</f>
        <v>0</v>
      </c>
      <c r="D7" s="31">
        <f>Pricing!E7</f>
        <v>1.4999999999999999E-4</v>
      </c>
      <c r="E7" s="23">
        <f>B2*D7</f>
        <v>1.4999999999999999E-2</v>
      </c>
      <c r="F7" s="164">
        <f t="shared" ref="F7:F14" si="0">(C7/B7)*E7</f>
        <v>0</v>
      </c>
      <c r="G7" s="164"/>
      <c r="H7" s="21"/>
      <c r="I7" s="34"/>
    </row>
    <row r="8" spans="1:9" ht="18.75" x14ac:dyDescent="0.3">
      <c r="A8" s="61">
        <f>Pricing!B8</f>
        <v>0</v>
      </c>
      <c r="B8" s="5">
        <f>Pricing!C8</f>
        <v>1</v>
      </c>
      <c r="C8" s="59">
        <f>Pricing!D8</f>
        <v>0</v>
      </c>
      <c r="D8" s="31">
        <f>Pricing!E8</f>
        <v>1.4999999999999999E-4</v>
      </c>
      <c r="E8" s="23">
        <f>B2*D8</f>
        <v>1.4999999999999999E-2</v>
      </c>
      <c r="F8" s="164">
        <f t="shared" si="0"/>
        <v>0</v>
      </c>
      <c r="G8" s="164"/>
      <c r="H8" s="21"/>
      <c r="I8" s="34"/>
    </row>
    <row r="9" spans="1:9" x14ac:dyDescent="0.25">
      <c r="A9" s="61">
        <f>Pricing!B9</f>
        <v>0</v>
      </c>
      <c r="B9" s="5">
        <f>Pricing!C9</f>
        <v>1</v>
      </c>
      <c r="C9" s="59">
        <f>Pricing!D9</f>
        <v>0</v>
      </c>
      <c r="D9" s="31">
        <f>Pricing!E9</f>
        <v>0.22500000000000001</v>
      </c>
      <c r="E9" s="23"/>
      <c r="F9" s="164">
        <f t="shared" si="0"/>
        <v>0</v>
      </c>
      <c r="G9" s="164"/>
      <c r="H9" s="21"/>
      <c r="I9" s="21"/>
    </row>
    <row r="10" spans="1:9" x14ac:dyDescent="0.25">
      <c r="A10" s="61">
        <f>Pricing!B10</f>
        <v>0</v>
      </c>
      <c r="B10" s="5">
        <f>Pricing!C10</f>
        <v>1</v>
      </c>
      <c r="C10" s="59">
        <f>Pricing!D10</f>
        <v>0</v>
      </c>
      <c r="D10" s="31">
        <f>Pricing!E10</f>
        <v>4.3999999999999997E-2</v>
      </c>
      <c r="E10" s="23"/>
      <c r="F10" s="164">
        <f t="shared" si="0"/>
        <v>0</v>
      </c>
      <c r="G10" s="164"/>
      <c r="H10" s="21"/>
      <c r="I10" s="21"/>
    </row>
    <row r="11" spans="1:9" x14ac:dyDescent="0.25">
      <c r="A11" s="61" t="str">
        <f>Pricing!B11</f>
        <v>Capsule</v>
      </c>
      <c r="B11" s="5">
        <f>Pricing!C11</f>
        <v>1000</v>
      </c>
      <c r="C11" s="59">
        <f>Pricing!D11</f>
        <v>24</v>
      </c>
      <c r="D11" s="31">
        <f>Pricing!E11</f>
        <v>1</v>
      </c>
      <c r="E11" s="23"/>
      <c r="F11" s="164">
        <f t="shared" si="0"/>
        <v>0</v>
      </c>
      <c r="G11" s="164"/>
      <c r="H11" s="21"/>
      <c r="I11" s="21"/>
    </row>
    <row r="12" spans="1:9" x14ac:dyDescent="0.25">
      <c r="A12" s="61">
        <f>Pricing!B12</f>
        <v>0</v>
      </c>
      <c r="B12" s="5">
        <f>Pricing!C12</f>
        <v>1</v>
      </c>
      <c r="C12" s="59">
        <f>Pricing!D12</f>
        <v>0</v>
      </c>
      <c r="D12" s="31">
        <f>Pricing!E12</f>
        <v>0</v>
      </c>
      <c r="E12" s="23"/>
      <c r="F12" s="164">
        <f t="shared" si="0"/>
        <v>0</v>
      </c>
      <c r="G12" s="164"/>
      <c r="H12" s="21"/>
      <c r="I12" s="21"/>
    </row>
    <row r="13" spans="1:9" x14ac:dyDescent="0.25">
      <c r="A13" s="61">
        <f>Pricing!B13</f>
        <v>0</v>
      </c>
      <c r="B13" s="5">
        <f>Pricing!C13</f>
        <v>1</v>
      </c>
      <c r="C13" s="59">
        <f>Pricing!D13</f>
        <v>0</v>
      </c>
      <c r="D13" s="31">
        <f>Pricing!E13</f>
        <v>0</v>
      </c>
      <c r="E13" s="23"/>
      <c r="F13" s="164">
        <f t="shared" si="0"/>
        <v>0</v>
      </c>
      <c r="G13" s="164"/>
      <c r="H13" s="21"/>
      <c r="I13" s="21"/>
    </row>
    <row r="14" spans="1:9" x14ac:dyDescent="0.25">
      <c r="A14" s="61">
        <f>Pricing!B14</f>
        <v>0</v>
      </c>
      <c r="B14" s="5">
        <f>Pricing!C14</f>
        <v>1</v>
      </c>
      <c r="C14" s="59">
        <f>Pricing!D14</f>
        <v>0</v>
      </c>
      <c r="D14" s="31">
        <f>Pricing!E14</f>
        <v>0</v>
      </c>
      <c r="E14" s="23"/>
      <c r="F14" s="164">
        <f t="shared" si="0"/>
        <v>0</v>
      </c>
      <c r="G14" s="164"/>
      <c r="H14" s="21"/>
      <c r="I14" s="21"/>
    </row>
    <row r="15" spans="1:9" ht="21" x14ac:dyDescent="0.35">
      <c r="A15" s="61"/>
      <c r="B15" s="61"/>
      <c r="C15" s="59"/>
      <c r="D15" s="34" t="s">
        <v>13</v>
      </c>
      <c r="E15" s="26"/>
      <c r="F15" s="168">
        <f>SUM(F6:F14)</f>
        <v>28.799999999999997</v>
      </c>
      <c r="G15" s="168"/>
      <c r="H15" s="21"/>
      <c r="I15" s="21"/>
    </row>
    <row r="16" spans="1:9" x14ac:dyDescent="0.25">
      <c r="A16" s="61" t="s">
        <v>14</v>
      </c>
      <c r="B16" s="21"/>
      <c r="C16" s="61" t="s">
        <v>20</v>
      </c>
      <c r="D16" s="10">
        <v>0.8</v>
      </c>
      <c r="E16" s="61"/>
      <c r="F16" s="61"/>
      <c r="G16" s="167" t="s">
        <v>21</v>
      </c>
      <c r="H16" s="167"/>
      <c r="I16" s="10">
        <f>Pricing!R1</f>
        <v>0.9</v>
      </c>
    </row>
    <row r="17" spans="1:9" x14ac:dyDescent="0.25">
      <c r="A17" s="21"/>
      <c r="B17" s="61" t="s">
        <v>18</v>
      </c>
      <c r="C17" s="61" t="s">
        <v>19</v>
      </c>
      <c r="D17" s="21"/>
      <c r="E17" s="21"/>
      <c r="F17" s="21"/>
      <c r="G17" s="61" t="s">
        <v>18</v>
      </c>
      <c r="H17" s="61" t="s">
        <v>19</v>
      </c>
      <c r="I17" s="21"/>
    </row>
    <row r="18" spans="1:9" x14ac:dyDescent="0.25">
      <c r="A18" s="21" t="s">
        <v>5</v>
      </c>
      <c r="B18" s="21"/>
      <c r="C18" s="21"/>
      <c r="D18" s="59">
        <f>F15</f>
        <v>28.799999999999997</v>
      </c>
      <c r="E18" s="21"/>
      <c r="F18" s="21" t="s">
        <v>5</v>
      </c>
      <c r="G18" s="21"/>
      <c r="H18" s="21"/>
      <c r="I18" s="59">
        <f>F15</f>
        <v>28.799999999999997</v>
      </c>
    </row>
    <row r="19" spans="1:9" x14ac:dyDescent="0.25">
      <c r="A19" s="21" t="s">
        <v>17</v>
      </c>
      <c r="B19" s="21"/>
      <c r="C19" s="21"/>
      <c r="D19" s="59">
        <f>D18*0.8</f>
        <v>23.04</v>
      </c>
      <c r="E19" s="21"/>
      <c r="F19" s="21" t="s">
        <v>17</v>
      </c>
      <c r="G19" s="21"/>
      <c r="H19" s="21"/>
      <c r="I19" s="59">
        <f>I16*F15</f>
        <v>25.919999999999998</v>
      </c>
    </row>
    <row r="20" spans="1:9" x14ac:dyDescent="0.25">
      <c r="A20" s="61" t="s">
        <v>16</v>
      </c>
      <c r="B20" s="5">
        <v>1</v>
      </c>
      <c r="C20" s="11">
        <f>Pricing!L5</f>
        <v>25</v>
      </c>
      <c r="D20" s="59">
        <f>B20*C20</f>
        <v>25</v>
      </c>
      <c r="E20" s="21"/>
      <c r="F20" s="61" t="s">
        <v>16</v>
      </c>
      <c r="G20" s="5">
        <f>B20</f>
        <v>1</v>
      </c>
      <c r="H20" s="11">
        <f>C20</f>
        <v>25</v>
      </c>
      <c r="I20" s="59">
        <f>G20*H20</f>
        <v>25</v>
      </c>
    </row>
    <row r="21" spans="1:9" x14ac:dyDescent="0.25">
      <c r="A21" s="21" t="s">
        <v>8</v>
      </c>
      <c r="B21" s="21"/>
      <c r="C21" s="21"/>
      <c r="D21" s="59">
        <f>Pricing!M6</f>
        <v>1</v>
      </c>
      <c r="E21" s="21"/>
      <c r="F21" s="21" t="s">
        <v>8</v>
      </c>
      <c r="G21" s="21"/>
      <c r="H21" s="21"/>
      <c r="I21" s="59">
        <f>D21</f>
        <v>1</v>
      </c>
    </row>
    <row r="22" spans="1:9" x14ac:dyDescent="0.25">
      <c r="A22" s="21" t="s">
        <v>9</v>
      </c>
      <c r="B22" s="21"/>
      <c r="C22" s="21"/>
      <c r="D22" s="59">
        <f>Pricing!M7</f>
        <v>25</v>
      </c>
      <c r="E22" s="21"/>
      <c r="F22" s="21" t="s">
        <v>9</v>
      </c>
      <c r="G22" s="21"/>
      <c r="H22" s="21"/>
      <c r="I22" s="59">
        <f>D22</f>
        <v>25</v>
      </c>
    </row>
    <row r="23" spans="1:9" x14ac:dyDescent="0.25">
      <c r="A23" s="14" t="s">
        <v>28</v>
      </c>
      <c r="B23" s="3"/>
      <c r="C23" s="57"/>
      <c r="D23" s="57">
        <f>SUM(D18:D22)</f>
        <v>102.84</v>
      </c>
      <c r="E23" s="3"/>
      <c r="F23" s="14" t="s">
        <v>28</v>
      </c>
      <c r="G23" s="3"/>
      <c r="H23" s="57"/>
      <c r="I23" s="57">
        <f>SUM(I18:I22)</f>
        <v>105.72</v>
      </c>
    </row>
    <row r="24" spans="1:9" x14ac:dyDescent="0.25">
      <c r="A24" s="3" t="s">
        <v>6</v>
      </c>
      <c r="B24" s="3"/>
      <c r="C24" s="57"/>
      <c r="D24" s="57">
        <f>D23*0.075268</f>
        <v>7.7405611200000006</v>
      </c>
      <c r="E24" s="3"/>
      <c r="F24" s="3" t="s">
        <v>6</v>
      </c>
      <c r="G24" s="3"/>
      <c r="H24" s="57"/>
      <c r="I24" s="57">
        <f>I23*0.075268</f>
        <v>7.9573329600000005</v>
      </c>
    </row>
    <row r="25" spans="1:9" x14ac:dyDescent="0.25">
      <c r="A25" s="3" t="s">
        <v>29</v>
      </c>
      <c r="B25" s="3"/>
      <c r="C25" s="57"/>
      <c r="D25" s="57">
        <f>D23+D24</f>
        <v>110.58056112</v>
      </c>
      <c r="E25" s="3"/>
      <c r="F25" s="3" t="s">
        <v>29</v>
      </c>
      <c r="G25" s="3"/>
      <c r="H25" s="57"/>
      <c r="I25" s="57">
        <f>I23+I24</f>
        <v>113.67733296</v>
      </c>
    </row>
    <row r="26" spans="1:9" x14ac:dyDescent="0.25">
      <c r="A26" s="3" t="s">
        <v>7</v>
      </c>
      <c r="B26" s="3"/>
      <c r="C26" s="57"/>
      <c r="D26" s="57">
        <f>(D25*B3)/(1+(-1*B3))</f>
        <v>27.64514028</v>
      </c>
      <c r="E26" s="3"/>
      <c r="F26" s="3" t="s">
        <v>7</v>
      </c>
      <c r="G26" s="3"/>
      <c r="H26" s="57"/>
      <c r="I26" s="57">
        <f>(I25*B3)/(1+(-1*B3))</f>
        <v>28.41933324</v>
      </c>
    </row>
    <row r="27" spans="1:9" x14ac:dyDescent="0.25">
      <c r="A27" s="3"/>
      <c r="B27" s="3"/>
      <c r="C27" s="57"/>
      <c r="D27" s="57"/>
      <c r="E27" s="3"/>
      <c r="F27" s="3"/>
      <c r="G27" s="3"/>
      <c r="H27" s="57"/>
      <c r="I27" s="57"/>
    </row>
    <row r="28" spans="1:9" ht="18.75" x14ac:dyDescent="0.25">
      <c r="A28" s="15" t="s">
        <v>10</v>
      </c>
      <c r="B28" s="15"/>
      <c r="C28" s="16"/>
      <c r="D28" s="35">
        <f>D25+D26</f>
        <v>138.22570139999999</v>
      </c>
      <c r="E28" s="15"/>
      <c r="F28" s="15" t="s">
        <v>10</v>
      </c>
      <c r="G28" s="15"/>
      <c r="H28" s="16"/>
      <c r="I28" s="16">
        <f>I25+I26</f>
        <v>142.09666620000002</v>
      </c>
    </row>
    <row r="29" spans="1:9" ht="18.75" x14ac:dyDescent="0.3">
      <c r="A29" s="33" t="s">
        <v>29</v>
      </c>
      <c r="B29" s="33"/>
      <c r="C29" s="8"/>
      <c r="D29" s="36">
        <f>D25</f>
        <v>110.58056112</v>
      </c>
      <c r="E29" s="33"/>
      <c r="F29" s="33" t="s">
        <v>29</v>
      </c>
      <c r="G29" s="33"/>
      <c r="H29" s="8"/>
      <c r="I29" s="8">
        <f>I25</f>
        <v>113.67733296</v>
      </c>
    </row>
    <row r="30" spans="1:9" x14ac:dyDescent="0.25">
      <c r="A30" s="3"/>
      <c r="B30" s="3"/>
      <c r="C30" s="57"/>
      <c r="D30" s="57"/>
      <c r="E30" s="3"/>
      <c r="F30" s="3"/>
      <c r="G30" s="3"/>
      <c r="H30" s="57"/>
      <c r="I30" s="57"/>
    </row>
    <row r="31" spans="1:9" x14ac:dyDescent="0.25">
      <c r="A31" s="58" t="s">
        <v>11</v>
      </c>
      <c r="B31" s="58"/>
      <c r="C31" s="4"/>
      <c r="D31" s="4">
        <f>SUM(-1*D18+-1*D21+-1*D22+D23+-1*D20)</f>
        <v>23.040000000000006</v>
      </c>
      <c r="E31" s="58"/>
      <c r="F31" s="58" t="s">
        <v>11</v>
      </c>
      <c r="G31" s="58"/>
      <c r="H31" s="4"/>
      <c r="I31" s="4">
        <f>SUM(-1*I18+-1*I21+-1*I22+I23+-1*I20)</f>
        <v>25.92</v>
      </c>
    </row>
    <row r="32" spans="1:9" x14ac:dyDescent="0.25">
      <c r="A32" s="58" t="s">
        <v>33</v>
      </c>
      <c r="B32" s="3"/>
      <c r="C32" s="3"/>
      <c r="D32" s="57">
        <f>D29+(-1*F15)</f>
        <v>81.780561120000002</v>
      </c>
      <c r="E32" s="3"/>
      <c r="F32" s="58" t="s">
        <v>33</v>
      </c>
      <c r="G32" s="3"/>
      <c r="H32" s="3"/>
      <c r="I32" s="57">
        <f>I29+(-1*F15)</f>
        <v>84.877332960000004</v>
      </c>
    </row>
    <row r="33" spans="1:9" x14ac:dyDescent="0.25">
      <c r="A33" s="58" t="s">
        <v>12</v>
      </c>
      <c r="B33" s="58"/>
      <c r="C33" s="17"/>
      <c r="D33" s="17">
        <f>(D31/D18)*1</f>
        <v>0.80000000000000027</v>
      </c>
      <c r="E33" s="58"/>
      <c r="F33" s="58" t="s">
        <v>12</v>
      </c>
      <c r="G33" s="58"/>
      <c r="H33" s="17"/>
      <c r="I33" s="17">
        <f>(I31/I18)*1</f>
        <v>0.90000000000000013</v>
      </c>
    </row>
  </sheetData>
  <sheetProtection algorithmName="SHA-512" hashValue="oKU6dR0XF6gT/wgnboYBJ41PEyVYpyQBKT3bGxxIVn1O/fpS+TGPfIJIp8YTmlWR7pBA+gMgz4r1riVi0r3XeQ==" saltValue="UzaBxfJKxemuBhUw2nhvTg==" spinCount="100000" sheet="1" objects="1" scenarios="1"/>
  <mergeCells count="13">
    <mergeCell ref="G16:H16"/>
    <mergeCell ref="F10:G10"/>
    <mergeCell ref="F11:G11"/>
    <mergeCell ref="F12:G12"/>
    <mergeCell ref="F13:G13"/>
    <mergeCell ref="F14:G14"/>
    <mergeCell ref="F15:G15"/>
    <mergeCell ref="F9:G9"/>
    <mergeCell ref="B1:I1"/>
    <mergeCell ref="F5:G5"/>
    <mergeCell ref="F6:G6"/>
    <mergeCell ref="F7:G7"/>
    <mergeCell ref="F8:G8"/>
  </mergeCells>
  <conditionalFormatting sqref="E9">
    <cfRule type="colorScale" priority="1">
      <colorScale>
        <cfvo type="num" val="1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F3606-5CAC-A049-A73C-016F037B7C0C}">
  <dimension ref="A1:N39"/>
  <sheetViews>
    <sheetView workbookViewId="0">
      <selection activeCell="B20" sqref="A1:XFD1048576"/>
    </sheetView>
  </sheetViews>
  <sheetFormatPr defaultColWidth="10.875" defaultRowHeight="15.75" x14ac:dyDescent="0.25"/>
  <cols>
    <col min="1" max="1" width="20" style="21" customWidth="1"/>
    <col min="2" max="2" width="10.875" style="21"/>
    <col min="3" max="3" width="10.875" style="59"/>
    <col min="4" max="16384" width="10.875" style="21"/>
  </cols>
  <sheetData>
    <row r="1" spans="1:14" s="61" customFormat="1" ht="30" customHeight="1" x14ac:dyDescent="0.35">
      <c r="A1" s="19" t="s">
        <v>22</v>
      </c>
      <c r="B1" s="165" t="str">
        <f>Pricing!C1</f>
        <v>Tramadol</v>
      </c>
      <c r="C1" s="165"/>
      <c r="D1" s="165"/>
      <c r="E1" s="165"/>
      <c r="F1" s="165"/>
      <c r="G1" s="165"/>
      <c r="H1" s="165"/>
      <c r="I1" s="165"/>
    </row>
    <row r="2" spans="1:14" ht="32.1" customHeight="1" x14ac:dyDescent="0.35">
      <c r="A2" s="19" t="s">
        <v>15</v>
      </c>
      <c r="B2" s="32">
        <v>150</v>
      </c>
      <c r="C2" s="62" t="s">
        <v>25</v>
      </c>
      <c r="D2" s="20"/>
      <c r="E2" s="20"/>
      <c r="F2" s="20"/>
      <c r="G2" s="20"/>
      <c r="H2" s="20"/>
      <c r="I2" s="20"/>
    </row>
    <row r="3" spans="1:14" ht="21" x14ac:dyDescent="0.35">
      <c r="A3" s="19" t="str">
        <f>Pricing!B3</f>
        <v>Rebate</v>
      </c>
      <c r="B3" s="38">
        <f>Pricing!C3</f>
        <v>0.2</v>
      </c>
    </row>
    <row r="5" spans="1:14" s="61" customFormat="1" ht="18.75" x14ac:dyDescent="0.3">
      <c r="B5" s="61" t="s">
        <v>0</v>
      </c>
      <c r="C5" s="22" t="s">
        <v>1</v>
      </c>
      <c r="D5" s="61" t="s">
        <v>2</v>
      </c>
      <c r="E5" s="61" t="s">
        <v>3</v>
      </c>
      <c r="F5" s="166" t="s">
        <v>4</v>
      </c>
      <c r="G5" s="166"/>
      <c r="I5" s="34"/>
      <c r="J5" s="34"/>
      <c r="K5" s="34"/>
      <c r="L5" s="34"/>
      <c r="M5" s="34"/>
      <c r="N5" s="34"/>
    </row>
    <row r="6" spans="1:14" ht="18.75" x14ac:dyDescent="0.3">
      <c r="A6" s="61" t="str">
        <f>Pricing!B6</f>
        <v>Tramadol</v>
      </c>
      <c r="B6" s="5">
        <f>Pricing!C6</f>
        <v>100</v>
      </c>
      <c r="C6" s="59">
        <f>Pricing!D6</f>
        <v>480</v>
      </c>
      <c r="D6" s="30">
        <f>Pricing!E6</f>
        <v>0.06</v>
      </c>
      <c r="E6" s="23">
        <f>B2*D6</f>
        <v>9</v>
      </c>
      <c r="F6" s="164">
        <f t="shared" ref="F6:F14" si="0">(C6/B6)*E6</f>
        <v>43.199999999999996</v>
      </c>
      <c r="G6" s="164"/>
      <c r="I6" s="34"/>
      <c r="J6" s="34"/>
      <c r="K6" s="34"/>
      <c r="L6" s="34"/>
      <c r="M6" s="34"/>
      <c r="N6" s="34"/>
    </row>
    <row r="7" spans="1:14" ht="18.75" x14ac:dyDescent="0.3">
      <c r="A7" s="61">
        <f>Pricing!B7</f>
        <v>0</v>
      </c>
      <c r="B7" s="5">
        <f>Pricing!C7</f>
        <v>1</v>
      </c>
      <c r="C7" s="59">
        <f>Pricing!D7</f>
        <v>0</v>
      </c>
      <c r="D7" s="30">
        <f>Pricing!E7</f>
        <v>1.4999999999999999E-4</v>
      </c>
      <c r="E7" s="23">
        <f>B2*D7</f>
        <v>2.2499999999999999E-2</v>
      </c>
      <c r="F7" s="164">
        <f t="shared" si="0"/>
        <v>0</v>
      </c>
      <c r="G7" s="164"/>
      <c r="I7" s="34"/>
      <c r="J7" s="34"/>
      <c r="K7" s="34"/>
      <c r="L7" s="34"/>
      <c r="M7" s="34"/>
      <c r="N7" s="24"/>
    </row>
    <row r="8" spans="1:14" ht="18.75" x14ac:dyDescent="0.3">
      <c r="A8" s="61">
        <f>Pricing!B8</f>
        <v>0</v>
      </c>
      <c r="B8" s="5">
        <f>Pricing!C8</f>
        <v>1</v>
      </c>
      <c r="C8" s="59">
        <f>Pricing!D8</f>
        <v>0</v>
      </c>
      <c r="D8" s="30">
        <f>Pricing!E8</f>
        <v>1.4999999999999999E-4</v>
      </c>
      <c r="E8" s="23">
        <f>B2*D8</f>
        <v>2.2499999999999999E-2</v>
      </c>
      <c r="F8" s="164">
        <f t="shared" si="0"/>
        <v>0</v>
      </c>
      <c r="G8" s="164"/>
      <c r="I8" s="34"/>
      <c r="J8" s="25"/>
      <c r="K8" s="25"/>
      <c r="L8" s="25"/>
      <c r="M8" s="25"/>
      <c r="N8" s="25"/>
    </row>
    <row r="9" spans="1:14" x14ac:dyDescent="0.25">
      <c r="A9" s="61">
        <f>Pricing!B9</f>
        <v>0</v>
      </c>
      <c r="B9" s="5">
        <f>Pricing!C9</f>
        <v>1</v>
      </c>
      <c r="C9" s="59">
        <f>Pricing!D9</f>
        <v>0</v>
      </c>
      <c r="D9" s="30">
        <f>Pricing!E9</f>
        <v>0.22500000000000001</v>
      </c>
      <c r="E9" s="23">
        <f>B2*D9</f>
        <v>33.75</v>
      </c>
      <c r="F9" s="164">
        <f t="shared" si="0"/>
        <v>0</v>
      </c>
      <c r="G9" s="164"/>
    </row>
    <row r="10" spans="1:14" x14ac:dyDescent="0.25">
      <c r="A10" s="61">
        <f>Pricing!B10</f>
        <v>0</v>
      </c>
      <c r="B10" s="5">
        <f>Pricing!C10</f>
        <v>1</v>
      </c>
      <c r="C10" s="59">
        <f>Pricing!D10</f>
        <v>0</v>
      </c>
      <c r="D10" s="30">
        <f>Pricing!E10</f>
        <v>4.3999999999999997E-2</v>
      </c>
      <c r="E10" s="23">
        <f>B2*D10</f>
        <v>6.6</v>
      </c>
      <c r="F10" s="164">
        <f t="shared" si="0"/>
        <v>0</v>
      </c>
      <c r="G10" s="164"/>
    </row>
    <row r="11" spans="1:14" x14ac:dyDescent="0.25">
      <c r="A11" s="61" t="str">
        <f>Pricing!B11</f>
        <v>Capsule</v>
      </c>
      <c r="B11" s="5">
        <f>Pricing!C11</f>
        <v>1000</v>
      </c>
      <c r="C11" s="59">
        <f>Pricing!D11</f>
        <v>24</v>
      </c>
      <c r="D11" s="30">
        <f>Pricing!E11</f>
        <v>1</v>
      </c>
      <c r="E11" s="23">
        <f>B2*D11</f>
        <v>150</v>
      </c>
      <c r="F11" s="164">
        <f t="shared" si="0"/>
        <v>3.6</v>
      </c>
      <c r="G11" s="164"/>
    </row>
    <row r="12" spans="1:14" x14ac:dyDescent="0.25">
      <c r="A12" s="61">
        <f>Pricing!B12</f>
        <v>0</v>
      </c>
      <c r="B12" s="5">
        <f>Pricing!C12</f>
        <v>1</v>
      </c>
      <c r="C12" s="59">
        <f>Pricing!D12</f>
        <v>0</v>
      </c>
      <c r="D12" s="30">
        <f>Pricing!E12</f>
        <v>0</v>
      </c>
      <c r="E12" s="23">
        <f>B2*D12</f>
        <v>0</v>
      </c>
      <c r="F12" s="164">
        <f t="shared" si="0"/>
        <v>0</v>
      </c>
      <c r="G12" s="164"/>
    </row>
    <row r="13" spans="1:14" s="61" customFormat="1" x14ac:dyDescent="0.25">
      <c r="A13" s="61">
        <f>Pricing!B13</f>
        <v>0</v>
      </c>
      <c r="B13" s="5">
        <f>Pricing!C13</f>
        <v>1</v>
      </c>
      <c r="C13" s="59">
        <f>Pricing!D13</f>
        <v>0</v>
      </c>
      <c r="D13" s="30">
        <f>Pricing!E13</f>
        <v>0</v>
      </c>
      <c r="E13" s="23">
        <f>B2*D13</f>
        <v>0</v>
      </c>
      <c r="F13" s="164">
        <f t="shared" si="0"/>
        <v>0</v>
      </c>
      <c r="G13" s="164"/>
      <c r="H13" s="21"/>
      <c r="I13" s="21"/>
    </row>
    <row r="14" spans="1:14" x14ac:dyDescent="0.25">
      <c r="A14" s="61">
        <f>Pricing!B14</f>
        <v>0</v>
      </c>
      <c r="B14" s="5">
        <f>Pricing!C14</f>
        <v>1</v>
      </c>
      <c r="C14" s="59">
        <f>Pricing!D14</f>
        <v>0</v>
      </c>
      <c r="D14" s="30">
        <f>Pricing!E14</f>
        <v>0</v>
      </c>
      <c r="E14" s="23">
        <f>B2*D14</f>
        <v>0</v>
      </c>
      <c r="F14" s="164">
        <f t="shared" si="0"/>
        <v>0</v>
      </c>
      <c r="G14" s="164"/>
    </row>
    <row r="15" spans="1:14" ht="21" x14ac:dyDescent="0.35">
      <c r="A15" s="61"/>
      <c r="B15" s="61"/>
      <c r="D15" s="34" t="s">
        <v>13</v>
      </c>
      <c r="E15" s="26"/>
      <c r="F15" s="168">
        <f>SUM(F6:F14)</f>
        <v>46.8</v>
      </c>
      <c r="G15" s="168"/>
    </row>
    <row r="16" spans="1:14" x14ac:dyDescent="0.25">
      <c r="A16" s="61">
        <v>150</v>
      </c>
      <c r="C16" s="61" t="s">
        <v>20</v>
      </c>
      <c r="D16" s="10">
        <v>0.8</v>
      </c>
      <c r="E16" s="61"/>
      <c r="F16" s="61"/>
      <c r="G16" s="167" t="s">
        <v>21</v>
      </c>
      <c r="H16" s="167"/>
      <c r="I16" s="10">
        <f>Pricing!R1</f>
        <v>0.9</v>
      </c>
    </row>
    <row r="17" spans="1:9" x14ac:dyDescent="0.25">
      <c r="B17" s="61" t="s">
        <v>18</v>
      </c>
      <c r="C17" s="61" t="s">
        <v>19</v>
      </c>
      <c r="G17" s="61" t="s">
        <v>18</v>
      </c>
      <c r="H17" s="61" t="s">
        <v>19</v>
      </c>
    </row>
    <row r="18" spans="1:9" x14ac:dyDescent="0.25">
      <c r="A18" s="21" t="s">
        <v>5</v>
      </c>
      <c r="C18" s="21"/>
      <c r="D18" s="59">
        <f>F15</f>
        <v>46.8</v>
      </c>
      <c r="F18" s="21" t="s">
        <v>5</v>
      </c>
      <c r="I18" s="59">
        <f>F15</f>
        <v>46.8</v>
      </c>
    </row>
    <row r="19" spans="1:9" x14ac:dyDescent="0.25">
      <c r="A19" s="21" t="s">
        <v>17</v>
      </c>
      <c r="C19" s="21"/>
      <c r="D19" s="59">
        <f>D18*0.8</f>
        <v>37.44</v>
      </c>
      <c r="F19" s="21" t="s">
        <v>17</v>
      </c>
      <c r="I19" s="59">
        <f>I16*F15</f>
        <v>42.12</v>
      </c>
    </row>
    <row r="20" spans="1:9" ht="18" customHeight="1" x14ac:dyDescent="0.25">
      <c r="A20" s="61" t="s">
        <v>16</v>
      </c>
      <c r="B20" s="5">
        <f>'100'!B20+1</f>
        <v>2</v>
      </c>
      <c r="C20" s="11">
        <f>Pricing!L5</f>
        <v>25</v>
      </c>
      <c r="D20" s="59">
        <f>B20*C20</f>
        <v>50</v>
      </c>
      <c r="F20" s="61" t="s">
        <v>16</v>
      </c>
      <c r="G20" s="5">
        <f>B20</f>
        <v>2</v>
      </c>
      <c r="H20" s="11">
        <f>C20</f>
        <v>25</v>
      </c>
      <c r="I20" s="59">
        <f>G20*H20</f>
        <v>50</v>
      </c>
    </row>
    <row r="21" spans="1:9" x14ac:dyDescent="0.25">
      <c r="A21" s="21" t="s">
        <v>8</v>
      </c>
      <c r="C21" s="21"/>
      <c r="D21" s="59">
        <f>Pricing!M6</f>
        <v>1</v>
      </c>
      <c r="F21" s="21" t="s">
        <v>8</v>
      </c>
      <c r="I21" s="59">
        <f>D21</f>
        <v>1</v>
      </c>
    </row>
    <row r="22" spans="1:9" x14ac:dyDescent="0.25">
      <c r="A22" s="21" t="s">
        <v>9</v>
      </c>
      <c r="C22" s="21"/>
      <c r="D22" s="59">
        <f>Pricing!M7</f>
        <v>25</v>
      </c>
      <c r="F22" s="21" t="s">
        <v>9</v>
      </c>
      <c r="I22" s="59">
        <f>D22</f>
        <v>25</v>
      </c>
    </row>
    <row r="23" spans="1:9" x14ac:dyDescent="0.25">
      <c r="A23" s="14" t="s">
        <v>28</v>
      </c>
      <c r="B23" s="3"/>
      <c r="C23" s="57"/>
      <c r="D23" s="57">
        <f>SUM(D18:D22)</f>
        <v>160.24</v>
      </c>
      <c r="E23" s="3"/>
      <c r="F23" s="14" t="s">
        <v>28</v>
      </c>
      <c r="G23" s="3"/>
      <c r="H23" s="57"/>
      <c r="I23" s="57">
        <f>SUM(I18:I22)</f>
        <v>164.92</v>
      </c>
    </row>
    <row r="24" spans="1:9" x14ac:dyDescent="0.25">
      <c r="A24" s="3" t="s">
        <v>6</v>
      </c>
      <c r="B24" s="3"/>
      <c r="C24" s="57"/>
      <c r="D24" s="57">
        <f>D23*0.075268</f>
        <v>12.060944320000001</v>
      </c>
      <c r="E24" s="3"/>
      <c r="F24" s="3" t="s">
        <v>6</v>
      </c>
      <c r="G24" s="3"/>
      <c r="H24" s="57"/>
      <c r="I24" s="57">
        <f>I23*0.075268</f>
        <v>12.41319856</v>
      </c>
    </row>
    <row r="25" spans="1:9" s="61" customFormat="1" x14ac:dyDescent="0.25">
      <c r="A25" s="3" t="s">
        <v>29</v>
      </c>
      <c r="B25" s="3"/>
      <c r="C25" s="57"/>
      <c r="D25" s="57">
        <f>D23+D24</f>
        <v>172.30094432000001</v>
      </c>
      <c r="E25" s="3"/>
      <c r="F25" s="3" t="s">
        <v>29</v>
      </c>
      <c r="G25" s="3"/>
      <c r="H25" s="57"/>
      <c r="I25" s="57">
        <f>I23+I24</f>
        <v>177.33319856</v>
      </c>
    </row>
    <row r="26" spans="1:9" x14ac:dyDescent="0.25">
      <c r="A26" s="3" t="s">
        <v>7</v>
      </c>
      <c r="B26" s="3"/>
      <c r="C26" s="57"/>
      <c r="D26" s="57">
        <f>(D25*B3)/(1+(-1*B3))</f>
        <v>43.075236080000003</v>
      </c>
      <c r="E26" s="3"/>
      <c r="F26" s="3" t="s">
        <v>7</v>
      </c>
      <c r="G26" s="3"/>
      <c r="H26" s="57"/>
      <c r="I26" s="57">
        <f>(I25*B3)/(1+(-1*B3))</f>
        <v>44.33329964</v>
      </c>
    </row>
    <row r="27" spans="1:9" x14ac:dyDescent="0.25">
      <c r="A27" s="3"/>
      <c r="B27" s="3"/>
      <c r="C27" s="57"/>
      <c r="D27" s="57"/>
      <c r="E27" s="3"/>
      <c r="F27" s="3"/>
      <c r="G27" s="3"/>
      <c r="H27" s="57"/>
      <c r="I27" s="57"/>
    </row>
    <row r="28" spans="1:9" s="27" customFormat="1" ht="32.1" customHeight="1" x14ac:dyDescent="0.25">
      <c r="A28" s="15" t="s">
        <v>10</v>
      </c>
      <c r="B28" s="15"/>
      <c r="C28" s="16"/>
      <c r="D28" s="35">
        <f>D25+D26</f>
        <v>215.37618040000001</v>
      </c>
      <c r="E28" s="15"/>
      <c r="F28" s="15" t="s">
        <v>10</v>
      </c>
      <c r="G28" s="15"/>
      <c r="H28" s="16"/>
      <c r="I28" s="16">
        <f>I25+I26</f>
        <v>221.66649820000001</v>
      </c>
    </row>
    <row r="29" spans="1:9" ht="18.75" x14ac:dyDescent="0.3">
      <c r="A29" s="33" t="s">
        <v>29</v>
      </c>
      <c r="B29" s="33"/>
      <c r="C29" s="8"/>
      <c r="D29" s="36">
        <f>D25</f>
        <v>172.30094432000001</v>
      </c>
      <c r="E29" s="33"/>
      <c r="F29" s="33" t="s">
        <v>29</v>
      </c>
      <c r="G29" s="33"/>
      <c r="H29" s="8"/>
      <c r="I29" s="8">
        <f>I25</f>
        <v>177.33319856</v>
      </c>
    </row>
    <row r="30" spans="1:9" s="61" customFormat="1" x14ac:dyDescent="0.25">
      <c r="A30" s="3"/>
      <c r="B30" s="3"/>
      <c r="C30" s="57"/>
      <c r="D30" s="57"/>
      <c r="E30" s="3"/>
      <c r="F30" s="3"/>
      <c r="G30" s="3"/>
      <c r="H30" s="57"/>
      <c r="I30" s="57"/>
    </row>
    <row r="31" spans="1:9" x14ac:dyDescent="0.25">
      <c r="A31" s="58" t="s">
        <v>11</v>
      </c>
      <c r="B31" s="58"/>
      <c r="C31" s="4"/>
      <c r="D31" s="4">
        <f>SUM(-1*D18+-1*D21+-1*D22+D23+-1*D20)</f>
        <v>37.440000000000012</v>
      </c>
      <c r="E31" s="58"/>
      <c r="F31" s="58" t="s">
        <v>11</v>
      </c>
      <c r="G31" s="58"/>
      <c r="H31" s="4"/>
      <c r="I31" s="4">
        <f>SUM(-1*I18+-1*I21+-1*I22+I23+-1*I20)</f>
        <v>42.11999999999999</v>
      </c>
    </row>
    <row r="32" spans="1:9" x14ac:dyDescent="0.25">
      <c r="A32" s="58" t="s">
        <v>33</v>
      </c>
      <c r="B32" s="3"/>
      <c r="C32" s="3"/>
      <c r="D32" s="57">
        <f>D29+(-1*F15)</f>
        <v>125.50094432000002</v>
      </c>
      <c r="E32" s="3"/>
      <c r="F32" s="58" t="s">
        <v>33</v>
      </c>
      <c r="G32" s="3"/>
      <c r="H32" s="3"/>
      <c r="I32" s="57">
        <f>I29+(-1*F15)</f>
        <v>130.53319856000002</v>
      </c>
    </row>
    <row r="33" spans="1:9" x14ac:dyDescent="0.25">
      <c r="A33" s="58" t="s">
        <v>12</v>
      </c>
      <c r="B33" s="58"/>
      <c r="C33" s="17"/>
      <c r="D33" s="17">
        <f>(D31/D18)*1</f>
        <v>0.80000000000000027</v>
      </c>
      <c r="E33" s="58"/>
      <c r="F33" s="58" t="s">
        <v>12</v>
      </c>
      <c r="G33" s="58"/>
      <c r="H33" s="17"/>
      <c r="I33" s="17">
        <f>(I31/I18)*1</f>
        <v>0.8999999999999998</v>
      </c>
    </row>
    <row r="39" spans="1:9" x14ac:dyDescent="0.25">
      <c r="A39" s="11"/>
      <c r="I39" s="28"/>
    </row>
  </sheetData>
  <sheetProtection algorithmName="SHA-512" hashValue="BYz9qoAgHSQXYGg6t2zwGkEj3ewEWPQbzRZsAphMSy3Qky9GLMvAGhaQ/n0E1AwvUlmAqV3v5g7xVByxm2uMCA==" saltValue="TfHcck615c+gO42nNjqnPw==" spinCount="100000" sheet="1" objects="1" scenarios="1"/>
  <mergeCells count="13">
    <mergeCell ref="B1:I1"/>
    <mergeCell ref="F5:G5"/>
    <mergeCell ref="F6:G6"/>
    <mergeCell ref="F7:G7"/>
    <mergeCell ref="F8:G8"/>
    <mergeCell ref="F9:G9"/>
    <mergeCell ref="G16:H16"/>
    <mergeCell ref="F10:G10"/>
    <mergeCell ref="F11:G11"/>
    <mergeCell ref="F12:G12"/>
    <mergeCell ref="F13:G13"/>
    <mergeCell ref="F14:G14"/>
    <mergeCell ref="F15:G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F497D-062B-F047-902A-1ECD1E1AE722}">
  <dimension ref="A1:W39"/>
  <sheetViews>
    <sheetView workbookViewId="0">
      <selection activeCell="G26" sqref="G26"/>
    </sheetView>
  </sheetViews>
  <sheetFormatPr defaultColWidth="10.875" defaultRowHeight="15.75" x14ac:dyDescent="0.25"/>
  <cols>
    <col min="1" max="1" width="20" style="3" customWidth="1"/>
    <col min="2" max="2" width="10.875" style="3"/>
    <col min="3" max="3" width="10.875" style="57"/>
    <col min="4" max="16384" width="10.875" style="3"/>
  </cols>
  <sheetData>
    <row r="1" spans="1:23" s="58" customFormat="1" ht="30" customHeight="1" x14ac:dyDescent="0.35">
      <c r="A1" s="1" t="s">
        <v>22</v>
      </c>
      <c r="B1" s="165" t="str">
        <f>Pricing!C1</f>
        <v>Tramadol</v>
      </c>
      <c r="C1" s="165"/>
      <c r="D1" s="165"/>
      <c r="E1" s="165"/>
      <c r="F1" s="165"/>
      <c r="G1" s="165"/>
      <c r="H1" s="165"/>
      <c r="I1" s="165"/>
    </row>
    <row r="2" spans="1:23" ht="32.1" customHeight="1" x14ac:dyDescent="0.35">
      <c r="A2" s="1" t="s">
        <v>15</v>
      </c>
      <c r="B2" s="32">
        <v>200</v>
      </c>
      <c r="C2" s="62" t="s">
        <v>25</v>
      </c>
      <c r="D2" s="20"/>
      <c r="E2" s="20"/>
      <c r="F2" s="20"/>
      <c r="G2" s="20"/>
      <c r="H2" s="20"/>
      <c r="I2" s="20"/>
    </row>
    <row r="3" spans="1:23" ht="21" x14ac:dyDescent="0.35">
      <c r="A3" s="19" t="str">
        <f>Pricing!B3</f>
        <v>Rebate</v>
      </c>
      <c r="B3" s="38">
        <f>Pricing!C3</f>
        <v>0.2</v>
      </c>
    </row>
    <row r="5" spans="1:23" s="58" customFormat="1" ht="18.75" x14ac:dyDescent="0.3">
      <c r="B5" s="58" t="s">
        <v>0</v>
      </c>
      <c r="C5" s="4" t="s">
        <v>1</v>
      </c>
      <c r="D5" s="58" t="s">
        <v>2</v>
      </c>
      <c r="E5" s="58" t="s">
        <v>3</v>
      </c>
      <c r="F5" s="135" t="s">
        <v>4</v>
      </c>
      <c r="G5" s="135"/>
      <c r="I5" s="33"/>
      <c r="J5" s="33"/>
      <c r="K5" s="33"/>
      <c r="L5" s="33"/>
      <c r="M5" s="33"/>
      <c r="N5" s="33"/>
    </row>
    <row r="6" spans="1:23" ht="18.75" x14ac:dyDescent="0.3">
      <c r="A6" s="61" t="str">
        <f>Pricing!B6</f>
        <v>Tramadol</v>
      </c>
      <c r="B6" s="5">
        <f>Pricing!C6</f>
        <v>100</v>
      </c>
      <c r="C6" s="59">
        <f>Pricing!D6</f>
        <v>480</v>
      </c>
      <c r="D6" s="30">
        <f>Pricing!E6</f>
        <v>0.06</v>
      </c>
      <c r="E6" s="6">
        <f>B2*D6</f>
        <v>12</v>
      </c>
      <c r="F6" s="134">
        <f t="shared" ref="F6:F14" si="0">(C6/B6)*E6</f>
        <v>57.599999999999994</v>
      </c>
      <c r="G6" s="134"/>
      <c r="I6" s="33"/>
      <c r="J6" s="33"/>
      <c r="K6" s="33"/>
      <c r="L6" s="33"/>
      <c r="M6" s="33"/>
      <c r="N6" s="33"/>
    </row>
    <row r="7" spans="1:23" ht="18.75" x14ac:dyDescent="0.3">
      <c r="A7" s="61">
        <f>Pricing!B7</f>
        <v>0</v>
      </c>
      <c r="B7" s="5">
        <f>Pricing!C7</f>
        <v>1</v>
      </c>
      <c r="C7" s="59">
        <f>Pricing!D7</f>
        <v>0</v>
      </c>
      <c r="D7" s="30">
        <f>Pricing!E7</f>
        <v>1.4999999999999999E-4</v>
      </c>
      <c r="E7" s="6">
        <f>B2*D7</f>
        <v>0.03</v>
      </c>
      <c r="F7" s="134">
        <f t="shared" si="0"/>
        <v>0</v>
      </c>
      <c r="G7" s="134"/>
      <c r="I7" s="33"/>
      <c r="J7" s="33"/>
      <c r="K7" s="33"/>
      <c r="L7" s="33"/>
      <c r="M7" s="33"/>
      <c r="N7" s="7"/>
    </row>
    <row r="8" spans="1:23" ht="18.75" x14ac:dyDescent="0.3">
      <c r="A8" s="61">
        <f>Pricing!B8</f>
        <v>0</v>
      </c>
      <c r="B8" s="5">
        <f>Pricing!C8</f>
        <v>1</v>
      </c>
      <c r="C8" s="59">
        <f>Pricing!D8</f>
        <v>0</v>
      </c>
      <c r="D8" s="30">
        <f>Pricing!E8</f>
        <v>1.4999999999999999E-4</v>
      </c>
      <c r="E8" s="6">
        <f>B2*D8</f>
        <v>0.03</v>
      </c>
      <c r="F8" s="134">
        <f t="shared" si="0"/>
        <v>0</v>
      </c>
      <c r="G8" s="134"/>
      <c r="I8" s="33"/>
      <c r="J8" s="8"/>
      <c r="K8" s="8"/>
      <c r="L8" s="8"/>
      <c r="M8" s="8"/>
      <c r="N8" s="8"/>
    </row>
    <row r="9" spans="1:23" x14ac:dyDescent="0.25">
      <c r="A9" s="61">
        <f>Pricing!B9</f>
        <v>0</v>
      </c>
      <c r="B9" s="5">
        <f>Pricing!C9</f>
        <v>1</v>
      </c>
      <c r="C9" s="59">
        <f>Pricing!D9</f>
        <v>0</v>
      </c>
      <c r="D9" s="30">
        <f>Pricing!E9</f>
        <v>0.22500000000000001</v>
      </c>
      <c r="E9" s="6">
        <f>B2*D9</f>
        <v>45</v>
      </c>
      <c r="F9" s="134">
        <f t="shared" si="0"/>
        <v>0</v>
      </c>
      <c r="G9" s="134"/>
    </row>
    <row r="10" spans="1:23" x14ac:dyDescent="0.25">
      <c r="A10" s="61">
        <f>Pricing!B10</f>
        <v>0</v>
      </c>
      <c r="B10" s="5">
        <f>Pricing!C10</f>
        <v>1</v>
      </c>
      <c r="C10" s="59">
        <f>Pricing!D10</f>
        <v>0</v>
      </c>
      <c r="D10" s="30">
        <f>Pricing!E10</f>
        <v>4.3999999999999997E-2</v>
      </c>
      <c r="E10" s="6">
        <f>B2*D10</f>
        <v>8.7999999999999989</v>
      </c>
      <c r="F10" s="134">
        <f t="shared" si="0"/>
        <v>0</v>
      </c>
      <c r="G10" s="134"/>
    </row>
    <row r="11" spans="1:23" x14ac:dyDescent="0.25">
      <c r="A11" s="61" t="str">
        <f>Pricing!B11</f>
        <v>Capsule</v>
      </c>
      <c r="B11" s="5">
        <f>Pricing!C11</f>
        <v>1000</v>
      </c>
      <c r="C11" s="59">
        <f>Pricing!D11</f>
        <v>24</v>
      </c>
      <c r="D11" s="30">
        <f>Pricing!E11</f>
        <v>1</v>
      </c>
      <c r="E11" s="6">
        <f>B2*D11</f>
        <v>200</v>
      </c>
      <c r="F11" s="134">
        <f t="shared" si="0"/>
        <v>4.8</v>
      </c>
      <c r="G11" s="134"/>
    </row>
    <row r="12" spans="1:23" x14ac:dyDescent="0.25">
      <c r="A12" s="61">
        <f>Pricing!B12</f>
        <v>0</v>
      </c>
      <c r="B12" s="5">
        <f>Pricing!C12</f>
        <v>1</v>
      </c>
      <c r="C12" s="59">
        <f>Pricing!D12</f>
        <v>0</v>
      </c>
      <c r="D12" s="30">
        <f>Pricing!E12</f>
        <v>0</v>
      </c>
      <c r="E12" s="6">
        <f>B2*D12</f>
        <v>0</v>
      </c>
      <c r="F12" s="134">
        <f t="shared" si="0"/>
        <v>0</v>
      </c>
      <c r="G12" s="134"/>
    </row>
    <row r="13" spans="1:23" s="58" customFormat="1" x14ac:dyDescent="0.25">
      <c r="A13" s="61">
        <f>Pricing!B13</f>
        <v>0</v>
      </c>
      <c r="B13" s="5">
        <f>Pricing!C13</f>
        <v>1</v>
      </c>
      <c r="C13" s="59">
        <f>Pricing!D13</f>
        <v>0</v>
      </c>
      <c r="D13" s="30">
        <f>Pricing!E13</f>
        <v>0</v>
      </c>
      <c r="E13" s="6">
        <f>B2*D13</f>
        <v>0</v>
      </c>
      <c r="F13" s="134">
        <f t="shared" si="0"/>
        <v>0</v>
      </c>
      <c r="G13" s="134"/>
      <c r="H13" s="3"/>
      <c r="I13" s="3"/>
    </row>
    <row r="14" spans="1:23" x14ac:dyDescent="0.25">
      <c r="A14" s="61">
        <f>Pricing!B14</f>
        <v>0</v>
      </c>
      <c r="B14" s="5">
        <f>Pricing!C14</f>
        <v>1</v>
      </c>
      <c r="C14" s="59">
        <f>Pricing!D14</f>
        <v>0</v>
      </c>
      <c r="D14" s="30">
        <f>Pricing!E14</f>
        <v>0</v>
      </c>
      <c r="E14" s="6">
        <f>B2*D14</f>
        <v>0</v>
      </c>
      <c r="F14" s="134">
        <f t="shared" si="0"/>
        <v>0</v>
      </c>
      <c r="G14" s="134"/>
    </row>
    <row r="15" spans="1:23" ht="21" x14ac:dyDescent="0.35">
      <c r="A15" s="58"/>
      <c r="B15" s="58"/>
      <c r="D15" s="33" t="s">
        <v>13</v>
      </c>
      <c r="E15" s="9"/>
      <c r="F15" s="132">
        <f>SUM(F6:F14)</f>
        <v>62.399999999999991</v>
      </c>
      <c r="G15" s="132"/>
    </row>
    <row r="16" spans="1:23" x14ac:dyDescent="0.25">
      <c r="A16" s="61" t="s">
        <v>14</v>
      </c>
      <c r="B16" s="21"/>
      <c r="C16" s="61" t="s">
        <v>20</v>
      </c>
      <c r="D16" s="10">
        <v>0.8</v>
      </c>
      <c r="E16" s="61"/>
      <c r="F16" s="61"/>
      <c r="G16" s="167" t="s">
        <v>21</v>
      </c>
      <c r="H16" s="167"/>
      <c r="I16" s="10">
        <f>Pricing!R1</f>
        <v>0.9</v>
      </c>
      <c r="J16" s="58"/>
      <c r="L16" s="58"/>
      <c r="M16" s="10"/>
      <c r="N16" s="58"/>
      <c r="O16" s="58"/>
      <c r="Q16" s="58"/>
      <c r="R16" s="10"/>
      <c r="T16" s="58"/>
      <c r="U16" s="133"/>
      <c r="V16" s="133"/>
      <c r="W16" s="10"/>
    </row>
    <row r="17" spans="1:23" x14ac:dyDescent="0.25">
      <c r="A17" s="21"/>
      <c r="B17" s="61" t="s">
        <v>18</v>
      </c>
      <c r="C17" s="61" t="s">
        <v>19</v>
      </c>
      <c r="D17" s="21"/>
      <c r="E17" s="21"/>
      <c r="F17" s="21"/>
      <c r="G17" s="61" t="s">
        <v>18</v>
      </c>
      <c r="H17" s="61" t="s">
        <v>19</v>
      </c>
      <c r="I17" s="21"/>
      <c r="K17" s="58"/>
      <c r="L17" s="58"/>
      <c r="P17" s="58"/>
      <c r="Q17" s="58"/>
      <c r="U17" s="58"/>
      <c r="V17" s="58"/>
    </row>
    <row r="18" spans="1:23" x14ac:dyDescent="0.25">
      <c r="A18" s="21" t="s">
        <v>5</v>
      </c>
      <c r="B18" s="21"/>
      <c r="C18" s="21"/>
      <c r="D18" s="59">
        <f>F15</f>
        <v>62.399999999999991</v>
      </c>
      <c r="E18" s="21"/>
      <c r="F18" s="21" t="s">
        <v>5</v>
      </c>
      <c r="G18" s="21"/>
      <c r="H18" s="21"/>
      <c r="I18" s="59">
        <f>F15</f>
        <v>62.399999999999991</v>
      </c>
      <c r="M18" s="57"/>
      <c r="R18" s="57"/>
      <c r="W18" s="57"/>
    </row>
    <row r="19" spans="1:23" x14ac:dyDescent="0.25">
      <c r="A19" s="21" t="s">
        <v>17</v>
      </c>
      <c r="B19" s="21"/>
      <c r="C19" s="21"/>
      <c r="D19" s="59">
        <f>D18*0.8</f>
        <v>49.919999999999995</v>
      </c>
      <c r="E19" s="21"/>
      <c r="F19" s="21" t="s">
        <v>17</v>
      </c>
      <c r="G19" s="21"/>
      <c r="H19" s="21"/>
      <c r="I19" s="59">
        <f>I16*F15</f>
        <v>56.16</v>
      </c>
      <c r="M19" s="57"/>
      <c r="R19" s="57"/>
      <c r="W19" s="57"/>
    </row>
    <row r="20" spans="1:23" ht="18" customHeight="1" x14ac:dyDescent="0.25">
      <c r="A20" s="61" t="s">
        <v>16</v>
      </c>
      <c r="B20" s="5">
        <f>'150'!B20</f>
        <v>2</v>
      </c>
      <c r="C20" s="11">
        <f>Pricing!L5</f>
        <v>25</v>
      </c>
      <c r="D20" s="59">
        <f>B20*C20</f>
        <v>50</v>
      </c>
      <c r="E20" s="21"/>
      <c r="F20" s="61" t="s">
        <v>16</v>
      </c>
      <c r="G20" s="5">
        <f>B20</f>
        <v>2</v>
      </c>
      <c r="H20" s="11">
        <f>C20</f>
        <v>25</v>
      </c>
      <c r="I20" s="59">
        <f>G20*H20</f>
        <v>50</v>
      </c>
      <c r="J20" s="58"/>
      <c r="K20" s="5"/>
      <c r="L20" s="12"/>
      <c r="M20" s="57"/>
      <c r="O20" s="58"/>
      <c r="P20" s="13"/>
      <c r="Q20" s="12"/>
      <c r="R20" s="57"/>
      <c r="T20" s="58"/>
      <c r="U20" s="5"/>
      <c r="V20" s="11"/>
      <c r="W20" s="57"/>
    </row>
    <row r="21" spans="1:23" x14ac:dyDescent="0.25">
      <c r="A21" s="21" t="s">
        <v>8</v>
      </c>
      <c r="B21" s="21"/>
      <c r="C21" s="21"/>
      <c r="D21" s="59">
        <f>Pricing!M6</f>
        <v>1</v>
      </c>
      <c r="E21" s="21"/>
      <c r="F21" s="21" t="s">
        <v>8</v>
      </c>
      <c r="G21" s="21"/>
      <c r="H21" s="21"/>
      <c r="I21" s="59">
        <f>D21</f>
        <v>1</v>
      </c>
      <c r="M21" s="57"/>
      <c r="R21" s="57"/>
      <c r="W21" s="57"/>
    </row>
    <row r="22" spans="1:23" x14ac:dyDescent="0.25">
      <c r="A22" s="21" t="s">
        <v>9</v>
      </c>
      <c r="B22" s="21"/>
      <c r="C22" s="21"/>
      <c r="D22" s="59">
        <f>Pricing!M7</f>
        <v>25</v>
      </c>
      <c r="E22" s="21"/>
      <c r="F22" s="21" t="s">
        <v>9</v>
      </c>
      <c r="G22" s="21"/>
      <c r="H22" s="21"/>
      <c r="I22" s="59">
        <f>D22</f>
        <v>25</v>
      </c>
      <c r="M22" s="57"/>
      <c r="R22" s="57"/>
      <c r="W22" s="57"/>
    </row>
    <row r="23" spans="1:23" x14ac:dyDescent="0.25">
      <c r="A23" s="14" t="s">
        <v>28</v>
      </c>
      <c r="D23" s="57">
        <f>SUM(D18:D22)</f>
        <v>188.32</v>
      </c>
      <c r="F23" s="14" t="s">
        <v>28</v>
      </c>
      <c r="H23" s="57"/>
      <c r="I23" s="57">
        <f>SUM(I18:I22)</f>
        <v>194.56</v>
      </c>
      <c r="J23" s="14"/>
      <c r="M23" s="57"/>
      <c r="O23" s="14"/>
      <c r="R23" s="57"/>
      <c r="T23" s="14"/>
      <c r="W23" s="57"/>
    </row>
    <row r="24" spans="1:23" x14ac:dyDescent="0.25">
      <c r="A24" s="3" t="s">
        <v>6</v>
      </c>
      <c r="D24" s="57">
        <f>D23*0.075268</f>
        <v>14.174469759999999</v>
      </c>
      <c r="F24" s="3" t="s">
        <v>6</v>
      </c>
      <c r="H24" s="57"/>
      <c r="I24" s="57">
        <f>I23*0.075268</f>
        <v>14.64414208</v>
      </c>
      <c r="M24" s="57"/>
      <c r="R24" s="57"/>
      <c r="W24" s="57"/>
    </row>
    <row r="25" spans="1:23" s="58" customFormat="1" x14ac:dyDescent="0.25">
      <c r="A25" s="3" t="s">
        <v>29</v>
      </c>
      <c r="B25" s="3"/>
      <c r="C25" s="57"/>
      <c r="D25" s="57">
        <f>D23+D24</f>
        <v>202.49446975999999</v>
      </c>
      <c r="E25" s="3"/>
      <c r="F25" s="3" t="s">
        <v>29</v>
      </c>
      <c r="G25" s="3"/>
      <c r="H25" s="57"/>
      <c r="I25" s="57">
        <f>I23+I24</f>
        <v>209.20414208</v>
      </c>
      <c r="J25" s="3"/>
      <c r="M25" s="57"/>
      <c r="N25" s="3"/>
      <c r="O25" s="3"/>
      <c r="R25" s="57"/>
      <c r="T25" s="3"/>
      <c r="W25" s="57"/>
    </row>
    <row r="26" spans="1:23" x14ac:dyDescent="0.25">
      <c r="A26" s="3" t="s">
        <v>7</v>
      </c>
      <c r="D26" s="57">
        <f>(D25*B3)/(1+(-1*B3))</f>
        <v>50.623617440000004</v>
      </c>
      <c r="F26" s="3" t="s">
        <v>7</v>
      </c>
      <c r="H26" s="57"/>
      <c r="I26" s="57">
        <f>(I25*B3)/(1+(-1*B3))</f>
        <v>52.301035519999999</v>
      </c>
      <c r="M26" s="57"/>
      <c r="R26" s="57"/>
      <c r="W26" s="57"/>
    </row>
    <row r="27" spans="1:23" x14ac:dyDescent="0.25">
      <c r="D27" s="57"/>
      <c r="H27" s="57"/>
      <c r="I27" s="57"/>
      <c r="M27" s="57"/>
      <c r="R27" s="57"/>
      <c r="W27" s="57"/>
    </row>
    <row r="28" spans="1:23" s="15" customFormat="1" ht="32.1" customHeight="1" x14ac:dyDescent="0.25">
      <c r="A28" s="15" t="s">
        <v>10</v>
      </c>
      <c r="C28" s="16"/>
      <c r="D28" s="35">
        <f>D25+D26</f>
        <v>253.11808719999999</v>
      </c>
      <c r="F28" s="15" t="s">
        <v>10</v>
      </c>
      <c r="H28" s="16"/>
      <c r="I28" s="16">
        <f>I25+I26</f>
        <v>261.50517760000002</v>
      </c>
      <c r="M28" s="16"/>
      <c r="R28" s="16"/>
      <c r="W28" s="16"/>
    </row>
    <row r="29" spans="1:23" ht="18.75" x14ac:dyDescent="0.3">
      <c r="A29" s="33" t="s">
        <v>29</v>
      </c>
      <c r="B29" s="33"/>
      <c r="C29" s="8"/>
      <c r="D29" s="36">
        <f>D25</f>
        <v>202.49446975999999</v>
      </c>
      <c r="E29" s="33"/>
      <c r="F29" s="33" t="s">
        <v>29</v>
      </c>
      <c r="G29" s="33"/>
      <c r="H29" s="8"/>
      <c r="I29" s="8">
        <f>I25</f>
        <v>209.20414208</v>
      </c>
    </row>
    <row r="30" spans="1:23" s="58" customFormat="1" x14ac:dyDescent="0.25">
      <c r="A30" s="3"/>
      <c r="B30" s="3"/>
      <c r="C30" s="57"/>
      <c r="D30" s="57"/>
      <c r="E30" s="3"/>
      <c r="F30" s="3"/>
      <c r="G30" s="3"/>
      <c r="H30" s="57"/>
      <c r="I30" s="57"/>
      <c r="J30" s="3"/>
      <c r="M30" s="3"/>
      <c r="N30" s="3"/>
      <c r="O30" s="3"/>
      <c r="R30" s="3"/>
      <c r="T30" s="3"/>
      <c r="W30" s="3"/>
    </row>
    <row r="31" spans="1:23" x14ac:dyDescent="0.25">
      <c r="A31" s="58" t="s">
        <v>11</v>
      </c>
      <c r="B31" s="58"/>
      <c r="C31" s="4"/>
      <c r="D31" s="4">
        <f>SUM(-1*D18+-1*D21+-1*D22+D23+-1*D20)</f>
        <v>49.92</v>
      </c>
      <c r="E31" s="58"/>
      <c r="F31" s="58" t="s">
        <v>11</v>
      </c>
      <c r="G31" s="58"/>
      <c r="H31" s="4"/>
      <c r="I31" s="4">
        <f>SUM(-1*I18+-1*I21+-1*I22+I23+-1*I20)</f>
        <v>56.160000000000011</v>
      </c>
      <c r="J31" s="58"/>
      <c r="M31" s="4"/>
      <c r="N31" s="58"/>
      <c r="O31" s="58"/>
      <c r="R31" s="4"/>
      <c r="T31" s="58"/>
      <c r="W31" s="4"/>
    </row>
    <row r="32" spans="1:23" x14ac:dyDescent="0.25">
      <c r="A32" s="58" t="s">
        <v>33</v>
      </c>
      <c r="C32" s="3"/>
      <c r="D32" s="57">
        <f>D29+(-1*F15)</f>
        <v>140.09446975999998</v>
      </c>
      <c r="F32" s="58" t="s">
        <v>33</v>
      </c>
      <c r="I32" s="57">
        <f>I29+(-1*F15)</f>
        <v>146.80414208000002</v>
      </c>
    </row>
    <row r="33" spans="1:23" x14ac:dyDescent="0.25">
      <c r="A33" s="58" t="s">
        <v>12</v>
      </c>
      <c r="B33" s="58"/>
      <c r="C33" s="17"/>
      <c r="D33" s="17">
        <f>(D31/D18)*1</f>
        <v>0.80000000000000016</v>
      </c>
      <c r="E33" s="58"/>
      <c r="F33" s="58" t="s">
        <v>12</v>
      </c>
      <c r="G33" s="58"/>
      <c r="H33" s="17"/>
      <c r="I33" s="17">
        <f>(I31/I18)*1</f>
        <v>0.90000000000000024</v>
      </c>
      <c r="J33" s="58"/>
      <c r="M33" s="17"/>
      <c r="N33" s="58"/>
      <c r="O33" s="58"/>
      <c r="R33" s="17"/>
      <c r="T33" s="58"/>
      <c r="W33" s="17"/>
    </row>
    <row r="39" spans="1:23" x14ac:dyDescent="0.25">
      <c r="A39" s="12"/>
      <c r="I39" s="18"/>
    </row>
  </sheetData>
  <sheetProtection algorithmName="SHA-512" hashValue="TPkOhEfD6+O/OK0UCZ6hPpscQGdmjfCKrw22LBGVX3ipwBkRDC3HG+SwAv6fcC91CgqWHL7RRW+1oph/7tmp/g==" saltValue="w2xIi6CwcruHv947K8p8LQ==" spinCount="100000" sheet="1" objects="1" scenarios="1"/>
  <mergeCells count="14">
    <mergeCell ref="B1:I1"/>
    <mergeCell ref="F5:G5"/>
    <mergeCell ref="F6:G6"/>
    <mergeCell ref="F7:G7"/>
    <mergeCell ref="F8:G8"/>
    <mergeCell ref="F9:G9"/>
    <mergeCell ref="G16:H16"/>
    <mergeCell ref="U16:V16"/>
    <mergeCell ref="F10:G10"/>
    <mergeCell ref="F11:G11"/>
    <mergeCell ref="F12:G12"/>
    <mergeCell ref="F13:G13"/>
    <mergeCell ref="F14:G14"/>
    <mergeCell ref="F15:G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A07F9-3B51-0F47-A5B9-6AB8E09EB2EB}">
  <dimension ref="A1:I34"/>
  <sheetViews>
    <sheetView workbookViewId="0">
      <selection activeCell="G26" sqref="G26"/>
    </sheetView>
  </sheetViews>
  <sheetFormatPr defaultColWidth="10.875" defaultRowHeight="15.75" x14ac:dyDescent="0.25"/>
  <cols>
    <col min="1" max="1" width="20.5" style="63" customWidth="1"/>
    <col min="2" max="16384" width="10.875" style="63"/>
  </cols>
  <sheetData>
    <row r="1" spans="1:9" ht="21" x14ac:dyDescent="0.35">
      <c r="A1" s="1" t="s">
        <v>22</v>
      </c>
      <c r="B1" s="165" t="str">
        <f>Pricing!C1</f>
        <v>Tramadol</v>
      </c>
      <c r="C1" s="165"/>
      <c r="D1" s="165"/>
      <c r="E1" s="165"/>
      <c r="F1" s="165"/>
      <c r="G1" s="165"/>
      <c r="H1" s="165"/>
      <c r="I1" s="165"/>
    </row>
    <row r="2" spans="1:9" ht="21" x14ac:dyDescent="0.35">
      <c r="A2" s="1" t="s">
        <v>15</v>
      </c>
      <c r="B2" s="32">
        <v>250</v>
      </c>
      <c r="C2" s="62" t="s">
        <v>25</v>
      </c>
      <c r="D2" s="20"/>
      <c r="E2" s="20"/>
      <c r="F2" s="20"/>
      <c r="G2" s="20"/>
      <c r="H2" s="20"/>
      <c r="I2" s="20"/>
    </row>
    <row r="3" spans="1:9" ht="21" x14ac:dyDescent="0.35">
      <c r="A3" s="19" t="str">
        <f>Pricing!B3</f>
        <v>Rebate</v>
      </c>
      <c r="B3" s="38">
        <f>Pricing!C3</f>
        <v>0.2</v>
      </c>
      <c r="C3" s="57"/>
      <c r="D3" s="3"/>
      <c r="E3" s="3"/>
      <c r="F3" s="3"/>
      <c r="G3" s="3"/>
      <c r="H3" s="3"/>
      <c r="I3" s="3"/>
    </row>
    <row r="4" spans="1:9" x14ac:dyDescent="0.25">
      <c r="A4" s="3"/>
      <c r="B4" s="3"/>
      <c r="C4" s="57"/>
      <c r="D4" s="3"/>
      <c r="E4" s="3"/>
      <c r="F4" s="3"/>
      <c r="G4" s="3"/>
      <c r="H4" s="3"/>
      <c r="I4" s="3"/>
    </row>
    <row r="5" spans="1:9" ht="18.75" x14ac:dyDescent="0.3">
      <c r="A5" s="58"/>
      <c r="B5" s="58" t="s">
        <v>0</v>
      </c>
      <c r="C5" s="4" t="s">
        <v>1</v>
      </c>
      <c r="D5" s="58" t="s">
        <v>2</v>
      </c>
      <c r="E5" s="58" t="s">
        <v>3</v>
      </c>
      <c r="F5" s="135" t="s">
        <v>4</v>
      </c>
      <c r="G5" s="135"/>
      <c r="H5" s="58"/>
      <c r="I5" s="33"/>
    </row>
    <row r="6" spans="1:9" ht="18.75" x14ac:dyDescent="0.3">
      <c r="A6" s="61" t="str">
        <f>Pricing!B6</f>
        <v>Tramadol</v>
      </c>
      <c r="B6" s="5">
        <f>Pricing!C6</f>
        <v>100</v>
      </c>
      <c r="C6" s="59">
        <f>Pricing!D6</f>
        <v>480</v>
      </c>
      <c r="D6" s="30">
        <f>Pricing!E6</f>
        <v>0.06</v>
      </c>
      <c r="E6" s="6">
        <f>B2*D6</f>
        <v>15</v>
      </c>
      <c r="F6" s="134">
        <f t="shared" ref="F6:F14" si="0">(C6/B6)*E6</f>
        <v>72</v>
      </c>
      <c r="G6" s="134"/>
      <c r="H6" s="3"/>
      <c r="I6" s="33"/>
    </row>
    <row r="7" spans="1:9" ht="18.75" x14ac:dyDescent="0.3">
      <c r="A7" s="61">
        <f>Pricing!B7</f>
        <v>0</v>
      </c>
      <c r="B7" s="5">
        <f>Pricing!C7</f>
        <v>1</v>
      </c>
      <c r="C7" s="59">
        <f>Pricing!D7</f>
        <v>0</v>
      </c>
      <c r="D7" s="30">
        <f>Pricing!E7</f>
        <v>1.4999999999999999E-4</v>
      </c>
      <c r="E7" s="6">
        <f>B2*D7</f>
        <v>3.7499999999999999E-2</v>
      </c>
      <c r="F7" s="134">
        <f t="shared" si="0"/>
        <v>0</v>
      </c>
      <c r="G7" s="134"/>
      <c r="H7" s="3"/>
      <c r="I7" s="33"/>
    </row>
    <row r="8" spans="1:9" ht="18.75" x14ac:dyDescent="0.3">
      <c r="A8" s="61">
        <f>Pricing!B8</f>
        <v>0</v>
      </c>
      <c r="B8" s="5">
        <f>Pricing!C8</f>
        <v>1</v>
      </c>
      <c r="C8" s="59">
        <f>Pricing!D8</f>
        <v>0</v>
      </c>
      <c r="D8" s="30">
        <f>Pricing!E8</f>
        <v>1.4999999999999999E-4</v>
      </c>
      <c r="E8" s="6">
        <f>B2*D8</f>
        <v>3.7499999999999999E-2</v>
      </c>
      <c r="F8" s="134">
        <f t="shared" si="0"/>
        <v>0</v>
      </c>
      <c r="G8" s="134"/>
      <c r="H8" s="3"/>
      <c r="I8" s="33"/>
    </row>
    <row r="9" spans="1:9" x14ac:dyDescent="0.25">
      <c r="A9" s="61">
        <f>Pricing!B9</f>
        <v>0</v>
      </c>
      <c r="B9" s="5">
        <f>Pricing!C9</f>
        <v>1</v>
      </c>
      <c r="C9" s="59">
        <f>Pricing!D9</f>
        <v>0</v>
      </c>
      <c r="D9" s="30">
        <f>Pricing!E9</f>
        <v>0.22500000000000001</v>
      </c>
      <c r="E9" s="6">
        <f>B2*D9</f>
        <v>56.25</v>
      </c>
      <c r="F9" s="134">
        <f t="shared" si="0"/>
        <v>0</v>
      </c>
      <c r="G9" s="134"/>
      <c r="H9" s="3"/>
      <c r="I9" s="3"/>
    </row>
    <row r="10" spans="1:9" x14ac:dyDescent="0.25">
      <c r="A10" s="61">
        <f>Pricing!B10</f>
        <v>0</v>
      </c>
      <c r="B10" s="5">
        <f>Pricing!C10</f>
        <v>1</v>
      </c>
      <c r="C10" s="59">
        <f>Pricing!D10</f>
        <v>0</v>
      </c>
      <c r="D10" s="30">
        <f>Pricing!E10</f>
        <v>4.3999999999999997E-2</v>
      </c>
      <c r="E10" s="6">
        <f>B2*D10</f>
        <v>11</v>
      </c>
      <c r="F10" s="134">
        <f t="shared" si="0"/>
        <v>0</v>
      </c>
      <c r="G10" s="134"/>
      <c r="H10" s="3"/>
      <c r="I10" s="3"/>
    </row>
    <row r="11" spans="1:9" x14ac:dyDescent="0.25">
      <c r="A11" s="61" t="str">
        <f>Pricing!B11</f>
        <v>Capsule</v>
      </c>
      <c r="B11" s="5">
        <f>Pricing!C11</f>
        <v>1000</v>
      </c>
      <c r="C11" s="59">
        <f>Pricing!D11</f>
        <v>24</v>
      </c>
      <c r="D11" s="30">
        <f>Pricing!E11</f>
        <v>1</v>
      </c>
      <c r="E11" s="6">
        <f>B2*D11</f>
        <v>250</v>
      </c>
      <c r="F11" s="134">
        <f t="shared" si="0"/>
        <v>6</v>
      </c>
      <c r="G11" s="134"/>
      <c r="H11" s="3"/>
      <c r="I11" s="3"/>
    </row>
    <row r="12" spans="1:9" x14ac:dyDescent="0.25">
      <c r="A12" s="61">
        <f>Pricing!B12</f>
        <v>0</v>
      </c>
      <c r="B12" s="5">
        <f>Pricing!C12</f>
        <v>1</v>
      </c>
      <c r="C12" s="59">
        <f>Pricing!D12</f>
        <v>0</v>
      </c>
      <c r="D12" s="30">
        <f>Pricing!E12</f>
        <v>0</v>
      </c>
      <c r="E12" s="6">
        <f>B2*D12</f>
        <v>0</v>
      </c>
      <c r="F12" s="134">
        <f t="shared" si="0"/>
        <v>0</v>
      </c>
      <c r="G12" s="134"/>
      <c r="H12" s="3"/>
      <c r="I12" s="3"/>
    </row>
    <row r="13" spans="1:9" x14ac:dyDescent="0.25">
      <c r="A13" s="61">
        <f>Pricing!B13</f>
        <v>0</v>
      </c>
      <c r="B13" s="5">
        <f>Pricing!C13</f>
        <v>1</v>
      </c>
      <c r="C13" s="59">
        <f>Pricing!D13</f>
        <v>0</v>
      </c>
      <c r="D13" s="30">
        <f>Pricing!E13</f>
        <v>0</v>
      </c>
      <c r="E13" s="6">
        <f>B2*D13</f>
        <v>0</v>
      </c>
      <c r="F13" s="134">
        <f t="shared" si="0"/>
        <v>0</v>
      </c>
      <c r="G13" s="134"/>
      <c r="H13" s="3"/>
      <c r="I13" s="3"/>
    </row>
    <row r="14" spans="1:9" x14ac:dyDescent="0.25">
      <c r="A14" s="61">
        <f>Pricing!B14</f>
        <v>0</v>
      </c>
      <c r="B14" s="5">
        <f>Pricing!C14</f>
        <v>1</v>
      </c>
      <c r="C14" s="59">
        <f>Pricing!D14</f>
        <v>0</v>
      </c>
      <c r="D14" s="30">
        <f>Pricing!E14</f>
        <v>0</v>
      </c>
      <c r="E14" s="6">
        <f>B2*D14</f>
        <v>0</v>
      </c>
      <c r="F14" s="134">
        <f t="shared" si="0"/>
        <v>0</v>
      </c>
      <c r="G14" s="134"/>
      <c r="H14" s="3"/>
      <c r="I14" s="3"/>
    </row>
    <row r="15" spans="1:9" ht="21" x14ac:dyDescent="0.35">
      <c r="A15" s="58"/>
      <c r="B15" s="58"/>
      <c r="C15" s="57"/>
      <c r="D15" s="33" t="s">
        <v>13</v>
      </c>
      <c r="E15" s="9"/>
      <c r="F15" s="132">
        <f>SUM(F6:F14)</f>
        <v>78</v>
      </c>
      <c r="G15" s="132"/>
      <c r="H15" s="3"/>
      <c r="I15" s="3"/>
    </row>
    <row r="16" spans="1:9" x14ac:dyDescent="0.25">
      <c r="A16" s="61" t="s">
        <v>14</v>
      </c>
      <c r="B16" s="21"/>
      <c r="C16" s="61" t="s">
        <v>20</v>
      </c>
      <c r="D16" s="10">
        <v>0.8</v>
      </c>
      <c r="E16" s="61"/>
      <c r="F16" s="61"/>
      <c r="G16" s="167" t="s">
        <v>21</v>
      </c>
      <c r="H16" s="167"/>
      <c r="I16" s="10">
        <f>Pricing!R1</f>
        <v>0.9</v>
      </c>
    </row>
    <row r="17" spans="1:9" x14ac:dyDescent="0.25">
      <c r="A17" s="21"/>
      <c r="B17" s="61" t="s">
        <v>18</v>
      </c>
      <c r="C17" s="61" t="s">
        <v>19</v>
      </c>
      <c r="D17" s="21"/>
      <c r="E17" s="21"/>
      <c r="F17" s="21"/>
      <c r="G17" s="61" t="s">
        <v>18</v>
      </c>
      <c r="H17" s="61" t="s">
        <v>19</v>
      </c>
      <c r="I17" s="21"/>
    </row>
    <row r="18" spans="1:9" x14ac:dyDescent="0.25">
      <c r="A18" s="21" t="s">
        <v>5</v>
      </c>
      <c r="B18" s="21"/>
      <c r="C18" s="21"/>
      <c r="D18" s="59">
        <f>F15</f>
        <v>78</v>
      </c>
      <c r="E18" s="21"/>
      <c r="F18" s="21" t="s">
        <v>5</v>
      </c>
      <c r="G18" s="21"/>
      <c r="H18" s="21"/>
      <c r="I18" s="59">
        <f>F15</f>
        <v>78</v>
      </c>
    </row>
    <row r="19" spans="1:9" x14ac:dyDescent="0.25">
      <c r="A19" s="21" t="s">
        <v>17</v>
      </c>
      <c r="B19" s="21"/>
      <c r="C19" s="21"/>
      <c r="D19" s="59">
        <f>D18*0.8</f>
        <v>62.400000000000006</v>
      </c>
      <c r="E19" s="21"/>
      <c r="F19" s="21" t="s">
        <v>17</v>
      </c>
      <c r="G19" s="21"/>
      <c r="H19" s="21"/>
      <c r="I19" s="59">
        <f>I16*F15</f>
        <v>70.2</v>
      </c>
    </row>
    <row r="20" spans="1:9" x14ac:dyDescent="0.25">
      <c r="A20" s="61" t="s">
        <v>16</v>
      </c>
      <c r="B20" s="5">
        <f>'200'!B20+1</f>
        <v>3</v>
      </c>
      <c r="C20" s="11">
        <f>Pricing!L5</f>
        <v>25</v>
      </c>
      <c r="D20" s="59">
        <f>B20*C20</f>
        <v>75</v>
      </c>
      <c r="E20" s="21"/>
      <c r="F20" s="61" t="s">
        <v>16</v>
      </c>
      <c r="G20" s="5">
        <f>B20</f>
        <v>3</v>
      </c>
      <c r="H20" s="11">
        <f>C20</f>
        <v>25</v>
      </c>
      <c r="I20" s="59">
        <f>G20*H20</f>
        <v>75</v>
      </c>
    </row>
    <row r="21" spans="1:9" x14ac:dyDescent="0.25">
      <c r="A21" s="21" t="s">
        <v>8</v>
      </c>
      <c r="B21" s="21"/>
      <c r="C21" s="21"/>
      <c r="D21" s="59">
        <f>Pricing!M6</f>
        <v>1</v>
      </c>
      <c r="E21" s="21"/>
      <c r="F21" s="21" t="s">
        <v>8</v>
      </c>
      <c r="G21" s="21"/>
      <c r="H21" s="21"/>
      <c r="I21" s="59">
        <f>D21</f>
        <v>1</v>
      </c>
    </row>
    <row r="22" spans="1:9" x14ac:dyDescent="0.25">
      <c r="A22" s="21" t="s">
        <v>9</v>
      </c>
      <c r="B22" s="21"/>
      <c r="C22" s="21"/>
      <c r="D22" s="59">
        <f>Pricing!M7</f>
        <v>25</v>
      </c>
      <c r="E22" s="21"/>
      <c r="F22" s="21" t="s">
        <v>9</v>
      </c>
      <c r="G22" s="21"/>
      <c r="H22" s="21"/>
      <c r="I22" s="59">
        <f>D22</f>
        <v>25</v>
      </c>
    </row>
    <row r="23" spans="1:9" x14ac:dyDescent="0.25">
      <c r="A23" s="14" t="s">
        <v>28</v>
      </c>
      <c r="B23" s="3"/>
      <c r="C23" s="57"/>
      <c r="D23" s="57">
        <f>SUM(D18:D22)</f>
        <v>241.4</v>
      </c>
      <c r="E23" s="3"/>
      <c r="F23" s="14" t="s">
        <v>28</v>
      </c>
      <c r="G23" s="3"/>
      <c r="H23" s="57"/>
      <c r="I23" s="57">
        <f>SUM(I18:I22)</f>
        <v>249.2</v>
      </c>
    </row>
    <row r="24" spans="1:9" x14ac:dyDescent="0.25">
      <c r="A24" s="3" t="s">
        <v>6</v>
      </c>
      <c r="B24" s="3"/>
      <c r="C24" s="57"/>
      <c r="D24" s="57">
        <f>D23*0.075268</f>
        <v>18.1696952</v>
      </c>
      <c r="E24" s="3"/>
      <c r="F24" s="3" t="s">
        <v>6</v>
      </c>
      <c r="G24" s="3"/>
      <c r="H24" s="57"/>
      <c r="I24" s="57">
        <f>I23*0.075268</f>
        <v>18.756785600000001</v>
      </c>
    </row>
    <row r="25" spans="1:9" x14ac:dyDescent="0.25">
      <c r="A25" s="3" t="s">
        <v>29</v>
      </c>
      <c r="B25" s="3"/>
      <c r="C25" s="57"/>
      <c r="D25" s="57">
        <f>D23+D24</f>
        <v>259.56969520000001</v>
      </c>
      <c r="E25" s="3"/>
      <c r="F25" s="3" t="s">
        <v>29</v>
      </c>
      <c r="G25" s="3"/>
      <c r="H25" s="57"/>
      <c r="I25" s="57">
        <f>I23+I24</f>
        <v>267.95678559999999</v>
      </c>
    </row>
    <row r="26" spans="1:9" x14ac:dyDescent="0.25">
      <c r="A26" s="3" t="s">
        <v>7</v>
      </c>
      <c r="B26" s="3"/>
      <c r="C26" s="57"/>
      <c r="D26" s="57">
        <f>(D25*B3)/(1+(-1*B3))</f>
        <v>64.892423800000003</v>
      </c>
      <c r="E26" s="3"/>
      <c r="F26" s="3" t="s">
        <v>7</v>
      </c>
      <c r="G26" s="3"/>
      <c r="H26" s="57"/>
      <c r="I26" s="57">
        <f>(I25*B3)/(1+(-1*B3))</f>
        <v>66.989196399999997</v>
      </c>
    </row>
    <row r="27" spans="1:9" x14ac:dyDescent="0.25">
      <c r="A27" s="3"/>
      <c r="B27" s="3"/>
      <c r="C27" s="57"/>
      <c r="D27" s="57"/>
      <c r="E27" s="3"/>
      <c r="F27" s="3"/>
      <c r="G27" s="3"/>
      <c r="H27" s="57"/>
      <c r="I27" s="57"/>
    </row>
    <row r="28" spans="1:9" ht="18.75" x14ac:dyDescent="0.25">
      <c r="A28" s="15" t="s">
        <v>10</v>
      </c>
      <c r="B28" s="15"/>
      <c r="C28" s="16"/>
      <c r="D28" s="35">
        <f>D25+D26</f>
        <v>324.46211900000003</v>
      </c>
      <c r="E28" s="15"/>
      <c r="F28" s="15" t="s">
        <v>10</v>
      </c>
      <c r="G28" s="15"/>
      <c r="H28" s="16"/>
      <c r="I28" s="16">
        <f>I25+I26</f>
        <v>334.94598199999996</v>
      </c>
    </row>
    <row r="29" spans="1:9" ht="18.75" x14ac:dyDescent="0.3">
      <c r="A29" s="33" t="s">
        <v>29</v>
      </c>
      <c r="B29" s="33"/>
      <c r="C29" s="8"/>
      <c r="D29" s="36">
        <f>D25</f>
        <v>259.56969520000001</v>
      </c>
      <c r="E29" s="33"/>
      <c r="F29" s="33" t="s">
        <v>29</v>
      </c>
      <c r="G29" s="33"/>
      <c r="H29" s="8"/>
      <c r="I29" s="8">
        <f>I25</f>
        <v>267.95678559999999</v>
      </c>
    </row>
    <row r="30" spans="1:9" x14ac:dyDescent="0.25">
      <c r="A30" s="3"/>
      <c r="B30" s="3"/>
      <c r="C30" s="57"/>
      <c r="D30" s="57"/>
      <c r="E30" s="3"/>
      <c r="F30" s="3"/>
      <c r="G30" s="3"/>
      <c r="H30" s="57"/>
      <c r="I30" s="57"/>
    </row>
    <row r="31" spans="1:9" x14ac:dyDescent="0.25">
      <c r="A31" s="58" t="s">
        <v>11</v>
      </c>
      <c r="B31" s="58"/>
      <c r="C31" s="4"/>
      <c r="D31" s="4">
        <f>SUM(-1*D18+-1*D21+-1*D22+D23+-1*D20)</f>
        <v>62.400000000000006</v>
      </c>
      <c r="E31" s="58"/>
      <c r="F31" s="58" t="s">
        <v>11</v>
      </c>
      <c r="G31" s="58"/>
      <c r="H31" s="4"/>
      <c r="I31" s="4">
        <f>SUM(-1*I18+-1*I21+-1*I22+I23+-1*I20)</f>
        <v>70.199999999999989</v>
      </c>
    </row>
    <row r="32" spans="1:9" x14ac:dyDescent="0.25">
      <c r="A32" s="58" t="s">
        <v>33</v>
      </c>
      <c r="B32" s="3"/>
      <c r="C32" s="3"/>
      <c r="D32" s="57">
        <f>D29+(-1*F15)</f>
        <v>181.56969520000001</v>
      </c>
      <c r="E32" s="3"/>
      <c r="F32" s="58" t="s">
        <v>33</v>
      </c>
      <c r="G32" s="3"/>
      <c r="H32" s="3"/>
      <c r="I32" s="57">
        <f>I29+(-1*F15)</f>
        <v>189.95678559999999</v>
      </c>
    </row>
    <row r="33" spans="1:9" x14ac:dyDescent="0.25">
      <c r="A33" s="58" t="s">
        <v>12</v>
      </c>
      <c r="B33" s="58"/>
      <c r="C33" s="17"/>
      <c r="D33" s="17">
        <f>(D31/D18)*1</f>
        <v>0.8</v>
      </c>
      <c r="E33" s="58"/>
      <c r="F33" s="58" t="s">
        <v>12</v>
      </c>
      <c r="G33" s="58"/>
      <c r="H33" s="17"/>
      <c r="I33" s="17">
        <f>(I31/I18)*1</f>
        <v>0.8999999999999998</v>
      </c>
    </row>
    <row r="34" spans="1:9" x14ac:dyDescent="0.25">
      <c r="A34" s="3"/>
      <c r="B34" s="3"/>
      <c r="C34" s="57"/>
      <c r="D34" s="3"/>
      <c r="E34" s="3"/>
      <c r="F34" s="3"/>
      <c r="G34" s="3"/>
      <c r="H34" s="3"/>
      <c r="I34" s="3"/>
    </row>
  </sheetData>
  <sheetProtection algorithmName="SHA-512" hashValue="5bPUbNoHkjmirLmG9VhYbo+FKd1o3JfC2s05vJT+JjxQ9Ga/ritYN8t8Vr3+EFFbrYr3zYWO5Hn6tFrlbZpH8g==" saltValue="2BBPccyg+XoHKRAm7KIVaw==" spinCount="100000" sheet="1" objects="1" scenarios="1"/>
  <mergeCells count="13">
    <mergeCell ref="G16:H16"/>
    <mergeCell ref="F10:G10"/>
    <mergeCell ref="F11:G11"/>
    <mergeCell ref="F12:G12"/>
    <mergeCell ref="F13:G13"/>
    <mergeCell ref="F14:G14"/>
    <mergeCell ref="F15:G15"/>
    <mergeCell ref="F9:G9"/>
    <mergeCell ref="B1:I1"/>
    <mergeCell ref="F5:G5"/>
    <mergeCell ref="F6:G6"/>
    <mergeCell ref="F7:G7"/>
    <mergeCell ref="F8:G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Pricing</vt:lpstr>
      <vt:lpstr>Calculations</vt:lpstr>
      <vt:lpstr>Ingredients</vt:lpstr>
      <vt:lpstr>Ingredients 2</vt:lpstr>
      <vt:lpstr>50</vt:lpstr>
      <vt:lpstr>100</vt:lpstr>
      <vt:lpstr>150</vt:lpstr>
      <vt:lpstr>200</vt:lpstr>
      <vt:lpstr>250</vt:lpstr>
      <vt:lpstr>300</vt:lpstr>
      <vt:lpstr>350</vt:lpstr>
      <vt:lpstr>400</vt:lpstr>
      <vt:lpstr>450</vt:lpstr>
      <vt:lpstr>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Kroll</cp:lastModifiedBy>
  <cp:lastPrinted>2021-03-11T23:09:10Z</cp:lastPrinted>
  <dcterms:created xsi:type="dcterms:W3CDTF">2019-03-17T11:38:53Z</dcterms:created>
  <dcterms:modified xsi:type="dcterms:W3CDTF">2021-03-15T15:07:34Z</dcterms:modified>
</cp:coreProperties>
</file>