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ka\"/>
    </mc:Choice>
  </mc:AlternateContent>
  <xr:revisionPtr revIDLastSave="0" documentId="13_ncr:1_{5FA9F0D6-C536-4DB2-97A6-B5707DE15DE2}" xr6:coauthVersionLast="47" xr6:coauthVersionMax="47" xr10:uidLastSave="{00000000-0000-0000-0000-000000000000}"/>
  <bookViews>
    <workbookView xWindow="31440" yWindow="-1425" windowWidth="19935" windowHeight="7170" xr2:uid="{3DDECEE7-507F-495F-9589-D2FCD53EEB93}"/>
  </bookViews>
  <sheets>
    <sheet name="Inputs" sheetId="1" r:id="rId1"/>
    <sheet name="Sleeve Decrease Experimentation" sheetId="2" r:id="rId2"/>
    <sheet name="Inputs (experiment)" sheetId="3" r:id="rId3"/>
  </sheets>
  <definedNames>
    <definedName name="ArmLength" localSheetId="2">'Inputs (experiment)'!$H$14</definedName>
    <definedName name="ArmLength">Inputs!$H$14</definedName>
    <definedName name="GaugeR" localSheetId="2">'Inputs (experiment)'!$B$7</definedName>
    <definedName name="GaugeR">Inputs!$B$7</definedName>
    <definedName name="GaugeST" localSheetId="2">'Inputs (experiment)'!$B$6</definedName>
    <definedName name="GaugeST">Inputs!$B$6</definedName>
    <definedName name="NECK" localSheetId="2">'Inputs (experiment)'!$H$13</definedName>
    <definedName name="NECK">Inputs!$H$13</definedName>
    <definedName name="SeamAllowance" localSheetId="2">'Inputs (experiment)'!$F$18</definedName>
    <definedName name="SeamAllowance">Inputs!$F$18</definedName>
    <definedName name="SleeveBottom" localSheetId="2">'Inputs (experiment)'!$H$16</definedName>
    <definedName name="SleeveBottom">Inputs!$H$16</definedName>
    <definedName name="SleeveTop" localSheetId="2">'Inputs (experiment)'!$H$17</definedName>
    <definedName name="SleeveTop">Inputs!$H$17</definedName>
    <definedName name="solver_adj" localSheetId="1" hidden="1">'Sleeve Decrease Experimentation'!$E$6:$E$14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'Sleeve Decrease Experimentation'!$E$6:$E$14</definedName>
    <definedName name="solver_lhs2" localSheetId="1" hidden="1">'Sleeve Decrease Experimentation'!$E$6:$E$14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'Sleeve Decrease Experimentation'!$B$18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'Sleeve Decrease Experimentation'!$C$3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  <definedName name="TotalLength" localSheetId="2">'Inputs (experiment)'!$H$15</definedName>
    <definedName name="TotalLength">Inputs!$H$15</definedName>
    <definedName name="WAIST" localSheetId="2">'Inputs (experiment)'!$H$12</definedName>
    <definedName name="WAIST">Inputs!$H$12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" l="1"/>
  <c r="S26" i="1"/>
  <c r="S22" i="1" s="1"/>
  <c r="S12" i="1"/>
  <c r="R35" i="3"/>
  <c r="AI35" i="3" s="1"/>
  <c r="S30" i="3"/>
  <c r="AI30" i="3" s="1"/>
  <c r="H17" i="3"/>
  <c r="H16" i="3"/>
  <c r="H15" i="3"/>
  <c r="H14" i="3"/>
  <c r="H13" i="3"/>
  <c r="H12" i="3"/>
  <c r="B7" i="3"/>
  <c r="D7" i="3" s="1"/>
  <c r="B6" i="3"/>
  <c r="S10" i="3" s="1"/>
  <c r="S21" i="3" s="1"/>
  <c r="C15" i="2"/>
  <c r="H7" i="2"/>
  <c r="H8" i="2"/>
  <c r="H9" i="2"/>
  <c r="H10" i="2"/>
  <c r="H11" i="2"/>
  <c r="H12" i="2"/>
  <c r="H13" i="2"/>
  <c r="H14" i="2"/>
  <c r="H6" i="2"/>
  <c r="E15" i="2"/>
  <c r="S37" i="3" l="1"/>
  <c r="AI36" i="3" s="1"/>
  <c r="S6" i="3"/>
  <c r="S35" i="3"/>
  <c r="S5" i="3"/>
  <c r="S16" i="3" s="1"/>
  <c r="S33" i="3"/>
  <c r="AI33" i="3" s="1"/>
  <c r="S12" i="3"/>
  <c r="AI12" i="3" s="1"/>
  <c r="S23" i="3"/>
  <c r="S25" i="3" s="1"/>
  <c r="AI24" i="3" s="1"/>
  <c r="AH30" i="3"/>
  <c r="AJ30" i="3" s="1"/>
  <c r="AK30" i="3" s="1"/>
  <c r="AK31" i="3" s="1"/>
  <c r="D6" i="3"/>
  <c r="S9" i="3"/>
  <c r="S20" i="3" s="1"/>
  <c r="AI5" i="3"/>
  <c r="S17" i="3"/>
  <c r="H16" i="1"/>
  <c r="H13" i="1"/>
  <c r="H14" i="1"/>
  <c r="H15" i="1"/>
  <c r="H17" i="1"/>
  <c r="H12" i="1"/>
  <c r="B7" i="1"/>
  <c r="B6" i="1"/>
  <c r="D7" i="1" l="1"/>
  <c r="S30" i="1"/>
  <c r="AI30" i="1" s="1"/>
  <c r="AH5" i="3"/>
  <c r="AJ5" i="3" s="1"/>
  <c r="AK5" i="3" s="1"/>
  <c r="AK6" i="3" s="1"/>
  <c r="AK7" i="3" s="1"/>
  <c r="AH33" i="3"/>
  <c r="R33" i="3"/>
  <c r="S8" i="3"/>
  <c r="S19" i="3" s="1"/>
  <c r="AI19" i="3" s="1"/>
  <c r="AJ33" i="3"/>
  <c r="AK33" i="3" s="1"/>
  <c r="AH35" i="3"/>
  <c r="AI16" i="3"/>
  <c r="AE26" i="3"/>
  <c r="S26" i="3"/>
  <c r="AI25" i="3" s="1"/>
  <c r="AJ25" i="3" s="1"/>
  <c r="AH16" i="3"/>
  <c r="AH30" i="1"/>
  <c r="S10" i="1"/>
  <c r="S21" i="1" s="1"/>
  <c r="D6" i="1"/>
  <c r="S33" i="1"/>
  <c r="S35" i="1"/>
  <c r="S23" i="1"/>
  <c r="S25" i="1" s="1"/>
  <c r="AI24" i="1" s="1"/>
  <c r="S37" i="1"/>
  <c r="AI36" i="1" s="1"/>
  <c r="R35" i="1"/>
  <c r="AI35" i="1" s="1"/>
  <c r="S5" i="1"/>
  <c r="S6" i="1"/>
  <c r="AI5" i="1" s="1"/>
  <c r="S9" i="1"/>
  <c r="S20" i="1" s="1"/>
  <c r="AH8" i="3" l="1"/>
  <c r="S11" i="3"/>
  <c r="AE5" i="3" s="1"/>
  <c r="AE6" i="3" s="1"/>
  <c r="AI8" i="3"/>
  <c r="AH36" i="3"/>
  <c r="AJ36" i="3" s="1"/>
  <c r="AJ35" i="3"/>
  <c r="AK35" i="3" s="1"/>
  <c r="AJ30" i="1"/>
  <c r="AK30" i="1" s="1"/>
  <c r="AK31" i="1" s="1"/>
  <c r="AJ16" i="3"/>
  <c r="AK16" i="3" s="1"/>
  <c r="AK17" i="3" s="1"/>
  <c r="AK18" i="3" s="1"/>
  <c r="AH19" i="3"/>
  <c r="S16" i="1"/>
  <c r="AH5" i="1"/>
  <c r="AH8" i="1" s="1"/>
  <c r="AH9" i="1" s="1"/>
  <c r="S8" i="1"/>
  <c r="S19" i="1" s="1"/>
  <c r="AI19" i="1" s="1"/>
  <c r="AI12" i="1"/>
  <c r="AH33" i="1"/>
  <c r="AI33" i="1"/>
  <c r="S17" i="1"/>
  <c r="AI16" i="1" s="1"/>
  <c r="AJ8" i="3" l="1"/>
  <c r="AK8" i="3" s="1"/>
  <c r="AK9" i="3" s="1"/>
  <c r="AI11" i="3"/>
  <c r="S22" i="3"/>
  <c r="AI22" i="3" s="1"/>
  <c r="AH9" i="3"/>
  <c r="AH10" i="3"/>
  <c r="AH11" i="3" s="1"/>
  <c r="AJ10" i="3"/>
  <c r="AJ19" i="3"/>
  <c r="AJ21" i="3"/>
  <c r="AH21" i="3"/>
  <c r="AH22" i="3" s="1"/>
  <c r="AK36" i="3"/>
  <c r="AK37" i="3" s="1"/>
  <c r="AJ5" i="1"/>
  <c r="AK5" i="1" s="1"/>
  <c r="AK6" i="1" s="1"/>
  <c r="AK7" i="1" s="1"/>
  <c r="AK19" i="3"/>
  <c r="AK20" i="3" s="1"/>
  <c r="AK21" i="3" s="1"/>
  <c r="S11" i="1"/>
  <c r="AI11" i="1" s="1"/>
  <c r="AI8" i="1"/>
  <c r="AJ8" i="1" s="1"/>
  <c r="AJ10" i="1"/>
  <c r="AH10" i="1"/>
  <c r="AH11" i="1" s="1"/>
  <c r="AH12" i="1" s="1"/>
  <c r="AJ12" i="1" s="1"/>
  <c r="AE26" i="1"/>
  <c r="AI25" i="1"/>
  <c r="AJ25" i="1" s="1"/>
  <c r="AH16" i="1"/>
  <c r="AH19" i="1" s="1"/>
  <c r="AJ19" i="1" s="1"/>
  <c r="AH35" i="1"/>
  <c r="AJ33" i="1"/>
  <c r="AK33" i="1" s="1"/>
  <c r="AK10" i="3" l="1"/>
  <c r="AE16" i="3"/>
  <c r="AE17" i="3" s="1"/>
  <c r="AH23" i="3"/>
  <c r="AH24" i="3" s="1"/>
  <c r="AJ22" i="3"/>
  <c r="AK22" i="3" s="1"/>
  <c r="AK23" i="3" s="1"/>
  <c r="AE5" i="1"/>
  <c r="AE6" i="1" s="1"/>
  <c r="AJ11" i="3"/>
  <c r="AK11" i="3" s="1"/>
  <c r="AH12" i="3"/>
  <c r="AJ12" i="3" s="1"/>
  <c r="AK8" i="1"/>
  <c r="AK9" i="1" s="1"/>
  <c r="AK10" i="1" s="1"/>
  <c r="AJ11" i="1"/>
  <c r="AH36" i="1"/>
  <c r="AJ36" i="1" s="1"/>
  <c r="AJ35" i="1"/>
  <c r="AK35" i="1" s="1"/>
  <c r="AJ16" i="1"/>
  <c r="AK16" i="1" s="1"/>
  <c r="AK17" i="1" s="1"/>
  <c r="AK18" i="1" s="1"/>
  <c r="AK19" i="1" s="1"/>
  <c r="AK20" i="1" s="1"/>
  <c r="AJ21" i="1"/>
  <c r="AH21" i="1"/>
  <c r="AH22" i="1" s="1"/>
  <c r="AH23" i="1" s="1"/>
  <c r="AH24" i="1" s="1"/>
  <c r="AI22" i="1"/>
  <c r="AJ22" i="1" l="1"/>
  <c r="AK12" i="3"/>
  <c r="AK13" i="3" s="1"/>
  <c r="AH25" i="3"/>
  <c r="AJ24" i="3"/>
  <c r="AK24" i="3" s="1"/>
  <c r="AK25" i="3" s="1"/>
  <c r="AK26" i="3" s="1"/>
  <c r="AK3" i="3" s="1"/>
  <c r="AM3" i="3" s="1"/>
  <c r="AK11" i="1"/>
  <c r="AK12" i="1" s="1"/>
  <c r="AK13" i="1" s="1"/>
  <c r="AE16" i="1"/>
  <c r="AE17" i="1" s="1"/>
  <c r="AK36" i="1"/>
  <c r="AK37" i="1" s="1"/>
  <c r="AJ24" i="1"/>
  <c r="AH25" i="1"/>
  <c r="AK21" i="1"/>
  <c r="AK22" i="1" l="1"/>
  <c r="AK23" i="1" s="1"/>
  <c r="AK24" i="1" s="1"/>
  <c r="AK25" i="1" s="1"/>
  <c r="AK26" i="1" s="1"/>
  <c r="AK3" i="1" s="1"/>
  <c r="AM6" i="3"/>
  <c r="AM4" i="3"/>
  <c r="AN3" i="3"/>
  <c r="AM3" i="1" l="1"/>
  <c r="AN3" i="1" s="1"/>
  <c r="AN6" i="1" s="1"/>
  <c r="AN6" i="3"/>
  <c r="AN4" i="3"/>
  <c r="AN4" i="1" l="1"/>
  <c r="AM4" i="1"/>
  <c r="A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 Price</author>
  </authors>
  <commentList>
    <comment ref="C18" authorId="0" shapeId="0" xr:uid="{26A66AB6-3D64-4497-8D10-7BCE727DA5D2}">
      <text>
        <r>
          <rPr>
            <b/>
            <sz val="9"/>
            <color indexed="81"/>
            <rFont val="Tahoma"/>
            <family val="2"/>
          </rPr>
          <t>Row Price:</t>
        </r>
        <r>
          <rPr>
            <sz val="9"/>
            <color indexed="81"/>
            <rFont val="Tahoma"/>
            <family val="2"/>
          </rPr>
          <t xml:space="preserve">
figure out some way to actually choose this based on something that’s not BSd</t>
        </r>
      </text>
    </comment>
    <comment ref="C19" authorId="0" shapeId="0" xr:uid="{277C6E68-55A7-4599-BB4F-CAE4AC5A7DDC}">
      <text>
        <r>
          <rPr>
            <b/>
            <sz val="9"/>
            <color indexed="81"/>
            <rFont val="Tahoma"/>
            <family val="2"/>
          </rPr>
          <t>Row Price:</t>
        </r>
        <r>
          <rPr>
            <sz val="9"/>
            <color indexed="81"/>
            <rFont val="Tahoma"/>
            <family val="2"/>
          </rPr>
          <t xml:space="preserve">
ADD: Lengths of cuff, waist, neck hems as parameters :)</t>
        </r>
      </text>
    </comment>
    <comment ref="S26" authorId="0" shapeId="0" xr:uid="{748B5936-3918-4B42-9ED4-1266E636DEBC}">
      <text>
        <r>
          <rPr>
            <b/>
            <sz val="9"/>
            <color indexed="81"/>
            <rFont val="Tahoma"/>
            <family val="2"/>
          </rPr>
          <t>Row Price:</t>
        </r>
        <r>
          <rPr>
            <sz val="9"/>
            <color indexed="81"/>
            <rFont val="Tahoma"/>
            <family val="2"/>
          </rPr>
          <t xml:space="preserve">
gotta figure out / acct for the stitches we're decreasing for accounting purposes, if not instructional ones.
Update:
gotta make the total L match the back.
This number is.. Wrong?</t>
        </r>
      </text>
    </comment>
    <comment ref="S33" authorId="0" shapeId="0" xr:uid="{C2CE8D07-7FCE-491A-9064-BA3CD6869732}">
      <text>
        <r>
          <rPr>
            <b/>
            <sz val="9"/>
            <color indexed="81"/>
            <rFont val="Tahoma"/>
            <family val="2"/>
          </rPr>
          <t>Row Price:</t>
        </r>
        <r>
          <rPr>
            <sz val="9"/>
            <color indexed="81"/>
            <rFont val="Tahoma"/>
            <family val="2"/>
          </rPr>
          <t xml:space="preserve">
actually, I DO need to do the stitch accounting for this. It's more useful than just the implied counting.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 Price</author>
  </authors>
  <commentList>
    <comment ref="C18" authorId="0" shapeId="0" xr:uid="{FD5E5FA0-8A46-4B20-ACFC-379C2834D8C6}">
      <text>
        <r>
          <rPr>
            <b/>
            <sz val="9"/>
            <color indexed="81"/>
            <rFont val="Tahoma"/>
            <family val="2"/>
          </rPr>
          <t>Row Price:</t>
        </r>
        <r>
          <rPr>
            <sz val="9"/>
            <color indexed="81"/>
            <rFont val="Tahoma"/>
            <family val="2"/>
          </rPr>
          <t xml:space="preserve">
figure out some way to actually choose this based on something that’s not BSd</t>
        </r>
      </text>
    </comment>
    <comment ref="C19" authorId="0" shapeId="0" xr:uid="{1B51DF5D-A753-4241-A474-FE8EC28C9EBC}">
      <text>
        <r>
          <rPr>
            <b/>
            <sz val="9"/>
            <color indexed="81"/>
            <rFont val="Tahoma"/>
            <family val="2"/>
          </rPr>
          <t>Row Price:</t>
        </r>
        <r>
          <rPr>
            <sz val="9"/>
            <color indexed="81"/>
            <rFont val="Tahoma"/>
            <family val="2"/>
          </rPr>
          <t xml:space="preserve">
ADD: Lengths of cuff, waist, neck hems as parameters :)</t>
        </r>
      </text>
    </comment>
    <comment ref="S26" authorId="0" shapeId="0" xr:uid="{A8FE0CEC-DEE4-48C2-85D1-DF6EAB73DAB3}">
      <text>
        <r>
          <rPr>
            <b/>
            <sz val="9"/>
            <color indexed="81"/>
            <rFont val="Tahoma"/>
            <family val="2"/>
          </rPr>
          <t>Row Price:</t>
        </r>
        <r>
          <rPr>
            <sz val="9"/>
            <color indexed="81"/>
            <rFont val="Tahoma"/>
            <family val="2"/>
          </rPr>
          <t xml:space="preserve">
gotta figure out / acct for the stitches we're decreasing for accounting purposes, if not instructional ones.
Update:
gotta make the total L match the back.
This number is.. Wrong?</t>
        </r>
      </text>
    </comment>
    <comment ref="S33" authorId="0" shapeId="0" xr:uid="{330BDA96-39AD-42B5-8023-099B4F4B5F1A}">
      <text>
        <r>
          <rPr>
            <b/>
            <sz val="9"/>
            <color indexed="81"/>
            <rFont val="Tahoma"/>
            <family val="2"/>
          </rPr>
          <t>Row Price:</t>
        </r>
        <r>
          <rPr>
            <sz val="9"/>
            <color indexed="81"/>
            <rFont val="Tahoma"/>
            <family val="2"/>
          </rPr>
          <t xml:space="preserve">
actually, I DO need to do the stitch accounting for this. It's more useful than just the implied counting.</t>
        </r>
      </text>
    </comment>
  </commentList>
</comments>
</file>

<file path=xl/sharedStrings.xml><?xml version="1.0" encoding="utf-8"?>
<sst xmlns="http://schemas.openxmlformats.org/spreadsheetml/2006/main" count="259" uniqueCount="105">
  <si>
    <t>GAUGE</t>
  </si>
  <si>
    <t>st over</t>
  </si>
  <si>
    <t>inches</t>
  </si>
  <si>
    <t>rows</t>
  </si>
  <si>
    <t>STYLE</t>
  </si>
  <si>
    <t>Neck</t>
  </si>
  <si>
    <t>Body</t>
  </si>
  <si>
    <t>Crew</t>
  </si>
  <si>
    <t>Raglan</t>
  </si>
  <si>
    <t>????</t>
  </si>
  <si>
    <t>V-Neck</t>
  </si>
  <si>
    <t>Fair Isle</t>
  </si>
  <si>
    <t>Plain</t>
  </si>
  <si>
    <t>Waist</t>
  </si>
  <si>
    <t>Bust</t>
  </si>
  <si>
    <t>Armpit to wrist</t>
  </si>
  <si>
    <t>Shoulder to belt</t>
  </si>
  <si>
    <t>Seam Allowance</t>
  </si>
  <si>
    <t>Arm circumference (At shoulder)</t>
  </si>
  <si>
    <t>Arm circumference (At wrist)</t>
  </si>
  <si>
    <t>Sleeves / Shoulders</t>
  </si>
  <si>
    <t>Measurement</t>
  </si>
  <si>
    <t>OUTPUTS</t>
  </si>
  <si>
    <t>BODY MEASUREMENTS</t>
  </si>
  <si>
    <t>TURN ribbed hem</t>
  </si>
  <si>
    <t>Set-In</t>
  </si>
  <si>
    <t>FRONT</t>
  </si>
  <si>
    <t>BACK</t>
  </si>
  <si>
    <t>SLEEVES</t>
  </si>
  <si>
    <t>TAKE OFF on waste yarn</t>
  </si>
  <si>
    <t>MARK the inside shoulder stitches</t>
  </si>
  <si>
    <t>FOR EACH SIDE (Short Row)</t>
  </si>
  <si>
    <t>Take 1 side off on waste yarn.</t>
  </si>
  <si>
    <t>X</t>
  </si>
  <si>
    <t>Z</t>
  </si>
  <si>
    <t>Y</t>
  </si>
  <si>
    <t>STEP</t>
  </si>
  <si>
    <t>INSTRUCTIONS</t>
  </si>
  <si>
    <t>Turned hem sleeve, total of X stitches</t>
  </si>
  <si>
    <t>CAST ON ribbed hem over a total of X stitches</t>
  </si>
  <si>
    <t>KNIT ribbed hem, X rows</t>
  </si>
  <si>
    <t>KNIT to underarm, X rows</t>
  </si>
  <si>
    <t>BIND OFF X stitches (1") on each side</t>
  </si>
  <si>
    <t>PUT OUT OF WORK the middle X neck stitches</t>
  </si>
  <si>
    <t>PUT OUT OF WORK X st, 1st/row per side on both sides</t>
  </si>
  <si>
    <t>SEAM one side of front and back together, at the shoulder, right side to right side.</t>
  </si>
  <si>
    <t>NECK</t>
  </si>
  <si>
    <t>SEAM the other side</t>
  </si>
  <si>
    <t>3.b.</t>
  </si>
  <si>
    <t>That's X st every Y rows????</t>
  </si>
  <si>
    <t>DECREASE X st over Y rows total</t>
  </si>
  <si>
    <t>Arm circumference at wrist</t>
  </si>
  <si>
    <t>Arm circumference at shoulder</t>
  </si>
  <si>
    <t>USE</t>
  </si>
  <si>
    <t>Use Inches.</t>
  </si>
  <si>
    <t>Add (Provisional.)</t>
  </si>
  <si>
    <t>Top of shoulder to belt</t>
  </si>
  <si>
    <t>KNIT X rows</t>
  </si>
  <si>
    <t>DECREASE X st, 1st/side/row</t>
  </si>
  <si>
    <t>DECREASE 1st/side/row for X r</t>
  </si>
  <si>
    <t>DECREASE</t>
  </si>
  <si>
    <t>Stitches</t>
  </si>
  <si>
    <t>OVER</t>
  </si>
  <si>
    <t>Rows</t>
  </si>
  <si>
    <t>rows for</t>
  </si>
  <si>
    <t>2 st every</t>
  </si>
  <si>
    <t>total st</t>
  </si>
  <si>
    <t>total r</t>
  </si>
  <si>
    <t>sts/r</t>
  </si>
  <si>
    <t>OBJECTIVE FUNCTION</t>
  </si>
  <si>
    <t>total L in</t>
  </si>
  <si>
    <t>PUT INTO WORK 1st on either side per row until out of new stitches.</t>
  </si>
  <si>
    <t>HANG relevant back/front stitches on needles in E position. Should be roughly X, Y on either side.</t>
  </si>
  <si>
    <t>Consult some other spreadsheet.</t>
  </si>
  <si>
    <t>KNIT ribbed hem, X rows for a 2in hem</t>
  </si>
  <si>
    <t>st / in</t>
  </si>
  <si>
    <t>rows /in</t>
  </si>
  <si>
    <t>in/st</t>
  </si>
  <si>
    <t>in/r</t>
  </si>
  <si>
    <t>NEXT STEPS</t>
  </si>
  <si>
    <t>1. What if I want to have a panel of Fair Isle? What add'l info do I need to add to the sheet for that to work?</t>
  </si>
  <si>
    <t>2. total #st and projected weight of sweater based on… grist? Gauge? Weight of gauge swatch?</t>
  </si>
  <si>
    <t>total L r</t>
  </si>
  <si>
    <t>Stitch Accounting</t>
  </si>
  <si>
    <t>Sts on needles</t>
  </si>
  <si>
    <t>Rows knit</t>
  </si>
  <si>
    <t>St count (noncum)</t>
  </si>
  <si>
    <t>St count (cum)</t>
  </si>
  <si>
    <t>Weight</t>
  </si>
  <si>
    <t>FRONT TOTAL:</t>
  </si>
  <si>
    <t>BACK TOTAL:</t>
  </si>
  <si>
    <t>NECK TOTAL:</t>
  </si>
  <si>
    <t>BAD ESTIMATE</t>
  </si>
  <si>
    <t>SLEEVE TOTAL: /1 sleeve</t>
  </si>
  <si>
    <t>TOTAL:</t>
  </si>
  <si>
    <t>ST/g</t>
  </si>
  <si>
    <t>g/sweater</t>
  </si>
  <si>
    <t>lbs/sweater</t>
  </si>
  <si>
    <t>oz/sweater</t>
  </si>
  <si>
    <t>TOTAL BOUGHT</t>
  </si>
  <si>
    <t>Slack:</t>
  </si>
  <si>
    <t>Neck // Head Circumference</t>
  </si>
  <si>
    <t>DECREASE X st, 1st/row (on the inside)</t>
  </si>
  <si>
    <t>PUT OUT OF WORK 1st/row down to 1st (on the outside)</t>
  </si>
  <si>
    <t>Ribbed turned collar, however deep you feel is right. X st gives ~a 1 inch collar.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</si>
</sst>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4">
    <xf numFmtId="0" fontId="0" fillId="0" borderId="0" xfId="0"/>
    <xf numFmtId="0" fontId="0" fillId="2" borderId="4" xfId="0" applyFill="1" applyBorder="1"/>
    <xf numFmtId="0" fontId="0" fillId="0" borderId="0" xfId="0" applyBorder="1"/>
    <xf numFmtId="0" fontId="0" fillId="2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/>
    <xf numFmtId="0" fontId="3" fillId="0" borderId="0" xfId="0" applyFont="1" applyBorder="1"/>
    <xf numFmtId="0" fontId="3" fillId="0" borderId="0" xfId="0" applyFont="1"/>
    <xf numFmtId="0" fontId="0" fillId="0" borderId="20" xfId="0" applyFont="1" applyBorder="1"/>
    <xf numFmtId="0" fontId="0" fillId="0" borderId="21" xfId="0" applyFont="1" applyBorder="1"/>
    <xf numFmtId="0" fontId="0" fillId="4" borderId="41" xfId="0" applyFont="1" applyFill="1" applyBorder="1"/>
    <xf numFmtId="0" fontId="0" fillId="4" borderId="37" xfId="0" applyFont="1" applyFill="1" applyBorder="1"/>
    <xf numFmtId="164" fontId="0" fillId="3" borderId="37" xfId="0" applyNumberFormat="1" applyFont="1" applyFill="1" applyBorder="1"/>
    <xf numFmtId="0" fontId="0" fillId="4" borderId="42" xfId="0" applyFont="1" applyFill="1" applyBorder="1"/>
    <xf numFmtId="0" fontId="0" fillId="4" borderId="28" xfId="0" applyFont="1" applyFill="1" applyBorder="1"/>
    <xf numFmtId="164" fontId="0" fillId="3" borderId="28" xfId="0" applyNumberFormat="1" applyFont="1" applyFill="1" applyBorder="1"/>
    <xf numFmtId="164" fontId="0" fillId="4" borderId="28" xfId="0" applyNumberFormat="1" applyFont="1" applyFill="1" applyBorder="1"/>
    <xf numFmtId="0" fontId="0" fillId="4" borderId="34" xfId="0" applyFont="1" applyFill="1" applyBorder="1"/>
    <xf numFmtId="164" fontId="0" fillId="3" borderId="34" xfId="0" applyNumberFormat="1" applyFont="1" applyFill="1" applyBorder="1"/>
    <xf numFmtId="0" fontId="0" fillId="4" borderId="35" xfId="0" applyFont="1" applyFill="1" applyBorder="1"/>
    <xf numFmtId="164" fontId="0" fillId="3" borderId="35" xfId="0" applyNumberFormat="1" applyFont="1" applyFill="1" applyBorder="1"/>
    <xf numFmtId="0" fontId="0" fillId="4" borderId="18" xfId="0" applyFont="1" applyFill="1" applyBorder="1"/>
    <xf numFmtId="0" fontId="0" fillId="4" borderId="40" xfId="0" applyFont="1" applyFill="1" applyBorder="1"/>
    <xf numFmtId="0" fontId="0" fillId="4" borderId="4" xfId="0" applyFont="1" applyFill="1" applyBorder="1"/>
    <xf numFmtId="0" fontId="0" fillId="4" borderId="38" xfId="0" applyFont="1" applyFill="1" applyBorder="1"/>
    <xf numFmtId="0" fontId="0" fillId="4" borderId="0" xfId="0" applyFont="1" applyFill="1" applyBorder="1"/>
    <xf numFmtId="0" fontId="0" fillId="4" borderId="19" xfId="0" applyFont="1" applyFill="1" applyBorder="1"/>
    <xf numFmtId="164" fontId="0" fillId="4" borderId="34" xfId="0" applyNumberFormat="1" applyFont="1" applyFill="1" applyBorder="1"/>
    <xf numFmtId="164" fontId="0" fillId="4" borderId="35" xfId="0" applyNumberFormat="1" applyFont="1" applyFill="1" applyBorder="1"/>
    <xf numFmtId="164" fontId="0" fillId="3" borderId="0" xfId="0" applyNumberFormat="1" applyFont="1" applyFill="1"/>
    <xf numFmtId="0" fontId="0" fillId="4" borderId="43" xfId="0" applyFont="1" applyFill="1" applyBorder="1"/>
    <xf numFmtId="164" fontId="0" fillId="4" borderId="36" xfId="0" applyNumberFormat="1" applyFont="1" applyFill="1" applyBorder="1"/>
    <xf numFmtId="164" fontId="0" fillId="3" borderId="36" xfId="0" applyNumberFormat="1" applyFont="1" applyFill="1" applyBorder="1"/>
    <xf numFmtId="0" fontId="0" fillId="4" borderId="36" xfId="0" applyFont="1" applyFill="1" applyBorder="1"/>
    <xf numFmtId="164" fontId="0" fillId="4" borderId="40" xfId="0" applyNumberFormat="1" applyFont="1" applyFill="1" applyBorder="1"/>
    <xf numFmtId="164" fontId="2" fillId="3" borderId="28" xfId="0" applyNumberFormat="1" applyFont="1" applyFill="1" applyBorder="1"/>
    <xf numFmtId="164" fontId="0" fillId="6" borderId="35" xfId="0" applyNumberFormat="1" applyFont="1" applyFill="1" applyBorder="1"/>
    <xf numFmtId="0" fontId="0" fillId="2" borderId="0" xfId="0" applyFill="1"/>
    <xf numFmtId="0" fontId="0" fillId="7" borderId="0" xfId="0" applyFill="1"/>
    <xf numFmtId="0" fontId="0" fillId="8" borderId="0" xfId="0" applyFill="1"/>
    <xf numFmtId="164" fontId="0" fillId="6" borderId="35" xfId="0" applyNumberFormat="1" applyFont="1" applyFill="1" applyBorder="1" applyAlignment="1">
      <alignment horizontal="right"/>
    </xf>
    <xf numFmtId="0" fontId="0" fillId="9" borderId="0" xfId="0" applyFill="1" applyBorder="1"/>
    <xf numFmtId="0" fontId="0" fillId="9" borderId="7" xfId="0" applyFill="1" applyBorder="1"/>
    <xf numFmtId="164" fontId="0" fillId="0" borderId="0" xfId="0" applyNumberFormat="1"/>
    <xf numFmtId="0" fontId="0" fillId="9" borderId="0" xfId="0" applyFill="1"/>
    <xf numFmtId="9" fontId="0" fillId="0" borderId="0" xfId="0" applyNumberFormat="1"/>
    <xf numFmtId="9" fontId="0" fillId="8" borderId="0" xfId="1" applyFont="1" applyFill="1"/>
    <xf numFmtId="0" fontId="0" fillId="10" borderId="4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4" borderId="0" xfId="0" applyFont="1" applyFill="1" applyBorder="1"/>
    <xf numFmtId="0" fontId="0" fillId="4" borderId="38" xfId="0" applyFont="1" applyFill="1" applyBorder="1"/>
    <xf numFmtId="0" fontId="0" fillId="0" borderId="1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4" borderId="0" xfId="0" applyFont="1" applyFill="1" applyBorder="1"/>
    <xf numFmtId="0" fontId="0" fillId="4" borderId="5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26" xfId="0" applyFont="1" applyFill="1" applyBorder="1"/>
    <xf numFmtId="0" fontId="0" fillId="4" borderId="27" xfId="0" applyFont="1" applyFill="1" applyBorder="1"/>
    <xf numFmtId="0" fontId="0" fillId="6" borderId="23" xfId="0" applyFont="1" applyFill="1" applyBorder="1" applyAlignment="1">
      <alignment horizontal="center"/>
    </xf>
    <xf numFmtId="0" fontId="0" fillId="6" borderId="24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0" fillId="4" borderId="26" xfId="0" applyFont="1" applyFill="1" applyBorder="1" applyAlignment="1">
      <alignment horizontal="left"/>
    </xf>
    <xf numFmtId="0" fontId="0" fillId="4" borderId="27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8" fillId="4" borderId="7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3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4" borderId="39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0" fillId="4" borderId="38" xfId="0" applyFont="1" applyFill="1" applyBorder="1"/>
    <xf numFmtId="0" fontId="0" fillId="0" borderId="23" xfId="0" applyFont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6F0D-351E-45F1-8A81-38B8395458B6}">
  <dimension ref="B1:AO38"/>
  <sheetViews>
    <sheetView tabSelected="1" topLeftCell="T1" zoomScale="80" zoomScaleNormal="80" workbookViewId="0">
      <selection activeCell="AM14" sqref="AM14"/>
    </sheetView>
  </sheetViews>
  <sheetFormatPr defaultColWidth="8.88671875" defaultRowHeight="23.4" zeroHeight="1" x14ac:dyDescent="0.45"/>
  <cols>
    <col min="1" max="1" width="5" customWidth="1"/>
    <col min="2" max="2" width="10.33203125" bestFit="1" customWidth="1"/>
    <col min="3" max="3" width="9.109375" bestFit="1" customWidth="1"/>
    <col min="4" max="4" width="11.44140625" customWidth="1"/>
    <col min="5" max="5" width="7.5546875" customWidth="1"/>
    <col min="6" max="6" width="12.33203125" bestFit="1" customWidth="1"/>
    <col min="7" max="7" width="15.21875" bestFit="1" customWidth="1"/>
    <col min="8" max="8" width="4.21875" bestFit="1" customWidth="1"/>
    <col min="9" max="9" width="8.88671875" customWidth="1"/>
    <col min="10" max="10" width="2" bestFit="1" customWidth="1"/>
    <col min="11" max="12" width="8.88671875" customWidth="1"/>
    <col min="13" max="13" width="2" bestFit="1" customWidth="1"/>
    <col min="14" max="15" width="8.88671875" customWidth="1"/>
    <col min="16" max="16" width="4.33203125" customWidth="1"/>
    <col min="17" max="17" width="4" bestFit="1" customWidth="1"/>
    <col min="18" max="18" width="8.77734375" style="19" customWidth="1"/>
    <col min="19" max="19" width="25.33203125" style="19" customWidth="1"/>
    <col min="20" max="20" width="4.77734375" customWidth="1"/>
    <col min="21" max="31" width="8.88671875" customWidth="1"/>
    <col min="33" max="33" width="8.88671875" customWidth="1"/>
    <col min="34" max="34" width="8.44140625" customWidth="1"/>
    <col min="35" max="35" width="8.88671875" customWidth="1"/>
    <col min="36" max="36" width="17.109375" bestFit="1" customWidth="1"/>
    <col min="37" max="37" width="13.6640625" bestFit="1" customWidth="1"/>
    <col min="38" max="16383" width="8.88671875" customWidth="1"/>
  </cols>
  <sheetData>
    <row r="1" spans="2:41" ht="15.6" customHeight="1" thickBot="1" x14ac:dyDescent="0.5"/>
    <row r="2" spans="2:41" ht="15" thickBot="1" x14ac:dyDescent="0.35">
      <c r="B2" s="105" t="s">
        <v>0</v>
      </c>
      <c r="C2" s="106"/>
      <c r="D2" s="106"/>
      <c r="E2" s="107"/>
      <c r="G2" s="108" t="s">
        <v>4</v>
      </c>
      <c r="H2" s="109"/>
      <c r="I2" s="109"/>
      <c r="J2" s="109"/>
      <c r="K2" s="109"/>
      <c r="L2" s="109"/>
      <c r="M2" s="109"/>
      <c r="N2" s="109"/>
      <c r="O2" s="110"/>
      <c r="Q2" s="96" t="s">
        <v>22</v>
      </c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L2" t="s">
        <v>95</v>
      </c>
      <c r="AM2" t="s">
        <v>96</v>
      </c>
      <c r="AN2" t="s">
        <v>97</v>
      </c>
      <c r="AO2" t="s">
        <v>98</v>
      </c>
    </row>
    <row r="3" spans="2:41" ht="15" thickBot="1" x14ac:dyDescent="0.35">
      <c r="B3" s="1">
        <v>40</v>
      </c>
      <c r="C3" s="7" t="s">
        <v>1</v>
      </c>
      <c r="D3" s="3">
        <v>6.25</v>
      </c>
      <c r="E3" s="12" t="s">
        <v>2</v>
      </c>
      <c r="G3" s="113" t="s">
        <v>5</v>
      </c>
      <c r="H3" s="111"/>
      <c r="I3" s="111"/>
      <c r="J3" s="111" t="s">
        <v>20</v>
      </c>
      <c r="K3" s="111"/>
      <c r="L3" s="111"/>
      <c r="M3" s="111" t="s">
        <v>6</v>
      </c>
      <c r="N3" s="111"/>
      <c r="O3" s="112"/>
      <c r="Q3" s="20" t="s">
        <v>34</v>
      </c>
      <c r="R3" s="21" t="s">
        <v>35</v>
      </c>
      <c r="S3" s="21" t="s">
        <v>33</v>
      </c>
      <c r="T3" s="21" t="s">
        <v>36</v>
      </c>
      <c r="U3" s="99" t="s">
        <v>37</v>
      </c>
      <c r="V3" s="99"/>
      <c r="W3" s="99"/>
      <c r="X3" s="99"/>
      <c r="Y3" s="99"/>
      <c r="Z3" s="99"/>
      <c r="AA3" s="99"/>
      <c r="AB3" s="99"/>
      <c r="AC3" s="99"/>
      <c r="AD3" s="100"/>
      <c r="AH3" t="s">
        <v>83</v>
      </c>
      <c r="AJ3" t="s">
        <v>94</v>
      </c>
      <c r="AK3" s="56">
        <f>AK13+AK26+2*AK37+AK31</f>
        <v>106193.14555555557</v>
      </c>
      <c r="AL3" s="49">
        <v>100</v>
      </c>
      <c r="AM3">
        <f>AK3/AL3</f>
        <v>1061.9314555555557</v>
      </c>
      <c r="AN3">
        <f>CONVERT(AM3,"g","lbm")</f>
        <v>2.3411581097705758</v>
      </c>
    </row>
    <row r="4" spans="2:41" ht="14.4" x14ac:dyDescent="0.3">
      <c r="B4" s="1">
        <v>50</v>
      </c>
      <c r="C4" s="7" t="s">
        <v>3</v>
      </c>
      <c r="D4" s="3">
        <v>5.625</v>
      </c>
      <c r="E4" s="12" t="s">
        <v>2</v>
      </c>
      <c r="G4" s="59">
        <v>1</v>
      </c>
      <c r="H4" s="92" t="s">
        <v>7</v>
      </c>
      <c r="I4" s="92"/>
      <c r="J4" s="60">
        <v>1</v>
      </c>
      <c r="K4" s="92" t="s">
        <v>25</v>
      </c>
      <c r="L4" s="92"/>
      <c r="M4" s="60">
        <v>1</v>
      </c>
      <c r="N4" s="92" t="s">
        <v>12</v>
      </c>
      <c r="O4" s="95"/>
      <c r="Q4" s="101" t="s">
        <v>27</v>
      </c>
      <c r="R4" s="102"/>
      <c r="S4" s="102"/>
      <c r="T4" s="102"/>
      <c r="U4" s="103"/>
      <c r="V4" s="103"/>
      <c r="W4" s="103"/>
      <c r="X4" s="103"/>
      <c r="Y4" s="103"/>
      <c r="Z4" s="103"/>
      <c r="AA4" s="103"/>
      <c r="AB4" s="103"/>
      <c r="AC4" s="103"/>
      <c r="AD4" s="104"/>
      <c r="AG4" t="s">
        <v>88</v>
      </c>
      <c r="AH4" t="s">
        <v>84</v>
      </c>
      <c r="AI4" t="s">
        <v>85</v>
      </c>
      <c r="AJ4" t="s">
        <v>86</v>
      </c>
      <c r="AK4" t="s">
        <v>87</v>
      </c>
      <c r="AL4" s="57">
        <v>0.15</v>
      </c>
      <c r="AM4">
        <f>AM3+AM3*$AL$4</f>
        <v>1221.2211738888891</v>
      </c>
      <c r="AN4">
        <f>AN3+AN3*$AL$4</f>
        <v>2.6923318262361624</v>
      </c>
    </row>
    <row r="5" spans="2:41" ht="14.4" x14ac:dyDescent="0.3">
      <c r="B5" s="13"/>
      <c r="C5" s="7"/>
      <c r="D5" s="7"/>
      <c r="E5" s="12"/>
      <c r="G5" s="59">
        <v>0</v>
      </c>
      <c r="H5" s="92" t="s">
        <v>10</v>
      </c>
      <c r="I5" s="92"/>
      <c r="J5" s="60">
        <v>0</v>
      </c>
      <c r="K5" s="92" t="s">
        <v>8</v>
      </c>
      <c r="L5" s="92"/>
      <c r="M5" s="60">
        <v>0</v>
      </c>
      <c r="N5" s="92" t="s">
        <v>11</v>
      </c>
      <c r="O5" s="95"/>
      <c r="Q5" s="22"/>
      <c r="R5" s="23"/>
      <c r="S5" s="24">
        <f>0.5*(WAIST+4*SeamAllowance)*GaugeST</f>
        <v>134.4</v>
      </c>
      <c r="T5" s="23">
        <v>1</v>
      </c>
      <c r="U5" s="68" t="s">
        <v>39</v>
      </c>
      <c r="V5" s="68"/>
      <c r="W5" s="68"/>
      <c r="X5" s="68"/>
      <c r="Y5" s="68"/>
      <c r="Z5" s="68"/>
      <c r="AA5" s="68"/>
      <c r="AB5" s="68"/>
      <c r="AC5" s="68"/>
      <c r="AD5" s="69"/>
      <c r="AE5">
        <f>S6/2 + S8+S10+S11+S12</f>
        <v>247.1</v>
      </c>
      <c r="AF5" t="s">
        <v>82</v>
      </c>
      <c r="AG5">
        <v>1</v>
      </c>
      <c r="AH5" s="55">
        <f>S5</f>
        <v>134.4</v>
      </c>
      <c r="AI5" s="55">
        <f>S6</f>
        <v>35.555555555555557</v>
      </c>
      <c r="AJ5">
        <f>AH5*AI5*AG5</f>
        <v>4778.666666666667</v>
      </c>
      <c r="AK5">
        <f>AJ5</f>
        <v>4778.666666666667</v>
      </c>
      <c r="AL5" t="s">
        <v>99</v>
      </c>
      <c r="AM5" s="49">
        <v>493.66</v>
      </c>
      <c r="AN5" s="49"/>
    </row>
    <row r="6" spans="2:41" ht="14.4" x14ac:dyDescent="0.3">
      <c r="B6" s="4">
        <f>B3/D3</f>
        <v>6.4</v>
      </c>
      <c r="C6" s="7" t="s">
        <v>75</v>
      </c>
      <c r="D6" s="53">
        <f>1/GaugeST</f>
        <v>0.15625</v>
      </c>
      <c r="E6" s="12" t="s">
        <v>77</v>
      </c>
      <c r="G6" s="59">
        <v>0</v>
      </c>
      <c r="H6" s="92"/>
      <c r="I6" s="92"/>
      <c r="J6" s="60">
        <v>0</v>
      </c>
      <c r="K6" s="92" t="s">
        <v>9</v>
      </c>
      <c r="L6" s="92"/>
      <c r="M6" s="60">
        <v>0</v>
      </c>
      <c r="N6" s="92"/>
      <c r="O6" s="95"/>
      <c r="Q6" s="25"/>
      <c r="R6" s="26"/>
      <c r="S6" s="27">
        <f>4*GaugeR</f>
        <v>35.555555555555557</v>
      </c>
      <c r="T6" s="26">
        <v>2</v>
      </c>
      <c r="U6" s="68" t="s">
        <v>74</v>
      </c>
      <c r="V6" s="68"/>
      <c r="W6" s="68"/>
      <c r="X6" s="68"/>
      <c r="Y6" s="68"/>
      <c r="Z6" s="68"/>
      <c r="AA6" s="68"/>
      <c r="AB6" s="68"/>
      <c r="AC6" s="68"/>
      <c r="AD6" s="69"/>
      <c r="AE6">
        <f>AE5/GaugeR</f>
        <v>27.798749999999998</v>
      </c>
      <c r="AF6" t="s">
        <v>70</v>
      </c>
      <c r="AK6">
        <f>AK5+AJ6</f>
        <v>4778.666666666667</v>
      </c>
      <c r="AL6" t="s">
        <v>100</v>
      </c>
      <c r="AM6" s="58">
        <f>(AM5/AM3)-1</f>
        <v>-0.53513007132674217</v>
      </c>
      <c r="AN6" s="58">
        <f>(AN5/AN3)-1</f>
        <v>-1</v>
      </c>
    </row>
    <row r="7" spans="2:41" ht="15" thickBot="1" x14ac:dyDescent="0.35">
      <c r="B7" s="5">
        <f>B4/D4</f>
        <v>8.8888888888888893</v>
      </c>
      <c r="C7" s="10" t="s">
        <v>76</v>
      </c>
      <c r="D7" s="54">
        <f>1/GaugeR</f>
        <v>0.11249999999999999</v>
      </c>
      <c r="E7" s="11" t="s">
        <v>78</v>
      </c>
      <c r="G7" s="61">
        <v>0</v>
      </c>
      <c r="H7" s="93"/>
      <c r="I7" s="93"/>
      <c r="J7" s="62">
        <v>0</v>
      </c>
      <c r="K7" s="93"/>
      <c r="L7" s="93"/>
      <c r="M7" s="62">
        <v>0</v>
      </c>
      <c r="N7" s="93"/>
      <c r="O7" s="94"/>
      <c r="Q7" s="25"/>
      <c r="R7" s="26"/>
      <c r="S7" s="28"/>
      <c r="T7" s="26">
        <v>3</v>
      </c>
      <c r="U7" s="68" t="s">
        <v>24</v>
      </c>
      <c r="V7" s="68"/>
      <c r="W7" s="68"/>
      <c r="X7" s="68"/>
      <c r="Y7" s="68"/>
      <c r="Z7" s="68"/>
      <c r="AA7" s="68"/>
      <c r="AB7" s="68"/>
      <c r="AC7" s="68"/>
      <c r="AD7" s="69"/>
      <c r="AK7">
        <f t="shared" ref="AK7:AK12" si="0">AK6+AJ7</f>
        <v>4778.666666666667</v>
      </c>
    </row>
    <row r="8" spans="2:41" ht="14.4" x14ac:dyDescent="0.3">
      <c r="Q8" s="25"/>
      <c r="R8" s="26"/>
      <c r="S8" s="27">
        <f>(TotalLength-0.5*SleeveTop-2)*GaugeR-S12/2</f>
        <v>139.56666666666669</v>
      </c>
      <c r="T8" s="26">
        <v>4</v>
      </c>
      <c r="U8" s="68" t="s">
        <v>41</v>
      </c>
      <c r="V8" s="68"/>
      <c r="W8" s="68"/>
      <c r="X8" s="68"/>
      <c r="Y8" s="68"/>
      <c r="Z8" s="68"/>
      <c r="AA8" s="68"/>
      <c r="AB8" s="68"/>
      <c r="AC8" s="68"/>
      <c r="AD8" s="69"/>
      <c r="AH8" s="55">
        <f>AH5</f>
        <v>134.4</v>
      </c>
      <c r="AI8" s="55">
        <f>S8</f>
        <v>139.56666666666669</v>
      </c>
      <c r="AJ8">
        <f>AH8*AI8</f>
        <v>18757.760000000006</v>
      </c>
      <c r="AK8">
        <f t="shared" si="0"/>
        <v>23536.426666666674</v>
      </c>
    </row>
    <row r="9" spans="2:41" ht="15" thickBot="1" x14ac:dyDescent="0.35">
      <c r="Q9" s="25"/>
      <c r="R9" s="26"/>
      <c r="S9" s="27">
        <f>GaugeST</f>
        <v>6.4</v>
      </c>
      <c r="T9" s="26">
        <v>5</v>
      </c>
      <c r="U9" s="68" t="s">
        <v>42</v>
      </c>
      <c r="V9" s="68"/>
      <c r="W9" s="68"/>
      <c r="X9" s="68"/>
      <c r="Y9" s="68"/>
      <c r="Z9" s="68"/>
      <c r="AA9" s="68"/>
      <c r="AB9" s="68"/>
      <c r="AC9" s="68"/>
      <c r="AD9" s="69"/>
      <c r="AH9">
        <f>AH8-2*S9</f>
        <v>121.60000000000001</v>
      </c>
      <c r="AK9">
        <f t="shared" si="0"/>
        <v>23536.426666666674</v>
      </c>
    </row>
    <row r="10" spans="2:41" ht="15" thickBot="1" x14ac:dyDescent="0.35">
      <c r="B10" s="105" t="s">
        <v>23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7"/>
      <c r="Q10" s="25"/>
      <c r="R10" s="26"/>
      <c r="S10" s="27">
        <f>2*GaugeST</f>
        <v>12.8</v>
      </c>
      <c r="T10" s="26">
        <v>6</v>
      </c>
      <c r="U10" s="68" t="s">
        <v>59</v>
      </c>
      <c r="V10" s="68"/>
      <c r="W10" s="68"/>
      <c r="X10" s="68"/>
      <c r="Y10" s="68"/>
      <c r="Z10" s="68"/>
      <c r="AA10" s="68"/>
      <c r="AB10" s="68"/>
      <c r="AC10" s="68"/>
      <c r="AD10" s="69"/>
      <c r="AH10" s="55">
        <f>AH9-2*S10</f>
        <v>96</v>
      </c>
      <c r="AJ10">
        <f>AH9*S10-(S10^2)</f>
        <v>1392.6400000000003</v>
      </c>
      <c r="AK10">
        <f t="shared" si="0"/>
        <v>24929.066666666673</v>
      </c>
    </row>
    <row r="11" spans="2:41" ht="14.4" x14ac:dyDescent="0.3">
      <c r="B11" s="14" t="s">
        <v>54</v>
      </c>
      <c r="C11" s="15"/>
      <c r="D11" s="15"/>
      <c r="E11" s="15"/>
      <c r="F11" s="15" t="s">
        <v>21</v>
      </c>
      <c r="G11" s="15" t="s">
        <v>55</v>
      </c>
      <c r="H11" s="15" t="s">
        <v>53</v>
      </c>
      <c r="I11" s="15"/>
      <c r="J11" s="15"/>
      <c r="K11" s="15"/>
      <c r="L11" s="15"/>
      <c r="M11" s="15"/>
      <c r="N11" s="15"/>
      <c r="O11" s="16"/>
      <c r="Q11" s="25"/>
      <c r="R11" s="26"/>
      <c r="S11" s="47">
        <f>(TotalLength-1-2)*GaugeR-S8-S10-S12/2</f>
        <v>62.755555555555539</v>
      </c>
      <c r="T11" s="26">
        <v>7</v>
      </c>
      <c r="U11" s="68" t="s">
        <v>57</v>
      </c>
      <c r="V11" s="68"/>
      <c r="W11" s="68"/>
      <c r="X11" s="68"/>
      <c r="Y11" s="68"/>
      <c r="Z11" s="68"/>
      <c r="AA11" s="68"/>
      <c r="AB11" s="68"/>
      <c r="AC11" s="68"/>
      <c r="AD11" s="69"/>
      <c r="AH11" s="55">
        <f>AH10</f>
        <v>96</v>
      </c>
      <c r="AI11" s="55">
        <f>S11</f>
        <v>62.755555555555539</v>
      </c>
      <c r="AJ11">
        <f>AH11*AI11</f>
        <v>6024.5333333333319</v>
      </c>
      <c r="AK11">
        <f t="shared" si="0"/>
        <v>30953.600000000006</v>
      </c>
    </row>
    <row r="12" spans="2:41" ht="14.4" x14ac:dyDescent="0.3">
      <c r="B12" s="13"/>
      <c r="C12" s="83" t="s">
        <v>13</v>
      </c>
      <c r="D12" s="83"/>
      <c r="E12" s="83"/>
      <c r="F12" s="3">
        <v>43</v>
      </c>
      <c r="G12" s="8">
        <v>-3</v>
      </c>
      <c r="H12" s="6">
        <f>F12+G12</f>
        <v>40</v>
      </c>
      <c r="I12" s="7"/>
      <c r="J12" s="7"/>
      <c r="K12" s="7"/>
      <c r="L12" s="79" t="s">
        <v>13</v>
      </c>
      <c r="M12" s="79"/>
      <c r="N12" s="79"/>
      <c r="O12" s="12"/>
      <c r="Q12" s="25"/>
      <c r="R12" s="26"/>
      <c r="S12" s="47">
        <f>0.25*GaugeST*(0.5*H12-0.5*NECK)-1</f>
        <v>14.200000000000001</v>
      </c>
      <c r="T12" s="26">
        <v>8</v>
      </c>
      <c r="U12" s="68" t="s">
        <v>44</v>
      </c>
      <c r="V12" s="68"/>
      <c r="W12" s="68"/>
      <c r="X12" s="68"/>
      <c r="Y12" s="68"/>
      <c r="Z12" s="68"/>
      <c r="AA12" s="68"/>
      <c r="AB12" s="68"/>
      <c r="AC12" s="68"/>
      <c r="AD12" s="69"/>
      <c r="AH12" s="55">
        <f>AH11-S12</f>
        <v>81.8</v>
      </c>
      <c r="AI12">
        <f>S12/2</f>
        <v>7.1000000000000005</v>
      </c>
      <c r="AJ12">
        <f>AH12*AI12+(S12^2)/4</f>
        <v>631.18999999999994</v>
      </c>
      <c r="AK12">
        <f t="shared" si="0"/>
        <v>31584.790000000005</v>
      </c>
    </row>
    <row r="13" spans="2:41" ht="14.4" x14ac:dyDescent="0.3">
      <c r="B13" s="13"/>
      <c r="C13" s="83" t="s">
        <v>101</v>
      </c>
      <c r="D13" s="83"/>
      <c r="E13" s="83"/>
      <c r="F13" s="3">
        <v>21</v>
      </c>
      <c r="G13" s="8">
        <v>0</v>
      </c>
      <c r="H13" s="6">
        <f t="shared" ref="H13:H17" si="1">F13+G13</f>
        <v>21</v>
      </c>
      <c r="I13" s="7"/>
      <c r="J13" s="7"/>
      <c r="K13" s="7"/>
      <c r="L13" s="79" t="s">
        <v>14</v>
      </c>
      <c r="M13" s="79"/>
      <c r="N13" s="79"/>
      <c r="O13" s="12"/>
      <c r="Q13" s="25"/>
      <c r="R13" s="26"/>
      <c r="S13" s="28"/>
      <c r="T13" s="26">
        <v>9</v>
      </c>
      <c r="U13" s="68" t="s">
        <v>30</v>
      </c>
      <c r="V13" s="68"/>
      <c r="W13" s="68"/>
      <c r="X13" s="68"/>
      <c r="Y13" s="68"/>
      <c r="Z13" s="68"/>
      <c r="AA13" s="68"/>
      <c r="AB13" s="68"/>
      <c r="AC13" s="68"/>
      <c r="AD13" s="69"/>
      <c r="AJ13" t="s">
        <v>90</v>
      </c>
      <c r="AK13">
        <f>AK12</f>
        <v>31584.790000000005</v>
      </c>
    </row>
    <row r="14" spans="2:41" ht="14.4" x14ac:dyDescent="0.3">
      <c r="B14" s="13"/>
      <c r="C14" s="83" t="s">
        <v>15</v>
      </c>
      <c r="D14" s="83"/>
      <c r="E14" s="83"/>
      <c r="F14" s="3">
        <v>25</v>
      </c>
      <c r="G14" s="8">
        <v>-2</v>
      </c>
      <c r="H14" s="6">
        <f t="shared" si="1"/>
        <v>23</v>
      </c>
      <c r="I14" s="7"/>
      <c r="J14" s="7"/>
      <c r="K14" s="7"/>
      <c r="L14" s="79" t="s">
        <v>5</v>
      </c>
      <c r="M14" s="79"/>
      <c r="N14" s="79"/>
      <c r="O14" s="12"/>
      <c r="Q14" s="25"/>
      <c r="R14" s="26"/>
      <c r="S14" s="28"/>
      <c r="T14" s="26">
        <v>10</v>
      </c>
      <c r="U14" s="87" t="s">
        <v>29</v>
      </c>
      <c r="V14" s="88"/>
      <c r="W14" s="88"/>
      <c r="X14" s="88"/>
      <c r="Y14" s="88"/>
      <c r="Z14" s="88"/>
      <c r="AA14" s="88"/>
      <c r="AB14" s="88"/>
      <c r="AC14" s="88"/>
      <c r="AD14" s="89"/>
    </row>
    <row r="15" spans="2:41" ht="14.4" x14ac:dyDescent="0.3">
      <c r="B15" s="13"/>
      <c r="C15" s="83" t="s">
        <v>56</v>
      </c>
      <c r="D15" s="83"/>
      <c r="E15" s="83"/>
      <c r="F15" s="3">
        <v>25</v>
      </c>
      <c r="G15" s="8">
        <v>3</v>
      </c>
      <c r="H15" s="6">
        <f t="shared" si="1"/>
        <v>28</v>
      </c>
      <c r="I15" s="7"/>
      <c r="J15" s="7"/>
      <c r="K15" s="7"/>
      <c r="L15" s="79" t="s">
        <v>15</v>
      </c>
      <c r="M15" s="79"/>
      <c r="N15" s="79"/>
      <c r="O15" s="12"/>
      <c r="Q15" s="65" t="s">
        <v>26</v>
      </c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7"/>
      <c r="AG15" t="s">
        <v>88</v>
      </c>
      <c r="AH15" t="s">
        <v>84</v>
      </c>
      <c r="AI15" t="s">
        <v>85</v>
      </c>
      <c r="AJ15" t="s">
        <v>86</v>
      </c>
      <c r="AK15" t="s">
        <v>87</v>
      </c>
    </row>
    <row r="16" spans="2:41" ht="14.4" x14ac:dyDescent="0.3">
      <c r="B16" s="13"/>
      <c r="C16" s="83" t="s">
        <v>51</v>
      </c>
      <c r="D16" s="83"/>
      <c r="E16" s="83"/>
      <c r="F16" s="3">
        <v>7</v>
      </c>
      <c r="G16" s="8">
        <v>1</v>
      </c>
      <c r="H16" s="6">
        <f t="shared" si="1"/>
        <v>8</v>
      </c>
      <c r="I16" s="7"/>
      <c r="J16" s="7"/>
      <c r="K16" s="7"/>
      <c r="L16" s="79" t="s">
        <v>16</v>
      </c>
      <c r="M16" s="79"/>
      <c r="N16" s="79"/>
      <c r="O16" s="12"/>
      <c r="Q16" s="22"/>
      <c r="R16" s="29"/>
      <c r="S16" s="30">
        <f>S5</f>
        <v>134.4</v>
      </c>
      <c r="T16" s="29">
        <v>1</v>
      </c>
      <c r="U16" s="77" t="s">
        <v>39</v>
      </c>
      <c r="V16" s="77"/>
      <c r="W16" s="77"/>
      <c r="X16" s="77"/>
      <c r="Y16" s="77"/>
      <c r="Z16" s="77"/>
      <c r="AA16" s="77"/>
      <c r="AB16" s="77"/>
      <c r="AC16" s="77"/>
      <c r="AD16" s="78"/>
      <c r="AE16">
        <f>S17/2+S19+S21+S22+S25+S26</f>
        <v>249.70000000000005</v>
      </c>
      <c r="AF16" t="s">
        <v>82</v>
      </c>
      <c r="AG16">
        <v>1</v>
      </c>
      <c r="AH16" s="55">
        <f>S16</f>
        <v>134.4</v>
      </c>
      <c r="AI16" s="55">
        <f>S17</f>
        <v>35.555555555555557</v>
      </c>
      <c r="AJ16">
        <f>AH16*AI16*AG16</f>
        <v>4778.666666666667</v>
      </c>
      <c r="AK16">
        <f>AJ16</f>
        <v>4778.666666666667</v>
      </c>
    </row>
    <row r="17" spans="2:37" ht="14.4" x14ac:dyDescent="0.3">
      <c r="B17" s="13"/>
      <c r="C17" s="83" t="s">
        <v>52</v>
      </c>
      <c r="D17" s="83"/>
      <c r="E17" s="83"/>
      <c r="F17" s="3">
        <v>16</v>
      </c>
      <c r="G17" s="8">
        <v>3</v>
      </c>
      <c r="H17" s="6">
        <f t="shared" si="1"/>
        <v>19</v>
      </c>
      <c r="I17" s="7"/>
      <c r="J17" s="7"/>
      <c r="K17" s="7"/>
      <c r="L17" s="79" t="s">
        <v>19</v>
      </c>
      <c r="M17" s="79"/>
      <c r="N17" s="79"/>
      <c r="O17" s="12"/>
      <c r="Q17" s="25"/>
      <c r="R17" s="31"/>
      <c r="S17" s="32">
        <f>S6</f>
        <v>35.555555555555557</v>
      </c>
      <c r="T17" s="31">
        <v>2</v>
      </c>
      <c r="U17" s="68" t="s">
        <v>40</v>
      </c>
      <c r="V17" s="68"/>
      <c r="W17" s="68"/>
      <c r="X17" s="68"/>
      <c r="Y17" s="68"/>
      <c r="Z17" s="68"/>
      <c r="AA17" s="68"/>
      <c r="AB17" s="68"/>
      <c r="AC17" s="68"/>
      <c r="AD17" s="69"/>
      <c r="AE17">
        <f>AE16/GaugeR</f>
        <v>28.091250000000002</v>
      </c>
      <c r="AF17" t="s">
        <v>70</v>
      </c>
      <c r="AK17">
        <f>AK16+AJ17</f>
        <v>4778.666666666667</v>
      </c>
    </row>
    <row r="18" spans="2:37" ht="14.4" x14ac:dyDescent="0.3">
      <c r="B18" s="13"/>
      <c r="C18" s="83" t="s">
        <v>17</v>
      </c>
      <c r="D18" s="83"/>
      <c r="E18" s="83"/>
      <c r="F18" s="3">
        <v>0.5</v>
      </c>
      <c r="G18" s="7"/>
      <c r="H18" s="7"/>
      <c r="I18" s="7"/>
      <c r="J18" s="7"/>
      <c r="K18" s="7"/>
      <c r="L18" s="79" t="s">
        <v>18</v>
      </c>
      <c r="M18" s="79"/>
      <c r="N18" s="79"/>
      <c r="O18" s="12"/>
      <c r="Q18" s="25"/>
      <c r="R18" s="31"/>
      <c r="S18" s="40"/>
      <c r="T18" s="31">
        <v>3</v>
      </c>
      <c r="U18" s="68" t="s">
        <v>24</v>
      </c>
      <c r="V18" s="68"/>
      <c r="W18" s="68"/>
      <c r="X18" s="68"/>
      <c r="Y18" s="68"/>
      <c r="Z18" s="68"/>
      <c r="AA18" s="68"/>
      <c r="AB18" s="68"/>
      <c r="AC18" s="68"/>
      <c r="AD18" s="69"/>
      <c r="AK18">
        <f t="shared" ref="AK18:AK25" si="2">AK17+AJ18</f>
        <v>4778.666666666667</v>
      </c>
    </row>
    <row r="19" spans="2:37" ht="15" thickBot="1" x14ac:dyDescent="0.35">
      <c r="B19" s="9"/>
      <c r="C19" s="82"/>
      <c r="D19" s="82"/>
      <c r="E19" s="82"/>
      <c r="F19" s="10"/>
      <c r="G19" s="10"/>
      <c r="H19" s="10"/>
      <c r="I19" s="10"/>
      <c r="J19" s="10"/>
      <c r="K19" s="10"/>
      <c r="L19" s="81" t="s">
        <v>17</v>
      </c>
      <c r="M19" s="81"/>
      <c r="N19" s="81"/>
      <c r="O19" s="11"/>
      <c r="Q19" s="25"/>
      <c r="R19" s="31"/>
      <c r="S19" s="32">
        <f>S8</f>
        <v>139.56666666666669</v>
      </c>
      <c r="T19" s="31">
        <v>4</v>
      </c>
      <c r="U19" s="68" t="s">
        <v>41</v>
      </c>
      <c r="V19" s="68"/>
      <c r="W19" s="68"/>
      <c r="X19" s="68"/>
      <c r="Y19" s="68"/>
      <c r="Z19" s="68"/>
      <c r="AA19" s="68"/>
      <c r="AB19" s="68"/>
      <c r="AC19" s="68"/>
      <c r="AD19" s="69"/>
      <c r="AH19" s="55">
        <f>AH16</f>
        <v>134.4</v>
      </c>
      <c r="AI19" s="55">
        <f>S19</f>
        <v>139.56666666666669</v>
      </c>
      <c r="AJ19">
        <f>AH19*AI19</f>
        <v>18757.760000000006</v>
      </c>
      <c r="AK19">
        <f t="shared" si="2"/>
        <v>23536.426666666674</v>
      </c>
    </row>
    <row r="20" spans="2:37" ht="14.4" x14ac:dyDescent="0.3">
      <c r="Q20" s="25"/>
      <c r="R20" s="31"/>
      <c r="S20" s="32">
        <f>S9</f>
        <v>6.4</v>
      </c>
      <c r="T20" s="31">
        <v>5</v>
      </c>
      <c r="U20" s="68" t="s">
        <v>42</v>
      </c>
      <c r="V20" s="68"/>
      <c r="W20" s="68"/>
      <c r="X20" s="68"/>
      <c r="Y20" s="68"/>
      <c r="Z20" s="68"/>
      <c r="AA20" s="68"/>
      <c r="AB20" s="68"/>
      <c r="AC20" s="68"/>
      <c r="AD20" s="69"/>
      <c r="AH20" s="55"/>
      <c r="AK20">
        <f t="shared" si="2"/>
        <v>23536.426666666674</v>
      </c>
    </row>
    <row r="21" spans="2:37" ht="14.4" x14ac:dyDescent="0.3">
      <c r="B21" s="80" t="s">
        <v>79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Q21" s="25"/>
      <c r="R21" s="31"/>
      <c r="S21" s="32">
        <f>S10</f>
        <v>12.8</v>
      </c>
      <c r="T21" s="31">
        <v>6</v>
      </c>
      <c r="U21" s="68" t="s">
        <v>58</v>
      </c>
      <c r="V21" s="68"/>
      <c r="W21" s="68"/>
      <c r="X21" s="68"/>
      <c r="Y21" s="68"/>
      <c r="Z21" s="68"/>
      <c r="AA21" s="68"/>
      <c r="AB21" s="68"/>
      <c r="AC21" s="68"/>
      <c r="AD21" s="69"/>
      <c r="AH21" s="55">
        <f>AH19-2*(S20)-S21</f>
        <v>108.80000000000001</v>
      </c>
      <c r="AJ21">
        <f>AH19*S21-(S21^2)</f>
        <v>1556.48</v>
      </c>
      <c r="AK21">
        <f t="shared" si="2"/>
        <v>25092.906666666673</v>
      </c>
    </row>
    <row r="22" spans="2:37" ht="14.4" x14ac:dyDescent="0.3">
      <c r="B22" s="17" t="s">
        <v>80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Q22" s="25"/>
      <c r="R22" s="31"/>
      <c r="S22" s="32">
        <f>S11-S26</f>
        <v>38.755555555555546</v>
      </c>
      <c r="T22" s="31">
        <v>7</v>
      </c>
      <c r="U22" s="68" t="s">
        <v>57</v>
      </c>
      <c r="V22" s="68"/>
      <c r="W22" s="68"/>
      <c r="X22" s="68"/>
      <c r="Y22" s="68"/>
      <c r="Z22" s="68"/>
      <c r="AA22" s="68"/>
      <c r="AB22" s="68"/>
      <c r="AC22" s="68"/>
      <c r="AD22" s="69"/>
      <c r="AH22" s="55">
        <f>AH21</f>
        <v>108.80000000000001</v>
      </c>
      <c r="AI22" s="55">
        <f>S22</f>
        <v>38.755555555555546</v>
      </c>
      <c r="AJ22">
        <f>AH22*AI22</f>
        <v>4216.6044444444442</v>
      </c>
      <c r="AK22">
        <f t="shared" si="2"/>
        <v>29309.511111111118</v>
      </c>
    </row>
    <row r="23" spans="2:37" ht="14.4" x14ac:dyDescent="0.3">
      <c r="B23" s="17" t="s">
        <v>81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Q23" s="25"/>
      <c r="R23" s="31"/>
      <c r="S23" s="32">
        <f>0.25*GaugeST*NECK</f>
        <v>33.6</v>
      </c>
      <c r="T23" s="31">
        <v>8</v>
      </c>
      <c r="U23" s="68" t="s">
        <v>43</v>
      </c>
      <c r="V23" s="68"/>
      <c r="W23" s="68"/>
      <c r="X23" s="68"/>
      <c r="Y23" s="68"/>
      <c r="Z23" s="68"/>
      <c r="AA23" s="68"/>
      <c r="AB23" s="68"/>
      <c r="AC23" s="68"/>
      <c r="AD23" s="69"/>
      <c r="AH23" s="55">
        <f>AH22-S23</f>
        <v>75.200000000000017</v>
      </c>
      <c r="AK23">
        <f t="shared" si="2"/>
        <v>29309.511111111118</v>
      </c>
    </row>
    <row r="24" spans="2:37" ht="14.4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Q24" s="25"/>
      <c r="R24" s="31"/>
      <c r="S24" s="40"/>
      <c r="T24" s="84" t="s">
        <v>31</v>
      </c>
      <c r="U24" s="85"/>
      <c r="V24" s="85"/>
      <c r="W24" s="85"/>
      <c r="X24" s="85"/>
      <c r="Y24" s="85"/>
      <c r="Z24" s="85"/>
      <c r="AA24" s="85"/>
      <c r="AB24" s="85"/>
      <c r="AC24" s="85"/>
      <c r="AD24" s="86"/>
      <c r="AH24" s="55">
        <f>(AH23/2)-S25</f>
        <v>20.800000000000008</v>
      </c>
      <c r="AI24" s="55">
        <f>S25</f>
        <v>16.8</v>
      </c>
      <c r="AJ24">
        <f>2*(AH24*AI24+(S25^2)/2)</f>
        <v>981.12000000000035</v>
      </c>
      <c r="AK24">
        <f t="shared" si="2"/>
        <v>30290.631111111117</v>
      </c>
    </row>
    <row r="25" spans="2:37" ht="14.4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Q25" s="25"/>
      <c r="R25" s="31"/>
      <c r="S25" s="32">
        <f>S23/2</f>
        <v>16.8</v>
      </c>
      <c r="T25" s="31">
        <v>9</v>
      </c>
      <c r="U25" s="68" t="s">
        <v>102</v>
      </c>
      <c r="V25" s="68"/>
      <c r="W25" s="68"/>
      <c r="X25" s="68"/>
      <c r="Y25" s="68"/>
      <c r="Z25" s="68"/>
      <c r="AA25" s="68"/>
      <c r="AB25" s="68"/>
      <c r="AC25" s="68"/>
      <c r="AD25" s="69"/>
      <c r="AH25" s="55">
        <f>AH24-S26</f>
        <v>-3.1999999999999886</v>
      </c>
      <c r="AI25" s="55">
        <f>S26</f>
        <v>23.999999999999996</v>
      </c>
      <c r="AJ25">
        <f>AI25*AI25/2</f>
        <v>287.99999999999989</v>
      </c>
      <c r="AK25">
        <f t="shared" si="2"/>
        <v>30578.631111111117</v>
      </c>
    </row>
    <row r="26" spans="2:37" ht="14.4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Q26" s="25"/>
      <c r="R26" s="31"/>
      <c r="S26" s="40">
        <f>(S16-S20-S21-S23)/2 - S25</f>
        <v>23.999999999999996</v>
      </c>
      <c r="T26" s="31">
        <v>10</v>
      </c>
      <c r="U26" s="68" t="s">
        <v>103</v>
      </c>
      <c r="V26" s="68"/>
      <c r="W26" s="68"/>
      <c r="X26" s="68"/>
      <c r="Y26" s="68"/>
      <c r="Z26" s="68"/>
      <c r="AA26" s="68"/>
      <c r="AB26" s="68"/>
      <c r="AC26" s="68"/>
      <c r="AD26" s="69"/>
      <c r="AE26">
        <f>(S16-S20-S21-S23)/2-S25</f>
        <v>23.999999999999996</v>
      </c>
      <c r="AJ26" t="s">
        <v>89</v>
      </c>
      <c r="AK26">
        <f>AK25</f>
        <v>30578.631111111117</v>
      </c>
    </row>
    <row r="27" spans="2:37" ht="14.4" x14ac:dyDescent="0.3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Q27" s="33"/>
      <c r="R27" s="34"/>
      <c r="S27" s="46"/>
      <c r="T27" s="34">
        <v>11</v>
      </c>
      <c r="U27" s="68" t="s">
        <v>32</v>
      </c>
      <c r="V27" s="68"/>
      <c r="W27" s="68"/>
      <c r="X27" s="68"/>
      <c r="Y27" s="68"/>
      <c r="Z27" s="68"/>
      <c r="AA27" s="68"/>
      <c r="AB27" s="68"/>
      <c r="AC27" s="68"/>
      <c r="AD27" s="69"/>
    </row>
    <row r="28" spans="2:37" ht="14.4" x14ac:dyDescent="0.3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Q28" s="91" t="s">
        <v>46</v>
      </c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6"/>
    </row>
    <row r="29" spans="2:37" ht="14.4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Q29" s="35"/>
      <c r="R29" s="36"/>
      <c r="S29" s="23"/>
      <c r="T29" s="37">
        <v>1</v>
      </c>
      <c r="U29" s="90" t="s">
        <v>45</v>
      </c>
      <c r="V29" s="72"/>
      <c r="W29" s="72"/>
      <c r="X29" s="72"/>
      <c r="Y29" s="72"/>
      <c r="Z29" s="72"/>
      <c r="AA29" s="72"/>
      <c r="AB29" s="72"/>
      <c r="AC29" s="72"/>
      <c r="AD29" s="73"/>
    </row>
    <row r="30" spans="2:37" ht="14.4" x14ac:dyDescent="0.3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Q30" s="25"/>
      <c r="R30" s="37"/>
      <c r="S30" s="28">
        <f>2*GaugeR</f>
        <v>17.777777777777779</v>
      </c>
      <c r="T30" s="26">
        <v>2</v>
      </c>
      <c r="U30" s="68" t="s">
        <v>104</v>
      </c>
      <c r="V30" s="68"/>
      <c r="W30" s="68"/>
      <c r="X30" s="68"/>
      <c r="Y30" s="68"/>
      <c r="Z30" s="68"/>
      <c r="AA30" s="68"/>
      <c r="AB30" s="68"/>
      <c r="AC30" s="68"/>
      <c r="AD30" s="69"/>
      <c r="AG30">
        <v>1</v>
      </c>
      <c r="AH30">
        <f>NECK*GaugeST</f>
        <v>134.4</v>
      </c>
      <c r="AI30" s="55">
        <f>S30</f>
        <v>17.777777777777779</v>
      </c>
      <c r="AJ30">
        <f>AG30*AH30*AI30</f>
        <v>2389.3333333333335</v>
      </c>
      <c r="AK30">
        <f>AJ30</f>
        <v>2389.3333333333335</v>
      </c>
    </row>
    <row r="31" spans="2:37" ht="14.4" x14ac:dyDescent="0.3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Q31" s="33"/>
      <c r="R31" s="37"/>
      <c r="S31" s="38"/>
      <c r="T31" s="37">
        <v>3</v>
      </c>
      <c r="U31" s="87" t="s">
        <v>47</v>
      </c>
      <c r="V31" s="88"/>
      <c r="W31" s="88"/>
      <c r="X31" s="88"/>
      <c r="Y31" s="88"/>
      <c r="Z31" s="88"/>
      <c r="AA31" s="88"/>
      <c r="AB31" s="88"/>
      <c r="AC31" s="88"/>
      <c r="AD31" s="89"/>
      <c r="AJ31" t="s">
        <v>91</v>
      </c>
      <c r="AK31">
        <f>AK30</f>
        <v>2389.3333333333335</v>
      </c>
    </row>
    <row r="32" spans="2:37" ht="14.4" x14ac:dyDescent="0.3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Q32" s="74" t="s">
        <v>28</v>
      </c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6"/>
    </row>
    <row r="33" spans="2:37" ht="14.4" x14ac:dyDescent="0.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Q33" s="22"/>
      <c r="R33" s="39">
        <f>S33/2</f>
        <v>60.800000000000004</v>
      </c>
      <c r="S33" s="39">
        <f>SleeveTop*GaugeST</f>
        <v>121.60000000000001</v>
      </c>
      <c r="T33" s="29">
        <v>1</v>
      </c>
      <c r="U33" s="72" t="s">
        <v>72</v>
      </c>
      <c r="V33" s="72"/>
      <c r="W33" s="72"/>
      <c r="X33" s="72"/>
      <c r="Y33" s="72"/>
      <c r="Z33" s="72"/>
      <c r="AA33" s="72"/>
      <c r="AB33" s="72"/>
      <c r="AC33" s="72"/>
      <c r="AD33" s="73"/>
      <c r="AH33" s="55">
        <f>S33</f>
        <v>121.60000000000001</v>
      </c>
      <c r="AI33">
        <f>S33/4</f>
        <v>30.400000000000002</v>
      </c>
      <c r="AJ33">
        <f>AH33*AI33</f>
        <v>3696.6400000000003</v>
      </c>
      <c r="AK33">
        <f>AJ33</f>
        <v>3696.6400000000003</v>
      </c>
    </row>
    <row r="34" spans="2:37" ht="14.4" x14ac:dyDescent="0.3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Q34" s="25"/>
      <c r="R34" s="40"/>
      <c r="S34" s="40"/>
      <c r="T34" s="31">
        <v>2</v>
      </c>
      <c r="U34" s="68" t="s">
        <v>71</v>
      </c>
      <c r="V34" s="68"/>
      <c r="W34" s="68"/>
      <c r="X34" s="68"/>
      <c r="Y34" s="68"/>
      <c r="Z34" s="68"/>
      <c r="AA34" s="68"/>
      <c r="AB34" s="68"/>
      <c r="AC34" s="68"/>
      <c r="AD34" s="69"/>
    </row>
    <row r="35" spans="2:37" ht="14.4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25"/>
      <c r="R35" s="41">
        <f>GaugeR*(ArmLength-2)</f>
        <v>186.66666666666669</v>
      </c>
      <c r="S35" s="32">
        <f>GaugeST*(SleeveTop-SleeveBottom+SeamAllowance*2)</f>
        <v>76.800000000000011</v>
      </c>
      <c r="T35" s="31">
        <v>3</v>
      </c>
      <c r="U35" s="68" t="s">
        <v>50</v>
      </c>
      <c r="V35" s="68"/>
      <c r="W35" s="68"/>
      <c r="X35" s="68"/>
      <c r="Y35" s="68"/>
      <c r="Z35" s="68"/>
      <c r="AA35" s="68"/>
      <c r="AB35" s="68"/>
      <c r="AC35" s="68"/>
      <c r="AD35" s="69"/>
      <c r="AG35" t="s">
        <v>92</v>
      </c>
      <c r="AH35" s="55">
        <f>AH33-S35</f>
        <v>44.8</v>
      </c>
      <c r="AI35" s="55">
        <f>R35</f>
        <v>186.66666666666669</v>
      </c>
      <c r="AJ35">
        <f>(AH35*AI35)+(R35*S35)/2</f>
        <v>15530.66666666667</v>
      </c>
      <c r="AK35">
        <f>AK33+AJ35</f>
        <v>19227.306666666671</v>
      </c>
    </row>
    <row r="36" spans="2:37" ht="14.4" x14ac:dyDescent="0.3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Q36" s="25"/>
      <c r="R36" s="48"/>
      <c r="S36" s="52" t="s">
        <v>73</v>
      </c>
      <c r="T36" s="31" t="s">
        <v>48</v>
      </c>
      <c r="U36" s="68" t="s">
        <v>49</v>
      </c>
      <c r="V36" s="68"/>
      <c r="W36" s="68"/>
      <c r="X36" s="68"/>
      <c r="Y36" s="68"/>
      <c r="Z36" s="68"/>
      <c r="AA36" s="68"/>
      <c r="AB36" s="68"/>
      <c r="AC36" s="68"/>
      <c r="AD36" s="69"/>
      <c r="AG36">
        <v>1</v>
      </c>
      <c r="AH36" s="55">
        <f>AH35</f>
        <v>44.8</v>
      </c>
      <c r="AI36" s="55">
        <f>S37</f>
        <v>35.555555555555557</v>
      </c>
      <c r="AJ36">
        <f>AG36*AH36*AI36</f>
        <v>1592.8888888888889</v>
      </c>
      <c r="AK36">
        <f>AJ36+AK35</f>
        <v>20820.195555555561</v>
      </c>
    </row>
    <row r="37" spans="2:37" ht="15" thickBot="1" x14ac:dyDescent="0.3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42"/>
      <c r="R37" s="43"/>
      <c r="S37" s="44">
        <f>4*GaugeR</f>
        <v>35.555555555555557</v>
      </c>
      <c r="T37" s="45">
        <v>4</v>
      </c>
      <c r="U37" s="70" t="s">
        <v>38</v>
      </c>
      <c r="V37" s="70"/>
      <c r="W37" s="70"/>
      <c r="X37" s="70"/>
      <c r="Y37" s="70"/>
      <c r="Z37" s="70"/>
      <c r="AA37" s="70"/>
      <c r="AB37" s="70"/>
      <c r="AC37" s="70"/>
      <c r="AD37" s="71"/>
      <c r="AJ37" t="s">
        <v>93</v>
      </c>
      <c r="AK37">
        <f>AK36</f>
        <v>20820.195555555561</v>
      </c>
    </row>
    <row r="38" spans="2:37" ht="22.8" customHeight="1" x14ac:dyDescent="0.4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2"/>
      <c r="Q38" s="2"/>
      <c r="R38" s="18"/>
      <c r="S38" s="18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mergeCells count="71">
    <mergeCell ref="B2:E2"/>
    <mergeCell ref="G2:O2"/>
    <mergeCell ref="M3:O3"/>
    <mergeCell ref="J3:L3"/>
    <mergeCell ref="G3:I3"/>
    <mergeCell ref="H4:I4"/>
    <mergeCell ref="H5:I5"/>
    <mergeCell ref="H6:I6"/>
    <mergeCell ref="H7:I7"/>
    <mergeCell ref="C13:E13"/>
    <mergeCell ref="B10:O10"/>
    <mergeCell ref="C12:E12"/>
    <mergeCell ref="N4:O4"/>
    <mergeCell ref="K7:L7"/>
    <mergeCell ref="K6:L6"/>
    <mergeCell ref="L12:N12"/>
    <mergeCell ref="L13:N13"/>
    <mergeCell ref="Q2:AD2"/>
    <mergeCell ref="U3:AD3"/>
    <mergeCell ref="Q4:AD4"/>
    <mergeCell ref="U5:AD5"/>
    <mergeCell ref="U6:AD6"/>
    <mergeCell ref="U7:AD7"/>
    <mergeCell ref="U8:AD8"/>
    <mergeCell ref="U9:AD9"/>
    <mergeCell ref="K5:L5"/>
    <mergeCell ref="K4:L4"/>
    <mergeCell ref="N7:O7"/>
    <mergeCell ref="N6:O6"/>
    <mergeCell ref="N5:O5"/>
    <mergeCell ref="U10:AD10"/>
    <mergeCell ref="U11:AD11"/>
    <mergeCell ref="U12:AD12"/>
    <mergeCell ref="U13:AD13"/>
    <mergeCell ref="U14:AD14"/>
    <mergeCell ref="U20:AD20"/>
    <mergeCell ref="U21:AD21"/>
    <mergeCell ref="T24:AD24"/>
    <mergeCell ref="U30:AD30"/>
    <mergeCell ref="U31:AD31"/>
    <mergeCell ref="U29:AD29"/>
    <mergeCell ref="Q28:AD28"/>
    <mergeCell ref="L14:N14"/>
    <mergeCell ref="L15:N15"/>
    <mergeCell ref="L16:N16"/>
    <mergeCell ref="B21:O21"/>
    <mergeCell ref="L19:N19"/>
    <mergeCell ref="C19:E19"/>
    <mergeCell ref="L17:N17"/>
    <mergeCell ref="L18:N18"/>
    <mergeCell ref="C18:E18"/>
    <mergeCell ref="C17:E17"/>
    <mergeCell ref="C16:E16"/>
    <mergeCell ref="C15:E15"/>
    <mergeCell ref="C14:E14"/>
    <mergeCell ref="Q15:AD15"/>
    <mergeCell ref="U35:AD35"/>
    <mergeCell ref="U36:AD36"/>
    <mergeCell ref="U37:AD37"/>
    <mergeCell ref="U33:AD33"/>
    <mergeCell ref="U34:AD34"/>
    <mergeCell ref="Q32:AD32"/>
    <mergeCell ref="U25:AD25"/>
    <mergeCell ref="U26:AD26"/>
    <mergeCell ref="U27:AD27"/>
    <mergeCell ref="U22:AD22"/>
    <mergeCell ref="U23:AD23"/>
    <mergeCell ref="U16:AD16"/>
    <mergeCell ref="U17:AD17"/>
    <mergeCell ref="U18:AD18"/>
    <mergeCell ref="U19:AD1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4DF5-1E9E-4D3E-B77C-278923111771}">
  <dimension ref="B2:H17"/>
  <sheetViews>
    <sheetView workbookViewId="0">
      <selection activeCell="K4" sqref="K4"/>
    </sheetView>
  </sheetViews>
  <sheetFormatPr defaultRowHeight="14.4" x14ac:dyDescent="0.3"/>
  <cols>
    <col min="7" max="7" width="2.44140625" customWidth="1"/>
  </cols>
  <sheetData>
    <row r="2" spans="2:8" x14ac:dyDescent="0.3">
      <c r="B2" t="s">
        <v>60</v>
      </c>
      <c r="C2" s="49">
        <v>43</v>
      </c>
      <c r="D2" t="s">
        <v>61</v>
      </c>
    </row>
    <row r="3" spans="2:8" x14ac:dyDescent="0.3">
      <c r="B3" t="s">
        <v>62</v>
      </c>
      <c r="C3" s="49">
        <v>171</v>
      </c>
      <c r="D3" t="s">
        <v>63</v>
      </c>
    </row>
    <row r="5" spans="2:8" x14ac:dyDescent="0.3">
      <c r="H5" t="s">
        <v>68</v>
      </c>
    </row>
    <row r="6" spans="2:8" x14ac:dyDescent="0.3">
      <c r="B6" t="s">
        <v>65</v>
      </c>
      <c r="C6">
        <v>1</v>
      </c>
      <c r="D6" t="s">
        <v>64</v>
      </c>
      <c r="E6" s="50"/>
      <c r="F6" t="s">
        <v>3</v>
      </c>
      <c r="H6">
        <f>2/C6</f>
        <v>2</v>
      </c>
    </row>
    <row r="7" spans="2:8" x14ac:dyDescent="0.3">
      <c r="B7" t="s">
        <v>65</v>
      </c>
      <c r="C7">
        <v>2</v>
      </c>
      <c r="D7" t="s">
        <v>64</v>
      </c>
      <c r="E7" s="50"/>
      <c r="F7" t="s">
        <v>3</v>
      </c>
      <c r="H7">
        <f t="shared" ref="H7:H14" si="0">2/C7</f>
        <v>1</v>
      </c>
    </row>
    <row r="8" spans="2:8" x14ac:dyDescent="0.3">
      <c r="B8" t="s">
        <v>65</v>
      </c>
      <c r="C8">
        <v>3</v>
      </c>
      <c r="D8" t="s">
        <v>64</v>
      </c>
      <c r="E8" s="50"/>
      <c r="F8" t="s">
        <v>3</v>
      </c>
      <c r="H8">
        <f t="shared" si="0"/>
        <v>0.66666666666666663</v>
      </c>
    </row>
    <row r="9" spans="2:8" x14ac:dyDescent="0.3">
      <c r="B9" t="s">
        <v>65</v>
      </c>
      <c r="C9">
        <v>4</v>
      </c>
      <c r="D9" t="s">
        <v>64</v>
      </c>
      <c r="E9" s="50"/>
      <c r="F9" t="s">
        <v>3</v>
      </c>
      <c r="H9">
        <f t="shared" si="0"/>
        <v>0.5</v>
      </c>
    </row>
    <row r="10" spans="2:8" x14ac:dyDescent="0.3">
      <c r="B10" t="s">
        <v>65</v>
      </c>
      <c r="C10">
        <v>5</v>
      </c>
      <c r="D10" t="s">
        <v>64</v>
      </c>
      <c r="E10" s="50">
        <v>30</v>
      </c>
      <c r="F10" t="s">
        <v>3</v>
      </c>
      <c r="H10">
        <f t="shared" si="0"/>
        <v>0.4</v>
      </c>
    </row>
    <row r="11" spans="2:8" x14ac:dyDescent="0.3">
      <c r="B11" t="s">
        <v>65</v>
      </c>
      <c r="C11">
        <v>6</v>
      </c>
      <c r="D11" t="s">
        <v>64</v>
      </c>
      <c r="E11" s="50"/>
      <c r="F11" t="s">
        <v>3</v>
      </c>
      <c r="H11">
        <f t="shared" si="0"/>
        <v>0.33333333333333331</v>
      </c>
    </row>
    <row r="12" spans="2:8" x14ac:dyDescent="0.3">
      <c r="B12" t="s">
        <v>65</v>
      </c>
      <c r="C12">
        <v>7</v>
      </c>
      <c r="D12" t="s">
        <v>64</v>
      </c>
      <c r="E12" s="50"/>
      <c r="F12" t="s">
        <v>3</v>
      </c>
      <c r="H12">
        <f t="shared" si="0"/>
        <v>0.2857142857142857</v>
      </c>
    </row>
    <row r="13" spans="2:8" x14ac:dyDescent="0.3">
      <c r="B13" t="s">
        <v>65</v>
      </c>
      <c r="C13">
        <v>8</v>
      </c>
      <c r="D13" t="s">
        <v>64</v>
      </c>
      <c r="E13" s="50">
        <v>20</v>
      </c>
      <c r="F13" t="s">
        <v>3</v>
      </c>
      <c r="H13">
        <f t="shared" si="0"/>
        <v>0.25</v>
      </c>
    </row>
    <row r="14" spans="2:8" x14ac:dyDescent="0.3">
      <c r="B14" t="s">
        <v>65</v>
      </c>
      <c r="C14">
        <v>9</v>
      </c>
      <c r="D14" t="s">
        <v>64</v>
      </c>
      <c r="E14" s="50">
        <v>120</v>
      </c>
      <c r="F14" t="s">
        <v>3</v>
      </c>
      <c r="H14">
        <f t="shared" si="0"/>
        <v>0.22222222222222221</v>
      </c>
    </row>
    <row r="15" spans="2:8" x14ac:dyDescent="0.3">
      <c r="B15" t="s">
        <v>66</v>
      </c>
      <c r="C15" s="51">
        <f>SUMPRODUCT(H6:H14,E6:E14)</f>
        <v>43.666666666666664</v>
      </c>
      <c r="D15" t="s">
        <v>67</v>
      </c>
      <c r="E15" s="51">
        <f>SUM(E6:E14)</f>
        <v>170</v>
      </c>
    </row>
    <row r="17" spans="2:2" x14ac:dyDescent="0.3">
      <c r="B17" t="s">
        <v>69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B750-6F7D-4BCE-B3AD-062F9FFC1DAF}">
  <dimension ref="B1:AO38"/>
  <sheetViews>
    <sheetView topLeftCell="AA1" zoomScale="110" zoomScaleNormal="110" workbookViewId="0">
      <selection activeCell="Q28" sqref="Q28:AD28"/>
    </sheetView>
  </sheetViews>
  <sheetFormatPr defaultColWidth="8.88671875" defaultRowHeight="23.4" zeroHeight="1" x14ac:dyDescent="0.45"/>
  <cols>
    <col min="1" max="1" width="5" customWidth="1"/>
    <col min="2" max="2" width="10.33203125" bestFit="1" customWidth="1"/>
    <col min="3" max="3" width="9.109375" bestFit="1" customWidth="1"/>
    <col min="4" max="4" width="11.44140625" customWidth="1"/>
    <col min="5" max="5" width="7.5546875" customWidth="1"/>
    <col min="6" max="6" width="12.33203125" bestFit="1" customWidth="1"/>
    <col min="7" max="7" width="15.21875" bestFit="1" customWidth="1"/>
    <col min="8" max="8" width="4.21875" bestFit="1" customWidth="1"/>
    <col min="9" max="9" width="8.88671875" customWidth="1"/>
    <col min="10" max="10" width="2" bestFit="1" customWidth="1"/>
    <col min="11" max="12" width="8.88671875" customWidth="1"/>
    <col min="13" max="13" width="2" bestFit="1" customWidth="1"/>
    <col min="14" max="15" width="8.88671875" customWidth="1"/>
    <col min="16" max="16" width="4.33203125" customWidth="1"/>
    <col min="17" max="17" width="4" bestFit="1" customWidth="1"/>
    <col min="18" max="18" width="8.77734375" style="19" customWidth="1"/>
    <col min="19" max="19" width="25.33203125" style="19" customWidth="1"/>
    <col min="20" max="20" width="4.77734375" customWidth="1"/>
    <col min="21" max="31" width="8.88671875" customWidth="1"/>
    <col min="33" max="33" width="8.88671875" customWidth="1"/>
    <col min="34" max="34" width="8.44140625" customWidth="1"/>
    <col min="35" max="35" width="8.88671875" customWidth="1"/>
    <col min="36" max="36" width="17.109375" bestFit="1" customWidth="1"/>
    <col min="37" max="37" width="13.6640625" bestFit="1" customWidth="1"/>
    <col min="38" max="16383" width="8.88671875" customWidth="1"/>
  </cols>
  <sheetData>
    <row r="1" spans="2:41" ht="15.6" customHeight="1" thickBot="1" x14ac:dyDescent="0.5"/>
    <row r="2" spans="2:41" ht="15" thickBot="1" x14ac:dyDescent="0.35">
      <c r="B2" s="105" t="s">
        <v>0</v>
      </c>
      <c r="C2" s="106"/>
      <c r="D2" s="106"/>
      <c r="E2" s="107"/>
      <c r="G2" s="108" t="s">
        <v>4</v>
      </c>
      <c r="H2" s="109"/>
      <c r="I2" s="109"/>
      <c r="J2" s="109"/>
      <c r="K2" s="109"/>
      <c r="L2" s="109"/>
      <c r="M2" s="109"/>
      <c r="N2" s="109"/>
      <c r="O2" s="110"/>
      <c r="Q2" s="96" t="s">
        <v>22</v>
      </c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8"/>
      <c r="AL2" t="s">
        <v>95</v>
      </c>
      <c r="AM2" t="s">
        <v>96</v>
      </c>
      <c r="AN2" t="s">
        <v>97</v>
      </c>
      <c r="AO2" t="s">
        <v>98</v>
      </c>
    </row>
    <row r="3" spans="2:41" ht="15" thickBot="1" x14ac:dyDescent="0.35">
      <c r="B3" s="1">
        <v>24</v>
      </c>
      <c r="C3" s="7" t="s">
        <v>1</v>
      </c>
      <c r="D3" s="3">
        <v>4</v>
      </c>
      <c r="E3" s="12" t="s">
        <v>2</v>
      </c>
      <c r="G3" s="113" t="s">
        <v>5</v>
      </c>
      <c r="H3" s="111"/>
      <c r="I3" s="111"/>
      <c r="J3" s="111" t="s">
        <v>20</v>
      </c>
      <c r="K3" s="111"/>
      <c r="L3" s="111"/>
      <c r="M3" s="111" t="s">
        <v>6</v>
      </c>
      <c r="N3" s="111"/>
      <c r="O3" s="112"/>
      <c r="Q3" s="20" t="s">
        <v>34</v>
      </c>
      <c r="R3" s="21" t="s">
        <v>35</v>
      </c>
      <c r="S3" s="21" t="s">
        <v>33</v>
      </c>
      <c r="T3" s="21" t="s">
        <v>36</v>
      </c>
      <c r="U3" s="99" t="s">
        <v>37</v>
      </c>
      <c r="V3" s="99"/>
      <c r="W3" s="99"/>
      <c r="X3" s="99"/>
      <c r="Y3" s="99"/>
      <c r="Z3" s="99"/>
      <c r="AA3" s="99"/>
      <c r="AB3" s="99"/>
      <c r="AC3" s="99"/>
      <c r="AD3" s="100"/>
      <c r="AH3" t="s">
        <v>83</v>
      </c>
      <c r="AJ3" t="s">
        <v>94</v>
      </c>
      <c r="AK3" s="56">
        <f>AK13+AK26+2*AK37+AK31</f>
        <v>68461.296875</v>
      </c>
      <c r="AL3" s="49">
        <v>500</v>
      </c>
      <c r="AM3">
        <f>AK3/AL3</f>
        <v>136.92259375</v>
      </c>
      <c r="AN3">
        <f>CONVERT(AM3,"g","lbm")</f>
        <v>0.30186264762345982</v>
      </c>
    </row>
    <row r="4" spans="2:41" ht="14.4" x14ac:dyDescent="0.3">
      <c r="B4" s="1">
        <v>24</v>
      </c>
      <c r="C4" s="7" t="s">
        <v>3</v>
      </c>
      <c r="D4" s="3">
        <v>4</v>
      </c>
      <c r="E4" s="12" t="s">
        <v>2</v>
      </c>
      <c r="G4" s="59">
        <v>1</v>
      </c>
      <c r="H4" s="92" t="s">
        <v>7</v>
      </c>
      <c r="I4" s="92"/>
      <c r="J4" s="60">
        <v>1</v>
      </c>
      <c r="K4" s="92" t="s">
        <v>25</v>
      </c>
      <c r="L4" s="92"/>
      <c r="M4" s="60">
        <v>1</v>
      </c>
      <c r="N4" s="92" t="s">
        <v>12</v>
      </c>
      <c r="O4" s="95"/>
      <c r="Q4" s="101" t="s">
        <v>27</v>
      </c>
      <c r="R4" s="102"/>
      <c r="S4" s="102"/>
      <c r="T4" s="102"/>
      <c r="U4" s="103"/>
      <c r="V4" s="103"/>
      <c r="W4" s="103"/>
      <c r="X4" s="103"/>
      <c r="Y4" s="103"/>
      <c r="Z4" s="103"/>
      <c r="AA4" s="103"/>
      <c r="AB4" s="103"/>
      <c r="AC4" s="103"/>
      <c r="AD4" s="104"/>
      <c r="AG4" t="s">
        <v>88</v>
      </c>
      <c r="AH4" t="s">
        <v>84</v>
      </c>
      <c r="AI4" t="s">
        <v>85</v>
      </c>
      <c r="AJ4" t="s">
        <v>86</v>
      </c>
      <c r="AK4" t="s">
        <v>87</v>
      </c>
      <c r="AL4" s="57">
        <v>0.15</v>
      </c>
      <c r="AM4">
        <f>AM3+AM3*$AL$4</f>
        <v>157.46098281249999</v>
      </c>
      <c r="AN4">
        <f>AN3+AN3*$AL$4</f>
        <v>0.3471420447669788</v>
      </c>
    </row>
    <row r="5" spans="2:41" ht="14.4" x14ac:dyDescent="0.3">
      <c r="B5" s="13"/>
      <c r="C5" s="7"/>
      <c r="D5" s="7"/>
      <c r="E5" s="12"/>
      <c r="G5" s="59">
        <v>0</v>
      </c>
      <c r="H5" s="92" t="s">
        <v>10</v>
      </c>
      <c r="I5" s="92"/>
      <c r="J5" s="60">
        <v>0</v>
      </c>
      <c r="K5" s="92" t="s">
        <v>8</v>
      </c>
      <c r="L5" s="92"/>
      <c r="M5" s="60">
        <v>0</v>
      </c>
      <c r="N5" s="92" t="s">
        <v>11</v>
      </c>
      <c r="O5" s="95"/>
      <c r="Q5" s="22"/>
      <c r="R5" s="23"/>
      <c r="S5" s="24">
        <f>0.5*(WAIST+4*SeamAllowance)*GaugeST</f>
        <v>126</v>
      </c>
      <c r="T5" s="23">
        <v>1</v>
      </c>
      <c r="U5" s="68" t="s">
        <v>39</v>
      </c>
      <c r="V5" s="68"/>
      <c r="W5" s="68"/>
      <c r="X5" s="68"/>
      <c r="Y5" s="68"/>
      <c r="Z5" s="68"/>
      <c r="AA5" s="68"/>
      <c r="AB5" s="68"/>
      <c r="AC5" s="68"/>
      <c r="AD5" s="69"/>
      <c r="AE5">
        <f>S6/2 + S8+S10+S11+S12</f>
        <v>168.625</v>
      </c>
      <c r="AF5" t="s">
        <v>82</v>
      </c>
      <c r="AG5">
        <v>1</v>
      </c>
      <c r="AH5" s="55">
        <f>S5</f>
        <v>126</v>
      </c>
      <c r="AI5" s="55">
        <f>S6</f>
        <v>24</v>
      </c>
      <c r="AJ5">
        <f>AH5*AI5*AG5</f>
        <v>3024</v>
      </c>
      <c r="AK5">
        <f>AJ5</f>
        <v>3024</v>
      </c>
      <c r="AL5" t="s">
        <v>99</v>
      </c>
      <c r="AM5" s="49">
        <v>1505</v>
      </c>
      <c r="AN5" s="49"/>
    </row>
    <row r="6" spans="2:41" ht="14.4" x14ac:dyDescent="0.3">
      <c r="B6" s="4">
        <f>B3/D3</f>
        <v>6</v>
      </c>
      <c r="C6" s="7" t="s">
        <v>75</v>
      </c>
      <c r="D6" s="53">
        <f>1/GaugeST</f>
        <v>0.16666666666666666</v>
      </c>
      <c r="E6" s="12" t="s">
        <v>77</v>
      </c>
      <c r="G6" s="59">
        <v>0</v>
      </c>
      <c r="H6" s="92"/>
      <c r="I6" s="92"/>
      <c r="J6" s="60">
        <v>0</v>
      </c>
      <c r="K6" s="92" t="s">
        <v>9</v>
      </c>
      <c r="L6" s="92"/>
      <c r="M6" s="60">
        <v>0</v>
      </c>
      <c r="N6" s="92"/>
      <c r="O6" s="95"/>
      <c r="Q6" s="25"/>
      <c r="R6" s="26"/>
      <c r="S6" s="27">
        <f>4*GaugeR</f>
        <v>24</v>
      </c>
      <c r="T6" s="26">
        <v>2</v>
      </c>
      <c r="U6" s="68" t="s">
        <v>74</v>
      </c>
      <c r="V6" s="68"/>
      <c r="W6" s="68"/>
      <c r="X6" s="68"/>
      <c r="Y6" s="68"/>
      <c r="Z6" s="68"/>
      <c r="AA6" s="68"/>
      <c r="AB6" s="68"/>
      <c r="AC6" s="68"/>
      <c r="AD6" s="69"/>
      <c r="AE6">
        <f>AE5/GaugeR</f>
        <v>28.104166666666668</v>
      </c>
      <c r="AF6" t="s">
        <v>70</v>
      </c>
      <c r="AK6">
        <f>AK5+AJ6</f>
        <v>3024</v>
      </c>
      <c r="AL6" t="s">
        <v>100</v>
      </c>
      <c r="AM6" s="58">
        <f>(AM5/AM3)-1</f>
        <v>9.9916118208212072</v>
      </c>
      <c r="AN6" s="58">
        <f>(AN5/AN3)-1</f>
        <v>-1</v>
      </c>
    </row>
    <row r="7" spans="2:41" ht="15" thickBot="1" x14ac:dyDescent="0.35">
      <c r="B7" s="5">
        <f>B4/D4</f>
        <v>6</v>
      </c>
      <c r="C7" s="10" t="s">
        <v>76</v>
      </c>
      <c r="D7" s="54">
        <f>1/GaugeR</f>
        <v>0.16666666666666666</v>
      </c>
      <c r="E7" s="11" t="s">
        <v>78</v>
      </c>
      <c r="G7" s="61">
        <v>0</v>
      </c>
      <c r="H7" s="93"/>
      <c r="I7" s="93"/>
      <c r="J7" s="62">
        <v>0</v>
      </c>
      <c r="K7" s="93"/>
      <c r="L7" s="93"/>
      <c r="M7" s="62">
        <v>0</v>
      </c>
      <c r="N7" s="93"/>
      <c r="O7" s="94"/>
      <c r="Q7" s="25"/>
      <c r="R7" s="26"/>
      <c r="S7" s="28"/>
      <c r="T7" s="26">
        <v>3</v>
      </c>
      <c r="U7" s="68" t="s">
        <v>24</v>
      </c>
      <c r="V7" s="68"/>
      <c r="W7" s="68"/>
      <c r="X7" s="68"/>
      <c r="Y7" s="68"/>
      <c r="Z7" s="68"/>
      <c r="AA7" s="68"/>
      <c r="AB7" s="68"/>
      <c r="AC7" s="68"/>
      <c r="AD7" s="69"/>
      <c r="AK7">
        <f t="shared" ref="AK7:AK12" si="0">AK6+AJ7</f>
        <v>3024</v>
      </c>
    </row>
    <row r="8" spans="2:41" ht="14.4" x14ac:dyDescent="0.3">
      <c r="Q8" s="25"/>
      <c r="R8" s="26"/>
      <c r="S8" s="27">
        <f>(TotalLength-0.5*SleeveTop-2)*GaugeR-S12/2</f>
        <v>92.375</v>
      </c>
      <c r="T8" s="26">
        <v>4</v>
      </c>
      <c r="U8" s="68" t="s">
        <v>41</v>
      </c>
      <c r="V8" s="68"/>
      <c r="W8" s="68"/>
      <c r="X8" s="68"/>
      <c r="Y8" s="68"/>
      <c r="Z8" s="68"/>
      <c r="AA8" s="68"/>
      <c r="AB8" s="68"/>
      <c r="AC8" s="68"/>
      <c r="AD8" s="69"/>
      <c r="AH8" s="55">
        <f>AH5</f>
        <v>126</v>
      </c>
      <c r="AI8" s="55">
        <f>S8</f>
        <v>92.375</v>
      </c>
      <c r="AJ8">
        <f>AH8*AI8</f>
        <v>11639.25</v>
      </c>
      <c r="AK8">
        <f t="shared" si="0"/>
        <v>14663.25</v>
      </c>
    </row>
    <row r="9" spans="2:41" ht="15" thickBot="1" x14ac:dyDescent="0.35">
      <c r="Q9" s="25"/>
      <c r="R9" s="26"/>
      <c r="S9" s="27">
        <f>GaugeST</f>
        <v>6</v>
      </c>
      <c r="T9" s="26">
        <v>5</v>
      </c>
      <c r="U9" s="68" t="s">
        <v>42</v>
      </c>
      <c r="V9" s="68"/>
      <c r="W9" s="68"/>
      <c r="X9" s="68"/>
      <c r="Y9" s="68"/>
      <c r="Z9" s="68"/>
      <c r="AA9" s="68"/>
      <c r="AB9" s="68"/>
      <c r="AC9" s="68"/>
      <c r="AD9" s="69"/>
      <c r="AH9">
        <f>AH8-2*S9</f>
        <v>114</v>
      </c>
      <c r="AK9">
        <f t="shared" si="0"/>
        <v>14663.25</v>
      </c>
    </row>
    <row r="10" spans="2:41" ht="15" thickBot="1" x14ac:dyDescent="0.35">
      <c r="B10" s="105" t="s">
        <v>23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7"/>
      <c r="Q10" s="25"/>
      <c r="R10" s="26"/>
      <c r="S10" s="27">
        <f>2*GaugeST</f>
        <v>12</v>
      </c>
      <c r="T10" s="26">
        <v>6</v>
      </c>
      <c r="U10" s="68" t="s">
        <v>59</v>
      </c>
      <c r="V10" s="68"/>
      <c r="W10" s="68"/>
      <c r="X10" s="68"/>
      <c r="Y10" s="68"/>
      <c r="Z10" s="68"/>
      <c r="AA10" s="68"/>
      <c r="AB10" s="68"/>
      <c r="AC10" s="68"/>
      <c r="AD10" s="69"/>
      <c r="AH10" s="55">
        <f>AH9-2*S10</f>
        <v>90</v>
      </c>
      <c r="AJ10">
        <f>AH9*S10-(S10^2)</f>
        <v>1224</v>
      </c>
      <c r="AK10">
        <f t="shared" si="0"/>
        <v>15887.25</v>
      </c>
    </row>
    <row r="11" spans="2:41" ht="14.4" x14ac:dyDescent="0.3">
      <c r="B11" s="14" t="s">
        <v>54</v>
      </c>
      <c r="C11" s="15"/>
      <c r="D11" s="15"/>
      <c r="E11" s="15"/>
      <c r="F11" s="15" t="s">
        <v>21</v>
      </c>
      <c r="G11" s="15" t="s">
        <v>55</v>
      </c>
      <c r="H11" s="15" t="s">
        <v>53</v>
      </c>
      <c r="I11" s="15"/>
      <c r="J11" s="15"/>
      <c r="K11" s="15"/>
      <c r="L11" s="15"/>
      <c r="M11" s="15"/>
      <c r="N11" s="15"/>
      <c r="O11" s="16"/>
      <c r="Q11" s="25"/>
      <c r="R11" s="26"/>
      <c r="S11" s="47">
        <f>(TotalLength-1-2)*GaugeR-S8-S10-S12/2</f>
        <v>39</v>
      </c>
      <c r="T11" s="26">
        <v>7</v>
      </c>
      <c r="U11" s="68" t="s">
        <v>57</v>
      </c>
      <c r="V11" s="68"/>
      <c r="W11" s="68"/>
      <c r="X11" s="68"/>
      <c r="Y11" s="68"/>
      <c r="Z11" s="68"/>
      <c r="AA11" s="68"/>
      <c r="AB11" s="68"/>
      <c r="AC11" s="68"/>
      <c r="AD11" s="69"/>
      <c r="AH11" s="55">
        <f>AH10</f>
        <v>90</v>
      </c>
      <c r="AI11" s="55">
        <f>S11</f>
        <v>39</v>
      </c>
      <c r="AJ11">
        <f>AH11*AI11</f>
        <v>3510</v>
      </c>
      <c r="AK11">
        <f t="shared" si="0"/>
        <v>19397.25</v>
      </c>
    </row>
    <row r="12" spans="2:41" ht="14.4" x14ac:dyDescent="0.3">
      <c r="B12" s="13"/>
      <c r="C12" s="83" t="s">
        <v>13</v>
      </c>
      <c r="D12" s="83"/>
      <c r="E12" s="83"/>
      <c r="F12" s="3">
        <v>43</v>
      </c>
      <c r="G12" s="8">
        <v>-3</v>
      </c>
      <c r="H12" s="6">
        <f>F12+G12</f>
        <v>40</v>
      </c>
      <c r="I12" s="7"/>
      <c r="J12" s="7"/>
      <c r="K12" s="7"/>
      <c r="L12" s="79" t="s">
        <v>13</v>
      </c>
      <c r="M12" s="79"/>
      <c r="N12" s="79"/>
      <c r="O12" s="12"/>
      <c r="Q12" s="25"/>
      <c r="R12" s="26"/>
      <c r="S12" s="47">
        <f>0.25*GaugeST*(0.5*H12-0.5*NECK)-1</f>
        <v>13.25</v>
      </c>
      <c r="T12" s="26">
        <v>8</v>
      </c>
      <c r="U12" s="68" t="s">
        <v>44</v>
      </c>
      <c r="V12" s="68"/>
      <c r="W12" s="68"/>
      <c r="X12" s="68"/>
      <c r="Y12" s="68"/>
      <c r="Z12" s="68"/>
      <c r="AA12" s="68"/>
      <c r="AB12" s="68"/>
      <c r="AC12" s="68"/>
      <c r="AD12" s="69"/>
      <c r="AH12" s="55">
        <f>AH11-S12</f>
        <v>76.75</v>
      </c>
      <c r="AI12">
        <f>S12/2</f>
        <v>6.625</v>
      </c>
      <c r="AJ12">
        <f>AH12*AI12+(S12^2)/4</f>
        <v>552.359375</v>
      </c>
      <c r="AK12">
        <f t="shared" si="0"/>
        <v>19949.609375</v>
      </c>
    </row>
    <row r="13" spans="2:41" ht="14.4" x14ac:dyDescent="0.3">
      <c r="B13" s="13"/>
      <c r="C13" s="83" t="s">
        <v>101</v>
      </c>
      <c r="D13" s="83"/>
      <c r="E13" s="83"/>
      <c r="F13" s="3">
        <v>21</v>
      </c>
      <c r="G13" s="8">
        <v>0</v>
      </c>
      <c r="H13" s="6">
        <f t="shared" ref="H13:H17" si="1">F13+G13</f>
        <v>21</v>
      </c>
      <c r="I13" s="7"/>
      <c r="J13" s="7"/>
      <c r="K13" s="7"/>
      <c r="L13" s="79" t="s">
        <v>14</v>
      </c>
      <c r="M13" s="79"/>
      <c r="N13" s="79"/>
      <c r="O13" s="12"/>
      <c r="Q13" s="25"/>
      <c r="R13" s="26"/>
      <c r="S13" s="28"/>
      <c r="T13" s="26">
        <v>9</v>
      </c>
      <c r="U13" s="68" t="s">
        <v>30</v>
      </c>
      <c r="V13" s="68"/>
      <c r="W13" s="68"/>
      <c r="X13" s="68"/>
      <c r="Y13" s="68"/>
      <c r="Z13" s="68"/>
      <c r="AA13" s="68"/>
      <c r="AB13" s="68"/>
      <c r="AC13" s="68"/>
      <c r="AD13" s="69"/>
      <c r="AJ13" t="s">
        <v>90</v>
      </c>
      <c r="AK13">
        <f>AK12</f>
        <v>19949.609375</v>
      </c>
    </row>
    <row r="14" spans="2:41" ht="14.4" x14ac:dyDescent="0.3">
      <c r="B14" s="13"/>
      <c r="C14" s="83" t="s">
        <v>15</v>
      </c>
      <c r="D14" s="83"/>
      <c r="E14" s="83"/>
      <c r="F14" s="3">
        <v>25</v>
      </c>
      <c r="G14" s="8">
        <v>-2</v>
      </c>
      <c r="H14" s="6">
        <f t="shared" si="1"/>
        <v>23</v>
      </c>
      <c r="I14" s="7"/>
      <c r="J14" s="7"/>
      <c r="K14" s="7"/>
      <c r="L14" s="79" t="s">
        <v>5</v>
      </c>
      <c r="M14" s="79"/>
      <c r="N14" s="79"/>
      <c r="O14" s="12"/>
      <c r="Q14" s="25"/>
      <c r="R14" s="26"/>
      <c r="S14" s="28"/>
      <c r="T14" s="26">
        <v>10</v>
      </c>
      <c r="U14" s="87" t="s">
        <v>29</v>
      </c>
      <c r="V14" s="88"/>
      <c r="W14" s="88"/>
      <c r="X14" s="88"/>
      <c r="Y14" s="88"/>
      <c r="Z14" s="88"/>
      <c r="AA14" s="88"/>
      <c r="AB14" s="88"/>
      <c r="AC14" s="88"/>
      <c r="AD14" s="89"/>
    </row>
    <row r="15" spans="2:41" ht="14.4" x14ac:dyDescent="0.3">
      <c r="B15" s="13"/>
      <c r="C15" s="83" t="s">
        <v>56</v>
      </c>
      <c r="D15" s="83"/>
      <c r="E15" s="83"/>
      <c r="F15" s="3">
        <v>25</v>
      </c>
      <c r="G15" s="8">
        <v>3</v>
      </c>
      <c r="H15" s="6">
        <f t="shared" si="1"/>
        <v>28</v>
      </c>
      <c r="I15" s="7"/>
      <c r="J15" s="7"/>
      <c r="K15" s="7"/>
      <c r="L15" s="79" t="s">
        <v>15</v>
      </c>
      <c r="M15" s="79"/>
      <c r="N15" s="79"/>
      <c r="O15" s="12"/>
      <c r="Q15" s="65" t="s">
        <v>26</v>
      </c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7"/>
      <c r="AG15" t="s">
        <v>88</v>
      </c>
      <c r="AH15" t="s">
        <v>84</v>
      </c>
      <c r="AI15" t="s">
        <v>85</v>
      </c>
      <c r="AJ15" t="s">
        <v>86</v>
      </c>
      <c r="AK15" t="s">
        <v>87</v>
      </c>
    </row>
    <row r="16" spans="2:41" ht="14.4" x14ac:dyDescent="0.3">
      <c r="B16" s="13"/>
      <c r="C16" s="83" t="s">
        <v>51</v>
      </c>
      <c r="D16" s="83"/>
      <c r="E16" s="83"/>
      <c r="F16" s="3">
        <v>7</v>
      </c>
      <c r="G16" s="8">
        <v>1</v>
      </c>
      <c r="H16" s="6">
        <f t="shared" si="1"/>
        <v>8</v>
      </c>
      <c r="I16" s="7"/>
      <c r="J16" s="7"/>
      <c r="K16" s="7"/>
      <c r="L16" s="79" t="s">
        <v>16</v>
      </c>
      <c r="M16" s="79"/>
      <c r="N16" s="79"/>
      <c r="O16" s="12"/>
      <c r="Q16" s="22"/>
      <c r="R16" s="29"/>
      <c r="S16" s="30">
        <f>S5</f>
        <v>126</v>
      </c>
      <c r="T16" s="29">
        <v>1</v>
      </c>
      <c r="U16" s="77" t="s">
        <v>39</v>
      </c>
      <c r="V16" s="77"/>
      <c r="W16" s="77"/>
      <c r="X16" s="77"/>
      <c r="Y16" s="77"/>
      <c r="Z16" s="77"/>
      <c r="AA16" s="77"/>
      <c r="AB16" s="77"/>
      <c r="AC16" s="77"/>
      <c r="AD16" s="78"/>
      <c r="AE16">
        <f>S17/2+S19+S21+S22+S25+S26</f>
        <v>171.125</v>
      </c>
      <c r="AF16" t="s">
        <v>82</v>
      </c>
      <c r="AG16">
        <v>1</v>
      </c>
      <c r="AH16" s="55">
        <f>S16</f>
        <v>126</v>
      </c>
      <c r="AI16" s="55">
        <f>S17</f>
        <v>24</v>
      </c>
      <c r="AJ16">
        <f>AH16*AI16*AG16</f>
        <v>3024</v>
      </c>
      <c r="AK16">
        <f>AJ16</f>
        <v>3024</v>
      </c>
    </row>
    <row r="17" spans="2:37" ht="14.4" x14ac:dyDescent="0.3">
      <c r="B17" s="13"/>
      <c r="C17" s="83" t="s">
        <v>52</v>
      </c>
      <c r="D17" s="83"/>
      <c r="E17" s="83"/>
      <c r="F17" s="3">
        <v>16</v>
      </c>
      <c r="G17" s="8">
        <v>3</v>
      </c>
      <c r="H17" s="6">
        <f t="shared" si="1"/>
        <v>19</v>
      </c>
      <c r="I17" s="7"/>
      <c r="J17" s="7"/>
      <c r="K17" s="7"/>
      <c r="L17" s="79" t="s">
        <v>19</v>
      </c>
      <c r="M17" s="79"/>
      <c r="N17" s="79"/>
      <c r="O17" s="12"/>
      <c r="Q17" s="25"/>
      <c r="R17" s="31"/>
      <c r="S17" s="32">
        <f>S6</f>
        <v>24</v>
      </c>
      <c r="T17" s="31">
        <v>2</v>
      </c>
      <c r="U17" s="68" t="s">
        <v>40</v>
      </c>
      <c r="V17" s="68"/>
      <c r="W17" s="68"/>
      <c r="X17" s="68"/>
      <c r="Y17" s="68"/>
      <c r="Z17" s="68"/>
      <c r="AA17" s="68"/>
      <c r="AB17" s="68"/>
      <c r="AC17" s="68"/>
      <c r="AD17" s="69"/>
      <c r="AE17">
        <f>AE16/GaugeR</f>
        <v>28.520833333333332</v>
      </c>
      <c r="AF17" t="s">
        <v>70</v>
      </c>
      <c r="AK17">
        <f>AK16+AJ17</f>
        <v>3024</v>
      </c>
    </row>
    <row r="18" spans="2:37" ht="14.4" x14ac:dyDescent="0.3">
      <c r="B18" s="13"/>
      <c r="C18" s="83" t="s">
        <v>17</v>
      </c>
      <c r="D18" s="83"/>
      <c r="E18" s="83"/>
      <c r="F18" s="3">
        <v>0.5</v>
      </c>
      <c r="G18" s="7"/>
      <c r="H18" s="7"/>
      <c r="I18" s="7"/>
      <c r="J18" s="7"/>
      <c r="K18" s="7"/>
      <c r="L18" s="79" t="s">
        <v>18</v>
      </c>
      <c r="M18" s="79"/>
      <c r="N18" s="79"/>
      <c r="O18" s="12"/>
      <c r="Q18" s="25"/>
      <c r="R18" s="31"/>
      <c r="S18" s="40"/>
      <c r="T18" s="31">
        <v>3</v>
      </c>
      <c r="U18" s="68" t="s">
        <v>24</v>
      </c>
      <c r="V18" s="68"/>
      <c r="W18" s="68"/>
      <c r="X18" s="68"/>
      <c r="Y18" s="68"/>
      <c r="Z18" s="68"/>
      <c r="AA18" s="68"/>
      <c r="AB18" s="68"/>
      <c r="AC18" s="68"/>
      <c r="AD18" s="69"/>
      <c r="AK18">
        <f t="shared" ref="AK18:AK25" si="2">AK17+AJ18</f>
        <v>3024</v>
      </c>
    </row>
    <row r="19" spans="2:37" ht="15" thickBot="1" x14ac:dyDescent="0.35">
      <c r="B19" s="9"/>
      <c r="C19" s="82"/>
      <c r="D19" s="82"/>
      <c r="E19" s="82"/>
      <c r="F19" s="10"/>
      <c r="G19" s="10"/>
      <c r="H19" s="10"/>
      <c r="I19" s="10"/>
      <c r="J19" s="10"/>
      <c r="K19" s="10"/>
      <c r="L19" s="81" t="s">
        <v>17</v>
      </c>
      <c r="M19" s="81"/>
      <c r="N19" s="81"/>
      <c r="O19" s="11"/>
      <c r="Q19" s="25"/>
      <c r="R19" s="31"/>
      <c r="S19" s="32">
        <f>S8</f>
        <v>92.375</v>
      </c>
      <c r="T19" s="31">
        <v>4</v>
      </c>
      <c r="U19" s="68" t="s">
        <v>41</v>
      </c>
      <c r="V19" s="68"/>
      <c r="W19" s="68"/>
      <c r="X19" s="68"/>
      <c r="Y19" s="68"/>
      <c r="Z19" s="68"/>
      <c r="AA19" s="68"/>
      <c r="AB19" s="68"/>
      <c r="AC19" s="68"/>
      <c r="AD19" s="69"/>
      <c r="AH19" s="55">
        <f>AH16</f>
        <v>126</v>
      </c>
      <c r="AI19" s="55">
        <f>S19</f>
        <v>92.375</v>
      </c>
      <c r="AJ19">
        <f>AH19*AI19</f>
        <v>11639.25</v>
      </c>
      <c r="AK19">
        <f t="shared" si="2"/>
        <v>14663.25</v>
      </c>
    </row>
    <row r="20" spans="2:37" ht="14.4" x14ac:dyDescent="0.3">
      <c r="Q20" s="25"/>
      <c r="R20" s="31"/>
      <c r="S20" s="32">
        <f>S9</f>
        <v>6</v>
      </c>
      <c r="T20" s="31">
        <v>5</v>
      </c>
      <c r="U20" s="68" t="s">
        <v>42</v>
      </c>
      <c r="V20" s="68"/>
      <c r="W20" s="68"/>
      <c r="X20" s="68"/>
      <c r="Y20" s="68"/>
      <c r="Z20" s="68"/>
      <c r="AA20" s="68"/>
      <c r="AB20" s="68"/>
      <c r="AC20" s="68"/>
      <c r="AD20" s="69"/>
      <c r="AH20" s="55"/>
      <c r="AK20">
        <f t="shared" si="2"/>
        <v>14663.25</v>
      </c>
    </row>
    <row r="21" spans="2:37" ht="14.4" x14ac:dyDescent="0.3">
      <c r="B21" s="80" t="s">
        <v>79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Q21" s="25"/>
      <c r="R21" s="31"/>
      <c r="S21" s="32">
        <f>S10</f>
        <v>12</v>
      </c>
      <c r="T21" s="31">
        <v>6</v>
      </c>
      <c r="U21" s="68" t="s">
        <v>58</v>
      </c>
      <c r="V21" s="68"/>
      <c r="W21" s="68"/>
      <c r="X21" s="68"/>
      <c r="Y21" s="68"/>
      <c r="Z21" s="68"/>
      <c r="AA21" s="68"/>
      <c r="AB21" s="68"/>
      <c r="AC21" s="68"/>
      <c r="AD21" s="69"/>
      <c r="AH21" s="55">
        <f>AH19-2*(S20)-S21</f>
        <v>102</v>
      </c>
      <c r="AJ21">
        <f>AH19*S21-(S21^2)</f>
        <v>1368</v>
      </c>
      <c r="AK21">
        <f t="shared" si="2"/>
        <v>16031.25</v>
      </c>
    </row>
    <row r="22" spans="2:37" ht="14.4" x14ac:dyDescent="0.3">
      <c r="B22" s="17" t="s">
        <v>80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Q22" s="25"/>
      <c r="R22" s="31"/>
      <c r="S22" s="32">
        <f>S11-S26</f>
        <v>16.5</v>
      </c>
      <c r="T22" s="31">
        <v>7</v>
      </c>
      <c r="U22" s="68" t="s">
        <v>57</v>
      </c>
      <c r="V22" s="68"/>
      <c r="W22" s="68"/>
      <c r="X22" s="68"/>
      <c r="Y22" s="68"/>
      <c r="Z22" s="68"/>
      <c r="AA22" s="68"/>
      <c r="AB22" s="68"/>
      <c r="AC22" s="68"/>
      <c r="AD22" s="69"/>
      <c r="AH22" s="55">
        <f>AH21</f>
        <v>102</v>
      </c>
      <c r="AI22" s="55">
        <f>S22</f>
        <v>16.5</v>
      </c>
      <c r="AJ22">
        <f>AH22*AI22</f>
        <v>1683</v>
      </c>
      <c r="AK22">
        <f t="shared" si="2"/>
        <v>17714.25</v>
      </c>
    </row>
    <row r="23" spans="2:37" ht="14.4" x14ac:dyDescent="0.3">
      <c r="B23" s="17" t="s">
        <v>81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Q23" s="25"/>
      <c r="R23" s="31"/>
      <c r="S23" s="32">
        <f>0.25*GaugeST*NECK</f>
        <v>31.5</v>
      </c>
      <c r="T23" s="31">
        <v>8</v>
      </c>
      <c r="U23" s="68" t="s">
        <v>43</v>
      </c>
      <c r="V23" s="68"/>
      <c r="W23" s="68"/>
      <c r="X23" s="68"/>
      <c r="Y23" s="68"/>
      <c r="Z23" s="68"/>
      <c r="AA23" s="68"/>
      <c r="AB23" s="68"/>
      <c r="AC23" s="68"/>
      <c r="AD23" s="69"/>
      <c r="AH23" s="55">
        <f>AH22-S23</f>
        <v>70.5</v>
      </c>
      <c r="AK23">
        <f t="shared" si="2"/>
        <v>17714.25</v>
      </c>
    </row>
    <row r="24" spans="2:37" ht="14.4" x14ac:dyDescent="0.3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Q24" s="25"/>
      <c r="R24" s="31"/>
      <c r="S24" s="40"/>
      <c r="T24" s="84" t="s">
        <v>31</v>
      </c>
      <c r="U24" s="85"/>
      <c r="V24" s="85"/>
      <c r="W24" s="85"/>
      <c r="X24" s="85"/>
      <c r="Y24" s="85"/>
      <c r="Z24" s="85"/>
      <c r="AA24" s="85"/>
      <c r="AB24" s="85"/>
      <c r="AC24" s="85"/>
      <c r="AD24" s="86"/>
      <c r="AH24" s="55">
        <f>(AH23/2)-S25</f>
        <v>19.5</v>
      </c>
      <c r="AI24" s="55">
        <f>S25</f>
        <v>15.75</v>
      </c>
      <c r="AJ24">
        <f>2*(AH24*AI24+(S25^2)/2)</f>
        <v>862.3125</v>
      </c>
      <c r="AK24">
        <f t="shared" si="2"/>
        <v>18576.5625</v>
      </c>
    </row>
    <row r="25" spans="2:37" ht="14.4" x14ac:dyDescent="0.3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Q25" s="25"/>
      <c r="R25" s="31"/>
      <c r="S25" s="32">
        <f>S23/2</f>
        <v>15.75</v>
      </c>
      <c r="T25" s="31">
        <v>9</v>
      </c>
      <c r="U25" s="68" t="s">
        <v>102</v>
      </c>
      <c r="V25" s="68"/>
      <c r="W25" s="68"/>
      <c r="X25" s="68"/>
      <c r="Y25" s="68"/>
      <c r="Z25" s="68"/>
      <c r="AA25" s="68"/>
      <c r="AB25" s="68"/>
      <c r="AC25" s="68"/>
      <c r="AD25" s="69"/>
      <c r="AH25" s="55">
        <f>AH24-S26</f>
        <v>-3</v>
      </c>
      <c r="AI25" s="55">
        <f>S26</f>
        <v>22.5</v>
      </c>
      <c r="AJ25">
        <f>AI25*AI25/2</f>
        <v>253.125</v>
      </c>
      <c r="AK25">
        <f t="shared" si="2"/>
        <v>18829.6875</v>
      </c>
    </row>
    <row r="26" spans="2:37" ht="14.4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Q26" s="25"/>
      <c r="R26" s="31"/>
      <c r="S26" s="40">
        <f>(S16-S20-S21-S23)/2 - S25</f>
        <v>22.5</v>
      </c>
      <c r="T26" s="31">
        <v>10</v>
      </c>
      <c r="U26" s="68" t="s">
        <v>103</v>
      </c>
      <c r="V26" s="68"/>
      <c r="W26" s="68"/>
      <c r="X26" s="68"/>
      <c r="Y26" s="68"/>
      <c r="Z26" s="68"/>
      <c r="AA26" s="68"/>
      <c r="AB26" s="68"/>
      <c r="AC26" s="68"/>
      <c r="AD26" s="69"/>
      <c r="AE26">
        <f>(S16-S20-S21-S23)/2-S25</f>
        <v>22.5</v>
      </c>
      <c r="AJ26" t="s">
        <v>89</v>
      </c>
      <c r="AK26">
        <f>AK25</f>
        <v>18829.6875</v>
      </c>
    </row>
    <row r="27" spans="2:37" ht="14.4" x14ac:dyDescent="0.3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Q27" s="33"/>
      <c r="R27" s="34"/>
      <c r="S27" s="46"/>
      <c r="T27" s="34">
        <v>11</v>
      </c>
      <c r="U27" s="68" t="s">
        <v>32</v>
      </c>
      <c r="V27" s="68"/>
      <c r="W27" s="68"/>
      <c r="X27" s="68"/>
      <c r="Y27" s="68"/>
      <c r="Z27" s="68"/>
      <c r="AA27" s="68"/>
      <c r="AB27" s="68"/>
      <c r="AC27" s="68"/>
      <c r="AD27" s="69"/>
    </row>
    <row r="28" spans="2:37" ht="14.4" x14ac:dyDescent="0.3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Q28" s="91" t="s">
        <v>46</v>
      </c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6"/>
    </row>
    <row r="29" spans="2:37" ht="14.4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Q29" s="35"/>
      <c r="R29" s="64"/>
      <c r="S29" s="23"/>
      <c r="T29" s="63">
        <v>1</v>
      </c>
      <c r="U29" s="90" t="s">
        <v>45</v>
      </c>
      <c r="V29" s="72"/>
      <c r="W29" s="72"/>
      <c r="X29" s="72"/>
      <c r="Y29" s="72"/>
      <c r="Z29" s="72"/>
      <c r="AA29" s="72"/>
      <c r="AB29" s="72"/>
      <c r="AC29" s="72"/>
      <c r="AD29" s="73"/>
    </row>
    <row r="30" spans="2:37" ht="14.4" x14ac:dyDescent="0.3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Q30" s="25"/>
      <c r="R30" s="63"/>
      <c r="S30" s="28">
        <f>2*GaugeR</f>
        <v>12</v>
      </c>
      <c r="T30" s="26">
        <v>2</v>
      </c>
      <c r="U30" s="68" t="s">
        <v>104</v>
      </c>
      <c r="V30" s="68"/>
      <c r="W30" s="68"/>
      <c r="X30" s="68"/>
      <c r="Y30" s="68"/>
      <c r="Z30" s="68"/>
      <c r="AA30" s="68"/>
      <c r="AB30" s="68"/>
      <c r="AC30" s="68"/>
      <c r="AD30" s="69"/>
      <c r="AG30">
        <v>1</v>
      </c>
      <c r="AH30">
        <f>NECK*GaugeST</f>
        <v>126</v>
      </c>
      <c r="AI30" s="55">
        <f>S30</f>
        <v>12</v>
      </c>
      <c r="AJ30">
        <f>AG30*AH30*AI30</f>
        <v>1512</v>
      </c>
      <c r="AK30">
        <f>AJ30</f>
        <v>1512</v>
      </c>
    </row>
    <row r="31" spans="2:37" ht="14.4" x14ac:dyDescent="0.3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Q31" s="33"/>
      <c r="R31" s="63"/>
      <c r="S31" s="38"/>
      <c r="T31" s="63">
        <v>3</v>
      </c>
      <c r="U31" s="87" t="s">
        <v>47</v>
      </c>
      <c r="V31" s="88"/>
      <c r="W31" s="88"/>
      <c r="X31" s="88"/>
      <c r="Y31" s="88"/>
      <c r="Z31" s="88"/>
      <c r="AA31" s="88"/>
      <c r="AB31" s="88"/>
      <c r="AC31" s="88"/>
      <c r="AD31" s="89"/>
      <c r="AJ31" t="s">
        <v>91</v>
      </c>
      <c r="AK31">
        <f>AK30</f>
        <v>1512</v>
      </c>
    </row>
    <row r="32" spans="2:37" ht="14.4" x14ac:dyDescent="0.3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Q32" s="74" t="s">
        <v>28</v>
      </c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6"/>
    </row>
    <row r="33" spans="2:37" ht="14.4" x14ac:dyDescent="0.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Q33" s="22"/>
      <c r="R33" s="39">
        <f>S33/2</f>
        <v>57</v>
      </c>
      <c r="S33" s="39">
        <f>SleeveTop*GaugeST</f>
        <v>114</v>
      </c>
      <c r="T33" s="29">
        <v>1</v>
      </c>
      <c r="U33" s="72" t="s">
        <v>72</v>
      </c>
      <c r="V33" s="72"/>
      <c r="W33" s="72"/>
      <c r="X33" s="72"/>
      <c r="Y33" s="72"/>
      <c r="Z33" s="72"/>
      <c r="AA33" s="72"/>
      <c r="AB33" s="72"/>
      <c r="AC33" s="72"/>
      <c r="AD33" s="73"/>
      <c r="AH33" s="55">
        <f>S33</f>
        <v>114</v>
      </c>
      <c r="AI33">
        <f>S33/4</f>
        <v>28.5</v>
      </c>
      <c r="AJ33">
        <f>AH33*AI33</f>
        <v>3249</v>
      </c>
      <c r="AK33">
        <f>AJ33</f>
        <v>3249</v>
      </c>
    </row>
    <row r="34" spans="2:37" ht="14.4" x14ac:dyDescent="0.3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Q34" s="25"/>
      <c r="R34" s="40"/>
      <c r="S34" s="40"/>
      <c r="T34" s="31">
        <v>2</v>
      </c>
      <c r="U34" s="68" t="s">
        <v>71</v>
      </c>
      <c r="V34" s="68"/>
      <c r="W34" s="68"/>
      <c r="X34" s="68"/>
      <c r="Y34" s="68"/>
      <c r="Z34" s="68"/>
      <c r="AA34" s="68"/>
      <c r="AB34" s="68"/>
      <c r="AC34" s="68"/>
      <c r="AD34" s="69"/>
    </row>
    <row r="35" spans="2:37" ht="14.4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25"/>
      <c r="R35" s="41">
        <f>GaugeR*(ArmLength-2)</f>
        <v>126</v>
      </c>
      <c r="S35" s="32">
        <f>GaugeST*(SleeveTop-SleeveBottom+SeamAllowance*2)</f>
        <v>72</v>
      </c>
      <c r="T35" s="31">
        <v>3</v>
      </c>
      <c r="U35" s="68" t="s">
        <v>50</v>
      </c>
      <c r="V35" s="68"/>
      <c r="W35" s="68"/>
      <c r="X35" s="68"/>
      <c r="Y35" s="68"/>
      <c r="Z35" s="68"/>
      <c r="AA35" s="68"/>
      <c r="AB35" s="68"/>
      <c r="AC35" s="68"/>
      <c r="AD35" s="69"/>
      <c r="AG35" t="s">
        <v>92</v>
      </c>
      <c r="AH35" s="55">
        <f>AH33-S35</f>
        <v>42</v>
      </c>
      <c r="AI35" s="55">
        <f>R35</f>
        <v>126</v>
      </c>
      <c r="AJ35">
        <f>(AH35*AI35)+(R35*S35)/2</f>
        <v>9828</v>
      </c>
      <c r="AK35">
        <f>AK33+AJ35</f>
        <v>13077</v>
      </c>
    </row>
    <row r="36" spans="2:37" ht="14.4" x14ac:dyDescent="0.3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Q36" s="25"/>
      <c r="R36" s="48"/>
      <c r="S36" s="52" t="s">
        <v>73</v>
      </c>
      <c r="T36" s="31" t="s">
        <v>48</v>
      </c>
      <c r="U36" s="68" t="s">
        <v>49</v>
      </c>
      <c r="V36" s="68"/>
      <c r="W36" s="68"/>
      <c r="X36" s="68"/>
      <c r="Y36" s="68"/>
      <c r="Z36" s="68"/>
      <c r="AA36" s="68"/>
      <c r="AB36" s="68"/>
      <c r="AC36" s="68"/>
      <c r="AD36" s="69"/>
      <c r="AG36">
        <v>1</v>
      </c>
      <c r="AH36" s="55">
        <f>AH35</f>
        <v>42</v>
      </c>
      <c r="AI36" s="55">
        <f>S37</f>
        <v>24</v>
      </c>
      <c r="AJ36">
        <f>AG36*AH36*AI36</f>
        <v>1008</v>
      </c>
      <c r="AK36">
        <f>AJ36+AK35</f>
        <v>14085</v>
      </c>
    </row>
    <row r="37" spans="2:37" ht="15" thickBot="1" x14ac:dyDescent="0.3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42"/>
      <c r="R37" s="43"/>
      <c r="S37" s="44">
        <f>4*GaugeR</f>
        <v>24</v>
      </c>
      <c r="T37" s="45">
        <v>4</v>
      </c>
      <c r="U37" s="70" t="s">
        <v>38</v>
      </c>
      <c r="V37" s="70"/>
      <c r="W37" s="70"/>
      <c r="X37" s="70"/>
      <c r="Y37" s="70"/>
      <c r="Z37" s="70"/>
      <c r="AA37" s="70"/>
      <c r="AB37" s="70"/>
      <c r="AC37" s="70"/>
      <c r="AD37" s="71"/>
      <c r="AJ37" t="s">
        <v>93</v>
      </c>
      <c r="AK37">
        <f>AK36</f>
        <v>14085</v>
      </c>
    </row>
    <row r="38" spans="2:37" ht="22.8" customHeight="1" x14ac:dyDescent="0.4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2"/>
      <c r="Q38" s="2"/>
      <c r="R38" s="18"/>
      <c r="S38" s="18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mergeCells count="71">
    <mergeCell ref="B2:E2"/>
    <mergeCell ref="G2:O2"/>
    <mergeCell ref="Q2:AD2"/>
    <mergeCell ref="G3:I3"/>
    <mergeCell ref="J3:L3"/>
    <mergeCell ref="M3:O3"/>
    <mergeCell ref="U3:AD3"/>
    <mergeCell ref="H4:I4"/>
    <mergeCell ref="K4:L4"/>
    <mergeCell ref="N4:O4"/>
    <mergeCell ref="Q4:AD4"/>
    <mergeCell ref="H5:I5"/>
    <mergeCell ref="K5:L5"/>
    <mergeCell ref="N5:O5"/>
    <mergeCell ref="U5:AD5"/>
    <mergeCell ref="C12:E12"/>
    <mergeCell ref="L12:N12"/>
    <mergeCell ref="U12:AD12"/>
    <mergeCell ref="H6:I6"/>
    <mergeCell ref="K6:L6"/>
    <mergeCell ref="N6:O6"/>
    <mergeCell ref="U6:AD6"/>
    <mergeCell ref="H7:I7"/>
    <mergeCell ref="K7:L7"/>
    <mergeCell ref="N7:O7"/>
    <mergeCell ref="U7:AD7"/>
    <mergeCell ref="U8:AD8"/>
    <mergeCell ref="U9:AD9"/>
    <mergeCell ref="B10:O10"/>
    <mergeCell ref="U10:AD10"/>
    <mergeCell ref="U11:AD11"/>
    <mergeCell ref="C13:E13"/>
    <mergeCell ref="L13:N13"/>
    <mergeCell ref="U13:AD13"/>
    <mergeCell ref="C14:E14"/>
    <mergeCell ref="L14:N14"/>
    <mergeCell ref="U14:AD14"/>
    <mergeCell ref="C15:E15"/>
    <mergeCell ref="L15:N15"/>
    <mergeCell ref="Q15:AD15"/>
    <mergeCell ref="C16:E16"/>
    <mergeCell ref="L16:N16"/>
    <mergeCell ref="U16:AD16"/>
    <mergeCell ref="C17:E17"/>
    <mergeCell ref="L17:N17"/>
    <mergeCell ref="U17:AD17"/>
    <mergeCell ref="C18:E18"/>
    <mergeCell ref="L18:N18"/>
    <mergeCell ref="U18:AD18"/>
    <mergeCell ref="U27:AD27"/>
    <mergeCell ref="C19:E19"/>
    <mergeCell ref="L19:N19"/>
    <mergeCell ref="U19:AD19"/>
    <mergeCell ref="U20:AD20"/>
    <mergeCell ref="B21:O21"/>
    <mergeCell ref="U21:AD21"/>
    <mergeCell ref="U22:AD22"/>
    <mergeCell ref="U23:AD23"/>
    <mergeCell ref="T24:AD24"/>
    <mergeCell ref="U25:AD25"/>
    <mergeCell ref="U26:AD26"/>
    <mergeCell ref="U34:AD34"/>
    <mergeCell ref="U35:AD35"/>
    <mergeCell ref="U36:AD36"/>
    <mergeCell ref="U37:AD37"/>
    <mergeCell ref="Q28:AD28"/>
    <mergeCell ref="U29:AD29"/>
    <mergeCell ref="U30:AD30"/>
    <mergeCell ref="U31:AD31"/>
    <mergeCell ref="Q32:AD32"/>
    <mergeCell ref="U33:AD3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Inputs</vt:lpstr>
      <vt:lpstr>Sleeve Decrease Experimentation</vt:lpstr>
      <vt:lpstr>Inputs (experiment)</vt:lpstr>
      <vt:lpstr>'Inputs (experiment)'!ArmLength</vt:lpstr>
      <vt:lpstr>ArmLength</vt:lpstr>
      <vt:lpstr>'Inputs (experiment)'!GaugeR</vt:lpstr>
      <vt:lpstr>GaugeR</vt:lpstr>
      <vt:lpstr>'Inputs (experiment)'!GaugeST</vt:lpstr>
      <vt:lpstr>GaugeST</vt:lpstr>
      <vt:lpstr>'Inputs (experiment)'!NECK</vt:lpstr>
      <vt:lpstr>NECK</vt:lpstr>
      <vt:lpstr>'Inputs (experiment)'!SeamAllowance</vt:lpstr>
      <vt:lpstr>SeamAllowance</vt:lpstr>
      <vt:lpstr>'Inputs (experiment)'!SleeveBottom</vt:lpstr>
      <vt:lpstr>SleeveBottom</vt:lpstr>
      <vt:lpstr>'Inputs (experiment)'!SleeveTop</vt:lpstr>
      <vt:lpstr>SleeveTop</vt:lpstr>
      <vt:lpstr>'Inputs (experiment)'!TotalLength</vt:lpstr>
      <vt:lpstr>TotalLength</vt:lpstr>
      <vt:lpstr>'Inputs (experiment)'!WAIST</vt:lpstr>
      <vt:lpstr>WAIST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 Price</dc:creator>
  <cp:lastModifiedBy>Row Price</cp:lastModifiedBy>
  <dcterms:created xsi:type="dcterms:W3CDTF">2021-01-04T21:02:02Z</dcterms:created>
  <dcterms:modified xsi:type="dcterms:W3CDTF">2021-09-24T18:32:38Z</dcterms:modified>
</cp:coreProperties>
</file>